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2020\询价\南京启东吾悦广场\"/>
    </mc:Choice>
  </mc:AlternateContent>
  <xr:revisionPtr revIDLastSave="0" documentId="13_ncr:1_{4558EF4B-2361-4E6B-85B6-733E1DC7656F}" xr6:coauthVersionLast="45" xr6:coauthVersionMax="45" xr10:uidLastSave="{00000000-0000-0000-0000-000000000000}"/>
  <bookViews>
    <workbookView xWindow="-108" yWindow="-108" windowWidth="23256" windowHeight="12576" tabRatio="899" firstSheet="17" activeTab="40" xr2:uid="{00000000-000D-0000-FFFF-FFFF0000000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汇总）" sheetId="70" r:id="rId23"/>
    <sheet name="收益法"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收益法-地下商业" sheetId="78" r:id="rId38"/>
    <sheet name="租赁情况汇总" sheetId="81" r:id="rId39"/>
    <sheet name="租赁商户明细" sheetId="82" r:id="rId40"/>
    <sheet name="Sheet3 (2)" sheetId="83" r:id="rId41"/>
    <sheet name="地价" sheetId="71" r:id="rId42"/>
    <sheet name="Sheet1" sheetId="77"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土地案例明细" sheetId="79" r:id="rId50"/>
    <sheet name="土地案例截图位置" sheetId="80" r:id="rId51"/>
  </sheets>
  <externalReferences>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_FilterDatabase" localSheetId="39" hidden="1">租赁商户明细!$A$5:$BB$608</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37">'收益法-地下商业'!$A$1:$AK$69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首行">[1]业态分类!$A$1:$C$1</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pivotCaches>
    <pivotCache cacheId="0" r:id="rId53"/>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6" i="83" l="1"/>
  <c r="L5" i="83"/>
  <c r="L4" i="83"/>
  <c r="L3" i="83"/>
  <c r="C12" i="83"/>
  <c r="F7" i="83"/>
  <c r="N6" i="82" l="1"/>
  <c r="L6" i="82" s="1"/>
  <c r="P6" i="82"/>
  <c r="N7" i="82"/>
  <c r="L7" i="82" s="1"/>
  <c r="P7" i="82"/>
  <c r="N8" i="82"/>
  <c r="L8" i="82" s="1"/>
  <c r="P8" i="82"/>
  <c r="N9" i="82"/>
  <c r="L9" i="82" s="1"/>
  <c r="P9" i="82"/>
  <c r="N10" i="82"/>
  <c r="L10" i="82" s="1"/>
  <c r="P10" i="82"/>
  <c r="N11" i="82"/>
  <c r="L11" i="82" s="1"/>
  <c r="P11" i="82"/>
  <c r="N12" i="82"/>
  <c r="L12" i="82" s="1"/>
  <c r="P12" i="82"/>
  <c r="N13" i="82"/>
  <c r="L13" i="82" s="1"/>
  <c r="P13" i="82"/>
  <c r="N14" i="82"/>
  <c r="L14" i="82" s="1"/>
  <c r="P14" i="82"/>
  <c r="N15" i="82"/>
  <c r="L15" i="82" s="1"/>
  <c r="P15" i="82"/>
  <c r="N16" i="82"/>
  <c r="L16" i="82" s="1"/>
  <c r="P16" i="82"/>
  <c r="N17" i="82"/>
  <c r="L17" i="82" s="1"/>
  <c r="P17" i="82"/>
  <c r="N18" i="82"/>
  <c r="L18" i="82" s="1"/>
  <c r="P18" i="82"/>
  <c r="N19" i="82"/>
  <c r="L19" i="82" s="1"/>
  <c r="P19" i="82"/>
  <c r="N20" i="82"/>
  <c r="L20" i="82" s="1"/>
  <c r="P20" i="82"/>
  <c r="N21" i="82"/>
  <c r="L21" i="82" s="1"/>
  <c r="P21" i="82"/>
  <c r="N22" i="82"/>
  <c r="L22" i="82" s="1"/>
  <c r="P22" i="82"/>
  <c r="N23" i="82"/>
  <c r="L23" i="82" s="1"/>
  <c r="P23" i="82"/>
  <c r="L24" i="82"/>
  <c r="N24" i="82"/>
  <c r="P24" i="82"/>
  <c r="N25" i="82"/>
  <c r="L25" i="82" s="1"/>
  <c r="P25" i="82"/>
  <c r="N26" i="82"/>
  <c r="L26" i="82" s="1"/>
  <c r="P26" i="82"/>
  <c r="N27" i="82"/>
  <c r="L27" i="82" s="1"/>
  <c r="P27" i="82"/>
  <c r="L28" i="82"/>
  <c r="N28" i="82"/>
  <c r="P28" i="82"/>
  <c r="N29" i="82"/>
  <c r="L29" i="82" s="1"/>
  <c r="P29" i="82"/>
  <c r="L30" i="82"/>
  <c r="N30" i="82"/>
  <c r="P30" i="82"/>
  <c r="N31" i="82"/>
  <c r="L31" i="82" s="1"/>
  <c r="P31" i="82"/>
  <c r="L32" i="82"/>
  <c r="N32" i="82"/>
  <c r="P32" i="82"/>
  <c r="N33" i="82"/>
  <c r="L33" i="82" s="1"/>
  <c r="P33" i="82"/>
  <c r="N34" i="82"/>
  <c r="L34" i="82" s="1"/>
  <c r="P34" i="82"/>
  <c r="N35" i="82"/>
  <c r="L35" i="82" s="1"/>
  <c r="P35" i="82"/>
  <c r="L36" i="82"/>
  <c r="N36" i="82"/>
  <c r="P36" i="82"/>
  <c r="N37" i="82"/>
  <c r="L37" i="82" s="1"/>
  <c r="P37" i="82"/>
  <c r="N38" i="82"/>
  <c r="L38" i="82" s="1"/>
  <c r="P38" i="82"/>
  <c r="N39" i="82"/>
  <c r="L39" i="82" s="1"/>
  <c r="P39" i="82"/>
  <c r="L40" i="82"/>
  <c r="N40" i="82"/>
  <c r="P40" i="82"/>
  <c r="N41" i="82"/>
  <c r="L41" i="82" s="1"/>
  <c r="P41" i="82"/>
  <c r="L42" i="82"/>
  <c r="N42" i="82"/>
  <c r="P42" i="82"/>
  <c r="N43" i="82"/>
  <c r="L43" i="82" s="1"/>
  <c r="P43" i="82"/>
  <c r="L44" i="82"/>
  <c r="N44" i="82"/>
  <c r="P44" i="82"/>
  <c r="N45" i="82"/>
  <c r="L45" i="82" s="1"/>
  <c r="P45" i="82"/>
  <c r="N46" i="82"/>
  <c r="L46" i="82" s="1"/>
  <c r="P46" i="82"/>
  <c r="N47" i="82"/>
  <c r="L47" i="82" s="1"/>
  <c r="P47" i="82"/>
  <c r="L48" i="82"/>
  <c r="N48" i="82"/>
  <c r="P48" i="82"/>
  <c r="N49" i="82"/>
  <c r="L49" i="82" s="1"/>
  <c r="P49" i="82"/>
  <c r="N50" i="82"/>
  <c r="L50" i="82" s="1"/>
  <c r="P50" i="82"/>
  <c r="N51" i="82"/>
  <c r="L51" i="82" s="1"/>
  <c r="P51" i="82"/>
  <c r="L52" i="82"/>
  <c r="N52" i="82"/>
  <c r="P52" i="82"/>
  <c r="N53" i="82"/>
  <c r="L53" i="82" s="1"/>
  <c r="P53" i="82"/>
  <c r="L54" i="82"/>
  <c r="N54" i="82"/>
  <c r="P54" i="82"/>
  <c r="N57" i="82"/>
  <c r="N102" i="82" s="1"/>
  <c r="F4" i="83" s="1"/>
  <c r="P57" i="82"/>
  <c r="N58" i="82"/>
  <c r="L58" i="82" s="1"/>
  <c r="P58" i="82"/>
  <c r="L59" i="82"/>
  <c r="N59" i="82"/>
  <c r="P59" i="82"/>
  <c r="N60" i="82"/>
  <c r="L60" i="82" s="1"/>
  <c r="P60" i="82"/>
  <c r="N61" i="82"/>
  <c r="L61" i="82" s="1"/>
  <c r="P61" i="82"/>
  <c r="N62" i="82"/>
  <c r="L62" i="82" s="1"/>
  <c r="P62" i="82"/>
  <c r="L63" i="82"/>
  <c r="N63" i="82"/>
  <c r="P63" i="82"/>
  <c r="N64" i="82"/>
  <c r="L64" i="82" s="1"/>
  <c r="P64" i="82"/>
  <c r="L65" i="82"/>
  <c r="N65" i="82"/>
  <c r="P65" i="82"/>
  <c r="N66" i="82"/>
  <c r="L66" i="82" s="1"/>
  <c r="P66" i="82"/>
  <c r="L67" i="82"/>
  <c r="N67" i="82"/>
  <c r="P67" i="82"/>
  <c r="N68" i="82"/>
  <c r="L68" i="82" s="1"/>
  <c r="P68" i="82"/>
  <c r="N69" i="82"/>
  <c r="L69" i="82" s="1"/>
  <c r="P69" i="82"/>
  <c r="N70" i="82"/>
  <c r="L70" i="82" s="1"/>
  <c r="P70" i="82"/>
  <c r="L71" i="82"/>
  <c r="N71" i="82"/>
  <c r="P71" i="82"/>
  <c r="N72" i="82"/>
  <c r="L72" i="82" s="1"/>
  <c r="P72" i="82"/>
  <c r="N73" i="82"/>
  <c r="L73" i="82" s="1"/>
  <c r="P73" i="82"/>
  <c r="N74" i="82"/>
  <c r="L74" i="82" s="1"/>
  <c r="P74" i="82"/>
  <c r="L75" i="82"/>
  <c r="N75" i="82"/>
  <c r="P75" i="82"/>
  <c r="N76" i="82"/>
  <c r="L76" i="82" s="1"/>
  <c r="P76" i="82"/>
  <c r="L77" i="82"/>
  <c r="N77" i="82"/>
  <c r="P77" i="82"/>
  <c r="N78" i="82"/>
  <c r="L78" i="82" s="1"/>
  <c r="P78" i="82"/>
  <c r="L79" i="82"/>
  <c r="N79" i="82"/>
  <c r="P79" i="82"/>
  <c r="N80" i="82"/>
  <c r="L80" i="82" s="1"/>
  <c r="P80" i="82"/>
  <c r="N81" i="82"/>
  <c r="L81" i="82" s="1"/>
  <c r="P81" i="82"/>
  <c r="N82" i="82"/>
  <c r="L82" i="82" s="1"/>
  <c r="P82" i="82"/>
  <c r="L83" i="82"/>
  <c r="N83" i="82"/>
  <c r="P83" i="82"/>
  <c r="N84" i="82"/>
  <c r="L84" i="82" s="1"/>
  <c r="P84" i="82"/>
  <c r="N85" i="82"/>
  <c r="L85" i="82" s="1"/>
  <c r="P85" i="82"/>
  <c r="N86" i="82"/>
  <c r="L86" i="82" s="1"/>
  <c r="P86" i="82"/>
  <c r="L87" i="82"/>
  <c r="N87" i="82"/>
  <c r="P87" i="82"/>
  <c r="N88" i="82"/>
  <c r="L88" i="82" s="1"/>
  <c r="P88" i="82"/>
  <c r="L89" i="82"/>
  <c r="N89" i="82"/>
  <c r="P89" i="82"/>
  <c r="N90" i="82"/>
  <c r="L90" i="82" s="1"/>
  <c r="P90" i="82"/>
  <c r="L91" i="82"/>
  <c r="N91" i="82"/>
  <c r="P91" i="82"/>
  <c r="N92" i="82"/>
  <c r="L92" i="82" s="1"/>
  <c r="P92" i="82"/>
  <c r="N93" i="82"/>
  <c r="L93" i="82" s="1"/>
  <c r="P93" i="82"/>
  <c r="N94" i="82"/>
  <c r="L94" i="82" s="1"/>
  <c r="P94" i="82"/>
  <c r="L95" i="82"/>
  <c r="N95" i="82"/>
  <c r="P95" i="82"/>
  <c r="N96" i="82"/>
  <c r="L96" i="82" s="1"/>
  <c r="P96" i="82"/>
  <c r="N97" i="82"/>
  <c r="L97" i="82" s="1"/>
  <c r="P97" i="82"/>
  <c r="N98" i="82"/>
  <c r="L98" i="82" s="1"/>
  <c r="P98" i="82"/>
  <c r="L99" i="82"/>
  <c r="N99" i="82"/>
  <c r="P99" i="82"/>
  <c r="N100" i="82"/>
  <c r="L100" i="82" s="1"/>
  <c r="P100" i="82"/>
  <c r="L101" i="82"/>
  <c r="N101" i="82"/>
  <c r="P101" i="82"/>
  <c r="N103" i="82"/>
  <c r="L103" i="82" s="1"/>
  <c r="P103" i="82"/>
  <c r="P146" i="82" s="1"/>
  <c r="G5" i="83" s="1"/>
  <c r="N104" i="82"/>
  <c r="L104" i="82" s="1"/>
  <c r="P104" i="82"/>
  <c r="L105" i="82"/>
  <c r="N105" i="82"/>
  <c r="P105" i="82"/>
  <c r="N106" i="82"/>
  <c r="L106" i="82" s="1"/>
  <c r="P106" i="82"/>
  <c r="N107" i="82"/>
  <c r="L107" i="82" s="1"/>
  <c r="P107" i="82"/>
  <c r="N108" i="82"/>
  <c r="L108" i="82" s="1"/>
  <c r="P108" i="82"/>
  <c r="L109" i="82"/>
  <c r="N109" i="82"/>
  <c r="P109" i="82"/>
  <c r="N110" i="82"/>
  <c r="L110" i="82" s="1"/>
  <c r="P110" i="82"/>
  <c r="L111" i="82"/>
  <c r="N111" i="82"/>
  <c r="P111" i="82"/>
  <c r="N112" i="82"/>
  <c r="L112" i="82" s="1"/>
  <c r="P112" i="82"/>
  <c r="L113" i="82"/>
  <c r="N113" i="82"/>
  <c r="P113" i="82"/>
  <c r="N114" i="82"/>
  <c r="L114" i="82" s="1"/>
  <c r="P114" i="82"/>
  <c r="N115" i="82"/>
  <c r="L115" i="82" s="1"/>
  <c r="P115" i="82"/>
  <c r="N116" i="82"/>
  <c r="L116" i="82" s="1"/>
  <c r="P116" i="82"/>
  <c r="L117" i="82"/>
  <c r="N117" i="82"/>
  <c r="P117" i="82"/>
  <c r="N118" i="82"/>
  <c r="L118" i="82" s="1"/>
  <c r="P118" i="82"/>
  <c r="N119" i="82"/>
  <c r="L119" i="82" s="1"/>
  <c r="P119" i="82"/>
  <c r="N120" i="82"/>
  <c r="L120" i="82" s="1"/>
  <c r="P120" i="82"/>
  <c r="L121" i="82"/>
  <c r="N121" i="82"/>
  <c r="P121" i="82"/>
  <c r="N122" i="82"/>
  <c r="L122" i="82" s="1"/>
  <c r="P122" i="82"/>
  <c r="L123" i="82"/>
  <c r="N123" i="82"/>
  <c r="P123" i="82"/>
  <c r="N124" i="82"/>
  <c r="L124" i="82" s="1"/>
  <c r="P124" i="82"/>
  <c r="L125" i="82"/>
  <c r="N125" i="82"/>
  <c r="P125" i="82"/>
  <c r="N126" i="82"/>
  <c r="L126" i="82" s="1"/>
  <c r="P126" i="82"/>
  <c r="N127" i="82"/>
  <c r="L127" i="82" s="1"/>
  <c r="P127" i="82"/>
  <c r="N128" i="82"/>
  <c r="L128" i="82" s="1"/>
  <c r="P128" i="82"/>
  <c r="L129" i="82"/>
  <c r="N129" i="82"/>
  <c r="P129" i="82"/>
  <c r="N130" i="82"/>
  <c r="L130" i="82" s="1"/>
  <c r="P130" i="82"/>
  <c r="N131" i="82"/>
  <c r="L131" i="82" s="1"/>
  <c r="P131" i="82"/>
  <c r="N132" i="82"/>
  <c r="L132" i="82" s="1"/>
  <c r="P132" i="82"/>
  <c r="L133" i="82"/>
  <c r="N133" i="82"/>
  <c r="P133" i="82"/>
  <c r="N134" i="82"/>
  <c r="L134" i="82" s="1"/>
  <c r="P134" i="82"/>
  <c r="L135" i="82"/>
  <c r="N135" i="82"/>
  <c r="P135" i="82"/>
  <c r="N136" i="82"/>
  <c r="L136" i="82" s="1"/>
  <c r="P136" i="82"/>
  <c r="L137" i="82"/>
  <c r="N137" i="82"/>
  <c r="P137" i="82"/>
  <c r="N138" i="82"/>
  <c r="L138" i="82" s="1"/>
  <c r="P138" i="82"/>
  <c r="N139" i="82"/>
  <c r="L139" i="82" s="1"/>
  <c r="P139" i="82"/>
  <c r="N140" i="82"/>
  <c r="L140" i="82" s="1"/>
  <c r="P140" i="82"/>
  <c r="L141" i="82"/>
  <c r="N141" i="82"/>
  <c r="P141" i="82"/>
  <c r="N142" i="82"/>
  <c r="L142" i="82" s="1"/>
  <c r="P142" i="82"/>
  <c r="N143" i="82"/>
  <c r="L143" i="82" s="1"/>
  <c r="P143" i="82"/>
  <c r="N144" i="82"/>
  <c r="L144" i="82" s="1"/>
  <c r="P144" i="82"/>
  <c r="N145" i="82"/>
  <c r="L145" i="82" s="1"/>
  <c r="P145" i="82"/>
  <c r="N147" i="82"/>
  <c r="L147" i="82" s="1"/>
  <c r="P147" i="82"/>
  <c r="L148" i="82"/>
  <c r="N148" i="82"/>
  <c r="P148" i="82"/>
  <c r="N149" i="82"/>
  <c r="L149" i="82" s="1"/>
  <c r="P149" i="82"/>
  <c r="L150" i="82"/>
  <c r="N150" i="82"/>
  <c r="P150" i="82"/>
  <c r="N151" i="82"/>
  <c r="L151" i="82" s="1"/>
  <c r="P151" i="82"/>
  <c r="L152" i="82"/>
  <c r="N152" i="82"/>
  <c r="P152" i="82"/>
  <c r="N153" i="82"/>
  <c r="L153" i="82" s="1"/>
  <c r="P153" i="82"/>
  <c r="N154" i="82"/>
  <c r="L154" i="82" s="1"/>
  <c r="P154" i="82"/>
  <c r="N155" i="82"/>
  <c r="L155" i="82" s="1"/>
  <c r="P155" i="82"/>
  <c r="L156" i="82"/>
  <c r="N156" i="82"/>
  <c r="P156" i="82"/>
  <c r="N157" i="82"/>
  <c r="L157" i="82" s="1"/>
  <c r="P157" i="82"/>
  <c r="N158" i="82"/>
  <c r="L158" i="82" s="1"/>
  <c r="P158" i="82"/>
  <c r="N159" i="82"/>
  <c r="L159" i="82" s="1"/>
  <c r="P159" i="82"/>
  <c r="L160" i="82"/>
  <c r="N160" i="82"/>
  <c r="P160" i="82"/>
  <c r="N161" i="82"/>
  <c r="L161" i="82" s="1"/>
  <c r="P161" i="82"/>
  <c r="L162" i="82"/>
  <c r="N162" i="82"/>
  <c r="P162" i="82"/>
  <c r="N163" i="82"/>
  <c r="L163" i="82" s="1"/>
  <c r="P163" i="82"/>
  <c r="L164" i="82"/>
  <c r="N164" i="82"/>
  <c r="P164" i="82"/>
  <c r="N165" i="82"/>
  <c r="L165" i="82" s="1"/>
  <c r="P165" i="82"/>
  <c r="N166" i="82"/>
  <c r="L166" i="82" s="1"/>
  <c r="P166" i="82"/>
  <c r="N167" i="82"/>
  <c r="L167" i="82" s="1"/>
  <c r="P167" i="82"/>
  <c r="L168" i="82"/>
  <c r="N168" i="82"/>
  <c r="P168" i="82"/>
  <c r="N169" i="82"/>
  <c r="L169" i="82" s="1"/>
  <c r="P169" i="82"/>
  <c r="N170" i="82"/>
  <c r="L170" i="82" s="1"/>
  <c r="P170" i="82"/>
  <c r="N171" i="82"/>
  <c r="L171" i="82" s="1"/>
  <c r="P171" i="82"/>
  <c r="L172" i="82"/>
  <c r="N172" i="82"/>
  <c r="P172" i="82"/>
  <c r="N173" i="82"/>
  <c r="L173" i="82" s="1"/>
  <c r="P173" i="82"/>
  <c r="L174" i="82"/>
  <c r="N174" i="82"/>
  <c r="P174" i="82"/>
  <c r="N175" i="82"/>
  <c r="L175" i="82" s="1"/>
  <c r="P175" i="82"/>
  <c r="L176" i="82"/>
  <c r="N176" i="82"/>
  <c r="P176" i="82"/>
  <c r="N177" i="82"/>
  <c r="L177" i="82" s="1"/>
  <c r="P177" i="82"/>
  <c r="N178" i="82"/>
  <c r="L178" i="82" s="1"/>
  <c r="P178" i="82"/>
  <c r="N179" i="82"/>
  <c r="L179" i="82" s="1"/>
  <c r="P179" i="82"/>
  <c r="L180" i="82"/>
  <c r="N180" i="82"/>
  <c r="P180" i="82"/>
  <c r="N181" i="82"/>
  <c r="L181" i="82" s="1"/>
  <c r="P181" i="82"/>
  <c r="N182" i="82"/>
  <c r="L182" i="82" s="1"/>
  <c r="P182" i="82"/>
  <c r="L184" i="82"/>
  <c r="N184" i="82"/>
  <c r="P184" i="82"/>
  <c r="N185" i="82"/>
  <c r="L185" i="82" s="1"/>
  <c r="P185" i="82"/>
  <c r="L186" i="82"/>
  <c r="N186" i="82"/>
  <c r="P186" i="82"/>
  <c r="N187" i="82"/>
  <c r="L187" i="82" s="1"/>
  <c r="P187" i="82"/>
  <c r="N188" i="82"/>
  <c r="L188" i="82" s="1"/>
  <c r="P188" i="82"/>
  <c r="N189" i="82"/>
  <c r="L189" i="82" s="1"/>
  <c r="P189" i="82"/>
  <c r="L190" i="82"/>
  <c r="N190" i="82"/>
  <c r="P190" i="82"/>
  <c r="N191" i="82"/>
  <c r="L191" i="82" s="1"/>
  <c r="P191" i="82"/>
  <c r="N192" i="82"/>
  <c r="L192" i="82" s="1"/>
  <c r="P192" i="82"/>
  <c r="N193" i="82"/>
  <c r="L193" i="82" s="1"/>
  <c r="P193" i="82"/>
  <c r="L194" i="82"/>
  <c r="N194" i="82"/>
  <c r="P194" i="82"/>
  <c r="N195" i="82"/>
  <c r="L195" i="82" s="1"/>
  <c r="P195" i="82"/>
  <c r="L196" i="82"/>
  <c r="N196" i="82"/>
  <c r="P196" i="82"/>
  <c r="N197" i="82"/>
  <c r="L197" i="82" s="1"/>
  <c r="P197" i="82"/>
  <c r="L198" i="82"/>
  <c r="N198" i="82"/>
  <c r="P198" i="82"/>
  <c r="N199" i="82"/>
  <c r="L199" i="82" s="1"/>
  <c r="P199" i="82"/>
  <c r="N200" i="82"/>
  <c r="L200" i="82" s="1"/>
  <c r="P200" i="82"/>
  <c r="N201" i="82"/>
  <c r="L201" i="82" s="1"/>
  <c r="P201" i="82"/>
  <c r="L202" i="82"/>
  <c r="N202" i="82"/>
  <c r="P202" i="82"/>
  <c r="N203" i="82"/>
  <c r="L203" i="82" s="1"/>
  <c r="P203" i="82"/>
  <c r="N204" i="82"/>
  <c r="L204" i="82" s="1"/>
  <c r="P204" i="82"/>
  <c r="N205" i="82"/>
  <c r="L205" i="82" s="1"/>
  <c r="P205" i="82"/>
  <c r="L206" i="82"/>
  <c r="N206" i="82"/>
  <c r="P206" i="82"/>
  <c r="N207" i="82"/>
  <c r="L207" i="82" s="1"/>
  <c r="P207" i="82"/>
  <c r="L208" i="82"/>
  <c r="N208" i="82"/>
  <c r="P208" i="82"/>
  <c r="N209" i="82"/>
  <c r="L209" i="82" s="1"/>
  <c r="P209" i="82"/>
  <c r="L210" i="82"/>
  <c r="N210" i="82"/>
  <c r="P210" i="82"/>
  <c r="N211" i="82"/>
  <c r="L211" i="82" s="1"/>
  <c r="P211" i="82"/>
  <c r="N212" i="82"/>
  <c r="L212" i="82" s="1"/>
  <c r="P212" i="82"/>
  <c r="N213" i="82"/>
  <c r="L213" i="82" s="1"/>
  <c r="P213" i="82"/>
  <c r="L214" i="82"/>
  <c r="N214" i="82"/>
  <c r="P214" i="82"/>
  <c r="N215" i="82"/>
  <c r="L215" i="82" s="1"/>
  <c r="P215" i="82"/>
  <c r="N216" i="82"/>
  <c r="L216" i="82" s="1"/>
  <c r="P216" i="82"/>
  <c r="N217" i="82"/>
  <c r="L217" i="82" s="1"/>
  <c r="P217" i="82"/>
  <c r="M218" i="82"/>
  <c r="N218" i="82"/>
  <c r="F8" i="83" s="1"/>
  <c r="M219" i="82"/>
  <c r="N219" i="82" s="1"/>
  <c r="P219" i="82"/>
  <c r="M220" i="82"/>
  <c r="N220" i="82" s="1"/>
  <c r="P220" i="82"/>
  <c r="M221" i="82"/>
  <c r="N221" i="82" s="1"/>
  <c r="P221" i="82"/>
  <c r="M222" i="82"/>
  <c r="N222" i="82" s="1"/>
  <c r="P222" i="82"/>
  <c r="M223" i="82"/>
  <c r="N223" i="82" s="1"/>
  <c r="P223" i="82"/>
  <c r="M224" i="82"/>
  <c r="N224" i="82" s="1"/>
  <c r="P224" i="82"/>
  <c r="M225" i="82"/>
  <c r="N225" i="82" s="1"/>
  <c r="P225" i="82"/>
  <c r="M226" i="82"/>
  <c r="N226" i="82" s="1"/>
  <c r="P226" i="82"/>
  <c r="M227" i="82"/>
  <c r="N227" i="82" s="1"/>
  <c r="P227" i="82"/>
  <c r="M228" i="82"/>
  <c r="N228" i="82" s="1"/>
  <c r="P228" i="82"/>
  <c r="M229" i="82"/>
  <c r="N229" i="82" s="1"/>
  <c r="P229" i="82"/>
  <c r="M230" i="82"/>
  <c r="N230" i="82" s="1"/>
  <c r="P230" i="82"/>
  <c r="M231" i="82"/>
  <c r="N231" i="82" s="1"/>
  <c r="P231" i="82"/>
  <c r="M232" i="82"/>
  <c r="N232" i="82" s="1"/>
  <c r="P232" i="82"/>
  <c r="M233" i="82"/>
  <c r="N233" i="82" s="1"/>
  <c r="P233" i="82"/>
  <c r="M234" i="82"/>
  <c r="N234" i="82" s="1"/>
  <c r="P234" i="82"/>
  <c r="M235" i="82"/>
  <c r="N235" i="82" s="1"/>
  <c r="P235" i="82"/>
  <c r="M236" i="82"/>
  <c r="N236" i="82" s="1"/>
  <c r="P236" i="82"/>
  <c r="M237" i="82"/>
  <c r="N237" i="82" s="1"/>
  <c r="P237" i="82"/>
  <c r="M238" i="82"/>
  <c r="N238" i="82"/>
  <c r="P238" i="82"/>
  <c r="M239" i="82"/>
  <c r="N239" i="82" s="1"/>
  <c r="P239" i="82"/>
  <c r="M240" i="82"/>
  <c r="N240" i="82"/>
  <c r="P240" i="82"/>
  <c r="M241" i="82"/>
  <c r="N241" i="82" s="1"/>
  <c r="P241" i="82"/>
  <c r="M242" i="82"/>
  <c r="N242" i="82"/>
  <c r="P242" i="82"/>
  <c r="M243" i="82"/>
  <c r="N243" i="82" s="1"/>
  <c r="P243" i="82"/>
  <c r="M244" i="82"/>
  <c r="N244" i="82" s="1"/>
  <c r="P244" i="82"/>
  <c r="M245" i="82"/>
  <c r="N245" i="82" s="1"/>
  <c r="P245" i="82"/>
  <c r="M246" i="82"/>
  <c r="N246" i="82"/>
  <c r="P246" i="82"/>
  <c r="M247" i="82"/>
  <c r="N247" i="82" s="1"/>
  <c r="P247" i="82"/>
  <c r="M248" i="82"/>
  <c r="N248" i="82" s="1"/>
  <c r="P248" i="82"/>
  <c r="M249" i="82"/>
  <c r="N249" i="82" s="1"/>
  <c r="P249" i="82"/>
  <c r="M250" i="82"/>
  <c r="N250" i="82" s="1"/>
  <c r="P250" i="82"/>
  <c r="M251" i="82"/>
  <c r="N251" i="82" s="1"/>
  <c r="P251" i="82"/>
  <c r="M252" i="82"/>
  <c r="N252" i="82"/>
  <c r="P252" i="82"/>
  <c r="M253" i="82"/>
  <c r="N253" i="82" s="1"/>
  <c r="P253" i="82"/>
  <c r="M254" i="82"/>
  <c r="N254" i="82" s="1"/>
  <c r="P254" i="82"/>
  <c r="M255" i="82"/>
  <c r="N255" i="82" s="1"/>
  <c r="P255" i="82"/>
  <c r="M256" i="82"/>
  <c r="N256" i="82" s="1"/>
  <c r="P256" i="82"/>
  <c r="M257" i="82"/>
  <c r="N257" i="82" s="1"/>
  <c r="P257" i="82"/>
  <c r="M258" i="82"/>
  <c r="N258" i="82" s="1"/>
  <c r="P258" i="82"/>
  <c r="M259" i="82"/>
  <c r="N259" i="82" s="1"/>
  <c r="P259" i="82"/>
  <c r="M260" i="82"/>
  <c r="N260" i="82" s="1"/>
  <c r="P260" i="82"/>
  <c r="M261" i="82"/>
  <c r="N261" i="82" s="1"/>
  <c r="P261" i="82"/>
  <c r="M262" i="82"/>
  <c r="N262" i="82" s="1"/>
  <c r="P262" i="82"/>
  <c r="M263" i="82"/>
  <c r="N263" i="82" s="1"/>
  <c r="P263" i="82"/>
  <c r="M264" i="82"/>
  <c r="N264" i="82"/>
  <c r="P264" i="82"/>
  <c r="M265" i="82"/>
  <c r="N265" i="82" s="1"/>
  <c r="P265" i="82"/>
  <c r="M266" i="82"/>
  <c r="N266" i="82"/>
  <c r="P266" i="82"/>
  <c r="M267" i="82"/>
  <c r="N267" i="82" s="1"/>
  <c r="P267" i="82"/>
  <c r="M268" i="82"/>
  <c r="N268" i="82" s="1"/>
  <c r="P268" i="82"/>
  <c r="M269" i="82"/>
  <c r="N269" i="82" s="1"/>
  <c r="P269" i="82"/>
  <c r="M270" i="82"/>
  <c r="N270" i="82"/>
  <c r="P270" i="82"/>
  <c r="M271" i="82"/>
  <c r="N271" i="82" s="1"/>
  <c r="P271" i="82"/>
  <c r="M272" i="82"/>
  <c r="N272" i="82" s="1"/>
  <c r="P272" i="82"/>
  <c r="M273" i="82"/>
  <c r="N273" i="82" s="1"/>
  <c r="P273" i="82"/>
  <c r="M274" i="82"/>
  <c r="N274" i="82" s="1"/>
  <c r="P274" i="82"/>
  <c r="M275" i="82"/>
  <c r="N275" i="82" s="1"/>
  <c r="P275" i="82"/>
  <c r="M276" i="82"/>
  <c r="N276" i="82"/>
  <c r="P276" i="82"/>
  <c r="M277" i="82"/>
  <c r="N277" i="82" s="1"/>
  <c r="P277" i="82"/>
  <c r="M278" i="82"/>
  <c r="N278" i="82" s="1"/>
  <c r="P278" i="82"/>
  <c r="M279" i="82"/>
  <c r="N279" i="82" s="1"/>
  <c r="P279" i="82"/>
  <c r="M280" i="82"/>
  <c r="N280" i="82" s="1"/>
  <c r="P280" i="82"/>
  <c r="M281" i="82"/>
  <c r="N281" i="82" s="1"/>
  <c r="P281" i="82"/>
  <c r="M282" i="82"/>
  <c r="N282" i="82" s="1"/>
  <c r="P282" i="82"/>
  <c r="M283" i="82"/>
  <c r="N283" i="82" s="1"/>
  <c r="P283" i="82"/>
  <c r="M284" i="82"/>
  <c r="N284" i="82" s="1"/>
  <c r="P284" i="82"/>
  <c r="M285" i="82"/>
  <c r="N285" i="82" s="1"/>
  <c r="P285" i="82"/>
  <c r="M286" i="82"/>
  <c r="N286" i="82" s="1"/>
  <c r="P286" i="82"/>
  <c r="M287" i="82"/>
  <c r="N287" i="82" s="1"/>
  <c r="P287" i="82"/>
  <c r="M288" i="82"/>
  <c r="N288" i="82"/>
  <c r="P288" i="82"/>
  <c r="M289" i="82"/>
  <c r="N289" i="82" s="1"/>
  <c r="P289" i="82"/>
  <c r="M290" i="82"/>
  <c r="N290" i="82"/>
  <c r="P290" i="82"/>
  <c r="M291" i="82"/>
  <c r="N291" i="82" s="1"/>
  <c r="P291" i="82"/>
  <c r="M292" i="82"/>
  <c r="N292" i="82" s="1"/>
  <c r="P292" i="82"/>
  <c r="M293" i="82"/>
  <c r="N293" i="82" s="1"/>
  <c r="P293" i="82"/>
  <c r="M294" i="82"/>
  <c r="N294" i="82"/>
  <c r="P294" i="82"/>
  <c r="M295" i="82"/>
  <c r="N295" i="82" s="1"/>
  <c r="P295" i="82"/>
  <c r="M296" i="82"/>
  <c r="N296" i="82" s="1"/>
  <c r="P296" i="82"/>
  <c r="M297" i="82"/>
  <c r="N297" i="82" s="1"/>
  <c r="P297" i="82"/>
  <c r="M298" i="82"/>
  <c r="N298" i="82" s="1"/>
  <c r="P298" i="82"/>
  <c r="M299" i="82"/>
  <c r="N299" i="82" s="1"/>
  <c r="P299" i="82"/>
  <c r="M300" i="82"/>
  <c r="N300" i="82"/>
  <c r="P300" i="82"/>
  <c r="M301" i="82"/>
  <c r="N301" i="82" s="1"/>
  <c r="P301" i="82"/>
  <c r="M302" i="82"/>
  <c r="N302" i="82" s="1"/>
  <c r="P302" i="82"/>
  <c r="M303" i="82"/>
  <c r="N303" i="82" s="1"/>
  <c r="P303" i="82"/>
  <c r="M304" i="82"/>
  <c r="N304" i="82" s="1"/>
  <c r="P304" i="82"/>
  <c r="M305" i="82"/>
  <c r="N305" i="82" s="1"/>
  <c r="P305" i="82"/>
  <c r="M306" i="82"/>
  <c r="N306" i="82" s="1"/>
  <c r="P306" i="82"/>
  <c r="M307" i="82"/>
  <c r="N307" i="82" s="1"/>
  <c r="P307" i="82"/>
  <c r="M308" i="82"/>
  <c r="N308" i="82" s="1"/>
  <c r="P308" i="82"/>
  <c r="M309" i="82"/>
  <c r="N309" i="82" s="1"/>
  <c r="P309" i="82"/>
  <c r="M310" i="82"/>
  <c r="N310" i="82" s="1"/>
  <c r="P310" i="82"/>
  <c r="M311" i="82"/>
  <c r="N311" i="82" s="1"/>
  <c r="P311" i="82"/>
  <c r="M312" i="82"/>
  <c r="N312" i="82"/>
  <c r="P312" i="82"/>
  <c r="M313" i="82"/>
  <c r="N313" i="82" s="1"/>
  <c r="P313" i="82"/>
  <c r="M314" i="82"/>
  <c r="N314" i="82"/>
  <c r="P314" i="82"/>
  <c r="M315" i="82"/>
  <c r="N315" i="82" s="1"/>
  <c r="P315" i="82"/>
  <c r="M316" i="82"/>
  <c r="N316" i="82" s="1"/>
  <c r="P316" i="82"/>
  <c r="M317" i="82"/>
  <c r="N317" i="82" s="1"/>
  <c r="P317" i="82"/>
  <c r="M318" i="82"/>
  <c r="N318" i="82"/>
  <c r="P318" i="82"/>
  <c r="M319" i="82"/>
  <c r="N319" i="82" s="1"/>
  <c r="P319" i="82"/>
  <c r="M320" i="82"/>
  <c r="N320" i="82" s="1"/>
  <c r="P320" i="82"/>
  <c r="M321" i="82"/>
  <c r="N321" i="82" s="1"/>
  <c r="P321" i="82"/>
  <c r="M322" i="82"/>
  <c r="N322" i="82" s="1"/>
  <c r="P322" i="82"/>
  <c r="M323" i="82"/>
  <c r="N323" i="82" s="1"/>
  <c r="P323" i="82"/>
  <c r="M324" i="82"/>
  <c r="N324" i="82"/>
  <c r="P324" i="82"/>
  <c r="M325" i="82"/>
  <c r="N325" i="82" s="1"/>
  <c r="P325" i="82"/>
  <c r="M326" i="82"/>
  <c r="N326" i="82" s="1"/>
  <c r="P326" i="82"/>
  <c r="M327" i="82"/>
  <c r="N327" i="82" s="1"/>
  <c r="P327" i="82"/>
  <c r="M328" i="82"/>
  <c r="N328" i="82" s="1"/>
  <c r="P328" i="82"/>
  <c r="M329" i="82"/>
  <c r="N329" i="82" s="1"/>
  <c r="P329" i="82"/>
  <c r="M330" i="82"/>
  <c r="N330" i="82" s="1"/>
  <c r="P330" i="82"/>
  <c r="M331" i="82"/>
  <c r="N331" i="82" s="1"/>
  <c r="P331" i="82"/>
  <c r="M332" i="82"/>
  <c r="N332" i="82" s="1"/>
  <c r="P332" i="82"/>
  <c r="M333" i="82"/>
  <c r="N333" i="82" s="1"/>
  <c r="P333" i="82"/>
  <c r="M334" i="82"/>
  <c r="N334" i="82" s="1"/>
  <c r="P334" i="82"/>
  <c r="M335" i="82"/>
  <c r="N335" i="82" s="1"/>
  <c r="P335" i="82"/>
  <c r="M336" i="82"/>
  <c r="N336" i="82"/>
  <c r="P336" i="82"/>
  <c r="M337" i="82"/>
  <c r="N337" i="82" s="1"/>
  <c r="P337" i="82"/>
  <c r="M338" i="82"/>
  <c r="N338" i="82"/>
  <c r="P338" i="82"/>
  <c r="M339" i="82"/>
  <c r="N339" i="82" s="1"/>
  <c r="P339" i="82"/>
  <c r="M340" i="82"/>
  <c r="N340" i="82" s="1"/>
  <c r="P340" i="82"/>
  <c r="M341" i="82"/>
  <c r="N341" i="82" s="1"/>
  <c r="P341" i="82"/>
  <c r="M342" i="82"/>
  <c r="N342" i="82"/>
  <c r="P342" i="82"/>
  <c r="M343" i="82"/>
  <c r="N343" i="82" s="1"/>
  <c r="P343" i="82"/>
  <c r="M344" i="82"/>
  <c r="N344" i="82" s="1"/>
  <c r="P344" i="82"/>
  <c r="M345" i="82"/>
  <c r="N345" i="82" s="1"/>
  <c r="P345" i="82"/>
  <c r="M346" i="82"/>
  <c r="N346" i="82" s="1"/>
  <c r="P346" i="82"/>
  <c r="M347" i="82"/>
  <c r="N347" i="82" s="1"/>
  <c r="P347" i="82"/>
  <c r="M348" i="82"/>
  <c r="N348" i="82"/>
  <c r="P348" i="82"/>
  <c r="M349" i="82"/>
  <c r="N349" i="82" s="1"/>
  <c r="P349" i="82"/>
  <c r="M350" i="82"/>
  <c r="N350" i="82" s="1"/>
  <c r="P350" i="82"/>
  <c r="M351" i="82"/>
  <c r="N351" i="82" s="1"/>
  <c r="P351" i="82"/>
  <c r="M352" i="82"/>
  <c r="N352" i="82" s="1"/>
  <c r="P352" i="82"/>
  <c r="M353" i="82"/>
  <c r="N353" i="82" s="1"/>
  <c r="P353" i="82"/>
  <c r="M354" i="82"/>
  <c r="N354" i="82" s="1"/>
  <c r="P354" i="82"/>
  <c r="M355" i="82"/>
  <c r="N355" i="82" s="1"/>
  <c r="P355" i="82"/>
  <c r="M356" i="82"/>
  <c r="N356" i="82" s="1"/>
  <c r="P356" i="82"/>
  <c r="M357" i="82"/>
  <c r="N357" i="82" s="1"/>
  <c r="P357" i="82"/>
  <c r="M358" i="82"/>
  <c r="N358" i="82" s="1"/>
  <c r="P358" i="82"/>
  <c r="M359" i="82"/>
  <c r="N359" i="82" s="1"/>
  <c r="P359" i="82"/>
  <c r="M360" i="82"/>
  <c r="N360" i="82"/>
  <c r="P360" i="82"/>
  <c r="M361" i="82"/>
  <c r="N361" i="82" s="1"/>
  <c r="P361" i="82"/>
  <c r="M362" i="82"/>
  <c r="N362" i="82"/>
  <c r="P362" i="82"/>
  <c r="M363" i="82"/>
  <c r="N363" i="82" s="1"/>
  <c r="P363" i="82"/>
  <c r="M364" i="82"/>
  <c r="N364" i="82" s="1"/>
  <c r="P364" i="82"/>
  <c r="M365" i="82"/>
  <c r="N365" i="82" s="1"/>
  <c r="P365" i="82"/>
  <c r="M366" i="82"/>
  <c r="N366" i="82"/>
  <c r="P366" i="82"/>
  <c r="M367" i="82"/>
  <c r="N367" i="82" s="1"/>
  <c r="P367" i="82"/>
  <c r="M368" i="82"/>
  <c r="N368" i="82" s="1"/>
  <c r="P368" i="82"/>
  <c r="M369" i="82"/>
  <c r="N369" i="82" s="1"/>
  <c r="P369" i="82"/>
  <c r="M370" i="82"/>
  <c r="N370" i="82" s="1"/>
  <c r="P370" i="82"/>
  <c r="M371" i="82"/>
  <c r="N371" i="82" s="1"/>
  <c r="P371" i="82"/>
  <c r="M372" i="82"/>
  <c r="N372" i="82"/>
  <c r="P372" i="82"/>
  <c r="M373" i="82"/>
  <c r="N373" i="82" s="1"/>
  <c r="P373" i="82"/>
  <c r="M374" i="82"/>
  <c r="N374" i="82" s="1"/>
  <c r="P374" i="82"/>
  <c r="M375" i="82"/>
  <c r="N375" i="82" s="1"/>
  <c r="P375" i="82"/>
  <c r="M376" i="82"/>
  <c r="N376" i="82" s="1"/>
  <c r="P376" i="82"/>
  <c r="M377" i="82"/>
  <c r="N377" i="82" s="1"/>
  <c r="P377" i="82"/>
  <c r="M378" i="82"/>
  <c r="N378" i="82" s="1"/>
  <c r="P378" i="82"/>
  <c r="M379" i="82"/>
  <c r="N379" i="82" s="1"/>
  <c r="P379" i="82"/>
  <c r="M380" i="82"/>
  <c r="N380" i="82"/>
  <c r="P380" i="82"/>
  <c r="M381" i="82"/>
  <c r="N381" i="82" s="1"/>
  <c r="P381" i="82"/>
  <c r="M382" i="82"/>
  <c r="N382" i="82" s="1"/>
  <c r="P382" i="82"/>
  <c r="M383" i="82"/>
  <c r="N383" i="82" s="1"/>
  <c r="P383" i="82"/>
  <c r="M384" i="82"/>
  <c r="N384" i="82"/>
  <c r="P384" i="82"/>
  <c r="M385" i="82"/>
  <c r="N385" i="82" s="1"/>
  <c r="P385" i="82"/>
  <c r="M386" i="82"/>
  <c r="N386" i="82"/>
  <c r="P386" i="82"/>
  <c r="M387" i="82"/>
  <c r="N387" i="82" s="1"/>
  <c r="P387" i="82"/>
  <c r="M388" i="82"/>
  <c r="N388" i="82" s="1"/>
  <c r="P388" i="82"/>
  <c r="M389" i="82"/>
  <c r="N389" i="82" s="1"/>
  <c r="P389" i="82"/>
  <c r="M390" i="82"/>
  <c r="N390" i="82"/>
  <c r="P390" i="82"/>
  <c r="M391" i="82"/>
  <c r="N391" i="82" s="1"/>
  <c r="P391" i="82"/>
  <c r="M392" i="82"/>
  <c r="N392" i="82" s="1"/>
  <c r="P392" i="82"/>
  <c r="M393" i="82"/>
  <c r="N393" i="82" s="1"/>
  <c r="P393" i="82"/>
  <c r="M394" i="82"/>
  <c r="N394" i="82" s="1"/>
  <c r="P394" i="82"/>
  <c r="M395" i="82"/>
  <c r="N395" i="82" s="1"/>
  <c r="P395" i="82"/>
  <c r="M396" i="82"/>
  <c r="N396" i="82"/>
  <c r="P396" i="82"/>
  <c r="M397" i="82"/>
  <c r="N397" i="82" s="1"/>
  <c r="P397" i="82"/>
  <c r="M398" i="82"/>
  <c r="N398" i="82" s="1"/>
  <c r="P398" i="82"/>
  <c r="M399" i="82"/>
  <c r="N399" i="82" s="1"/>
  <c r="P399" i="82"/>
  <c r="M400" i="82"/>
  <c r="N400" i="82" s="1"/>
  <c r="P400" i="82"/>
  <c r="M401" i="82"/>
  <c r="N401" i="82" s="1"/>
  <c r="P401" i="82"/>
  <c r="M402" i="82"/>
  <c r="N402" i="82" s="1"/>
  <c r="P402" i="82"/>
  <c r="M403" i="82"/>
  <c r="N403" i="82" s="1"/>
  <c r="P403" i="82"/>
  <c r="M404" i="82"/>
  <c r="N404" i="82"/>
  <c r="P404" i="82"/>
  <c r="M405" i="82"/>
  <c r="N405" i="82" s="1"/>
  <c r="P405" i="82"/>
  <c r="M406" i="82"/>
  <c r="N406" i="82" s="1"/>
  <c r="P406" i="82"/>
  <c r="M407" i="82"/>
  <c r="N407" i="82" s="1"/>
  <c r="P407" i="82"/>
  <c r="M408" i="82"/>
  <c r="N408" i="82"/>
  <c r="P408" i="82"/>
  <c r="M409" i="82"/>
  <c r="N409" i="82" s="1"/>
  <c r="P409" i="82"/>
  <c r="M410" i="82"/>
  <c r="N410" i="82"/>
  <c r="P410" i="82"/>
  <c r="M411" i="82"/>
  <c r="N411" i="82" s="1"/>
  <c r="P411" i="82"/>
  <c r="M412" i="82"/>
  <c r="N412" i="82" s="1"/>
  <c r="P412" i="82"/>
  <c r="M413" i="82"/>
  <c r="N413" i="82" s="1"/>
  <c r="P413" i="82"/>
  <c r="M414" i="82"/>
  <c r="N414" i="82"/>
  <c r="P414" i="82"/>
  <c r="M415" i="82"/>
  <c r="N415" i="82" s="1"/>
  <c r="P415" i="82"/>
  <c r="M416" i="82"/>
  <c r="N416" i="82" s="1"/>
  <c r="P416" i="82"/>
  <c r="M417" i="82"/>
  <c r="N417" i="82" s="1"/>
  <c r="P417" i="82"/>
  <c r="M418" i="82"/>
  <c r="N418" i="82" s="1"/>
  <c r="P418" i="82"/>
  <c r="M419" i="82"/>
  <c r="N419" i="82" s="1"/>
  <c r="P419" i="82"/>
  <c r="M420" i="82"/>
  <c r="N420" i="82"/>
  <c r="P420" i="82"/>
  <c r="M421" i="82"/>
  <c r="N421" i="82" s="1"/>
  <c r="P421" i="82"/>
  <c r="M422" i="82"/>
  <c r="N422" i="82" s="1"/>
  <c r="P422" i="82"/>
  <c r="M423" i="82"/>
  <c r="N423" i="82" s="1"/>
  <c r="P423" i="82"/>
  <c r="M424" i="82"/>
  <c r="N424" i="82" s="1"/>
  <c r="P424" i="82"/>
  <c r="M425" i="82"/>
  <c r="N425" i="82" s="1"/>
  <c r="P425" i="82"/>
  <c r="M426" i="82"/>
  <c r="N426" i="82" s="1"/>
  <c r="P426" i="82"/>
  <c r="M427" i="82"/>
  <c r="N427" i="82" s="1"/>
  <c r="P427" i="82"/>
  <c r="M428" i="82"/>
  <c r="N428" i="82"/>
  <c r="P428" i="82"/>
  <c r="M429" i="82"/>
  <c r="N429" i="82" s="1"/>
  <c r="P429" i="82"/>
  <c r="M430" i="82"/>
  <c r="N430" i="82" s="1"/>
  <c r="P430" i="82"/>
  <c r="M431" i="82"/>
  <c r="N431" i="82" s="1"/>
  <c r="P431" i="82"/>
  <c r="M432" i="82"/>
  <c r="N432" i="82"/>
  <c r="P432" i="82"/>
  <c r="M433" i="82"/>
  <c r="N433" i="82" s="1"/>
  <c r="P433" i="82"/>
  <c r="M434" i="82"/>
  <c r="N434" i="82"/>
  <c r="P434" i="82"/>
  <c r="M435" i="82"/>
  <c r="N435" i="82" s="1"/>
  <c r="P435" i="82"/>
  <c r="M436" i="82"/>
  <c r="N436" i="82" s="1"/>
  <c r="P436" i="82"/>
  <c r="M437" i="82"/>
  <c r="N437" i="82" s="1"/>
  <c r="P437" i="82"/>
  <c r="M438" i="82"/>
  <c r="N438" i="82"/>
  <c r="P438" i="82"/>
  <c r="M439" i="82"/>
  <c r="N439" i="82" s="1"/>
  <c r="P439" i="82"/>
  <c r="M440" i="82"/>
  <c r="N440" i="82" s="1"/>
  <c r="P440" i="82"/>
  <c r="M441" i="82"/>
  <c r="N441" i="82" s="1"/>
  <c r="P441" i="82"/>
  <c r="M442" i="82"/>
  <c r="N442" i="82" s="1"/>
  <c r="P442" i="82"/>
  <c r="M443" i="82"/>
  <c r="N443" i="82" s="1"/>
  <c r="P443" i="82"/>
  <c r="M444" i="82"/>
  <c r="N444" i="82"/>
  <c r="P444" i="82"/>
  <c r="M445" i="82"/>
  <c r="N445" i="82" s="1"/>
  <c r="P445" i="82"/>
  <c r="M446" i="82"/>
  <c r="N446" i="82" s="1"/>
  <c r="P446" i="82"/>
  <c r="M447" i="82"/>
  <c r="N447" i="82" s="1"/>
  <c r="P447" i="82"/>
  <c r="M448" i="82"/>
  <c r="N448" i="82" s="1"/>
  <c r="P448" i="82"/>
  <c r="M449" i="82"/>
  <c r="N449" i="82" s="1"/>
  <c r="P449" i="82"/>
  <c r="M450" i="82"/>
  <c r="N450" i="82" s="1"/>
  <c r="P450" i="82"/>
  <c r="M451" i="82"/>
  <c r="N451" i="82" s="1"/>
  <c r="P451" i="82"/>
  <c r="M452" i="82"/>
  <c r="N452" i="82"/>
  <c r="P452" i="82"/>
  <c r="M453" i="82"/>
  <c r="N453" i="82" s="1"/>
  <c r="P453" i="82"/>
  <c r="M454" i="82"/>
  <c r="N454" i="82" s="1"/>
  <c r="P454" i="82"/>
  <c r="M455" i="82"/>
  <c r="N455" i="82" s="1"/>
  <c r="P455" i="82"/>
  <c r="M456" i="82"/>
  <c r="N456" i="82"/>
  <c r="P456" i="82"/>
  <c r="M457" i="82"/>
  <c r="N457" i="82" s="1"/>
  <c r="P457" i="82"/>
  <c r="M458" i="82"/>
  <c r="N458" i="82"/>
  <c r="P458" i="82"/>
  <c r="M459" i="82"/>
  <c r="N459" i="82" s="1"/>
  <c r="P459" i="82"/>
  <c r="M460" i="82"/>
  <c r="N460" i="82" s="1"/>
  <c r="P460" i="82"/>
  <c r="M461" i="82"/>
  <c r="N461" i="82" s="1"/>
  <c r="P461" i="82"/>
  <c r="M462" i="82"/>
  <c r="N462" i="82"/>
  <c r="P462" i="82"/>
  <c r="M463" i="82"/>
  <c r="N463" i="82" s="1"/>
  <c r="P463" i="82"/>
  <c r="M464" i="82"/>
  <c r="N464" i="82" s="1"/>
  <c r="P464" i="82"/>
  <c r="M465" i="82"/>
  <c r="N465" i="82" s="1"/>
  <c r="P465" i="82"/>
  <c r="M466" i="82"/>
  <c r="N466" i="82" s="1"/>
  <c r="P466" i="82"/>
  <c r="M467" i="82"/>
  <c r="N467" i="82" s="1"/>
  <c r="P467" i="82"/>
  <c r="M468" i="82"/>
  <c r="N468" i="82"/>
  <c r="P468" i="82"/>
  <c r="M469" i="82"/>
  <c r="N469" i="82" s="1"/>
  <c r="P469" i="82"/>
  <c r="M470" i="82"/>
  <c r="N470" i="82" s="1"/>
  <c r="P470" i="82"/>
  <c r="M471" i="82"/>
  <c r="N471" i="82" s="1"/>
  <c r="P471" i="82"/>
  <c r="M472" i="82"/>
  <c r="N472" i="82" s="1"/>
  <c r="P472" i="82"/>
  <c r="M473" i="82"/>
  <c r="N473" i="82" s="1"/>
  <c r="P473" i="82"/>
  <c r="M474" i="82"/>
  <c r="N474" i="82" s="1"/>
  <c r="P474" i="82"/>
  <c r="M475" i="82"/>
  <c r="N475" i="82" s="1"/>
  <c r="P475" i="82"/>
  <c r="M476" i="82"/>
  <c r="N476" i="82"/>
  <c r="P476" i="82"/>
  <c r="M477" i="82"/>
  <c r="N477" i="82" s="1"/>
  <c r="P477" i="82"/>
  <c r="M478" i="82"/>
  <c r="N478" i="82" s="1"/>
  <c r="P478" i="82"/>
  <c r="M479" i="82"/>
  <c r="N479" i="82" s="1"/>
  <c r="P479" i="82"/>
  <c r="M480" i="82"/>
  <c r="N480" i="82"/>
  <c r="P480" i="82"/>
  <c r="M481" i="82"/>
  <c r="N481" i="82" s="1"/>
  <c r="P481" i="82"/>
  <c r="M482" i="82"/>
  <c r="N482" i="82"/>
  <c r="P482" i="82"/>
  <c r="M483" i="82"/>
  <c r="N483" i="82" s="1"/>
  <c r="P483" i="82"/>
  <c r="M484" i="82"/>
  <c r="N484" i="82" s="1"/>
  <c r="P484" i="82"/>
  <c r="M485" i="82"/>
  <c r="N485" i="82" s="1"/>
  <c r="P485" i="82"/>
  <c r="M486" i="82"/>
  <c r="N486" i="82"/>
  <c r="P486" i="82"/>
  <c r="M487" i="82"/>
  <c r="N487" i="82" s="1"/>
  <c r="P487" i="82"/>
  <c r="M488" i="82"/>
  <c r="N488" i="82" s="1"/>
  <c r="P488" i="82"/>
  <c r="M489" i="82"/>
  <c r="N489" i="82" s="1"/>
  <c r="P489" i="82"/>
  <c r="M490" i="82"/>
  <c r="N490" i="82" s="1"/>
  <c r="P490" i="82"/>
  <c r="M491" i="82"/>
  <c r="N491" i="82" s="1"/>
  <c r="P491" i="82"/>
  <c r="M492" i="82"/>
  <c r="N492" i="82"/>
  <c r="P492" i="82"/>
  <c r="M493" i="82"/>
  <c r="N493" i="82" s="1"/>
  <c r="P493" i="82"/>
  <c r="M494" i="82"/>
  <c r="N494" i="82" s="1"/>
  <c r="P494" i="82"/>
  <c r="M495" i="82"/>
  <c r="N495" i="82" s="1"/>
  <c r="P495" i="82"/>
  <c r="M496" i="82"/>
  <c r="N496" i="82" s="1"/>
  <c r="P496" i="82"/>
  <c r="M497" i="82"/>
  <c r="N497" i="82" s="1"/>
  <c r="P497" i="82"/>
  <c r="M498" i="82"/>
  <c r="N498" i="82"/>
  <c r="P498" i="82"/>
  <c r="M499" i="82"/>
  <c r="N499" i="82" s="1"/>
  <c r="P499" i="82"/>
  <c r="M500" i="82"/>
  <c r="N500" i="82"/>
  <c r="P500" i="82"/>
  <c r="M501" i="82"/>
  <c r="N501" i="82" s="1"/>
  <c r="P501" i="82"/>
  <c r="M502" i="82"/>
  <c r="N502" i="82" s="1"/>
  <c r="P502" i="82"/>
  <c r="M503" i="82"/>
  <c r="N503" i="82" s="1"/>
  <c r="P503" i="82"/>
  <c r="M504" i="82"/>
  <c r="N504" i="82"/>
  <c r="P504" i="82"/>
  <c r="M505" i="82"/>
  <c r="N505" i="82" s="1"/>
  <c r="P505" i="82"/>
  <c r="M506" i="82"/>
  <c r="N506" i="82"/>
  <c r="P506" i="82"/>
  <c r="M507" i="82"/>
  <c r="N507" i="82" s="1"/>
  <c r="P507" i="82"/>
  <c r="M508" i="82"/>
  <c r="N508" i="82" s="1"/>
  <c r="P508" i="82"/>
  <c r="M509" i="82"/>
  <c r="N509" i="82" s="1"/>
  <c r="P509" i="82"/>
  <c r="M510" i="82"/>
  <c r="N510" i="82"/>
  <c r="P510" i="82"/>
  <c r="M511" i="82"/>
  <c r="N511" i="82" s="1"/>
  <c r="P511" i="82"/>
  <c r="M512" i="82"/>
  <c r="N512" i="82" s="1"/>
  <c r="P512" i="82"/>
  <c r="M513" i="82"/>
  <c r="N513" i="82" s="1"/>
  <c r="P513" i="82"/>
  <c r="M514" i="82"/>
  <c r="N514" i="82" s="1"/>
  <c r="P514" i="82"/>
  <c r="M515" i="82"/>
  <c r="N515" i="82" s="1"/>
  <c r="P515" i="82"/>
  <c r="M516" i="82"/>
  <c r="N516" i="82"/>
  <c r="P516" i="82"/>
  <c r="M517" i="82"/>
  <c r="N517" i="82" s="1"/>
  <c r="P517" i="82"/>
  <c r="M518" i="82"/>
  <c r="N518" i="82" s="1"/>
  <c r="P518" i="82"/>
  <c r="M519" i="82"/>
  <c r="N519" i="82" s="1"/>
  <c r="P519" i="82"/>
  <c r="M520" i="82"/>
  <c r="N520" i="82" s="1"/>
  <c r="P520" i="82"/>
  <c r="M521" i="82"/>
  <c r="N521" i="82" s="1"/>
  <c r="P521" i="82"/>
  <c r="M522" i="82"/>
  <c r="N522" i="82"/>
  <c r="P522" i="82"/>
  <c r="M523" i="82"/>
  <c r="N523" i="82" s="1"/>
  <c r="P523" i="82"/>
  <c r="M524" i="82"/>
  <c r="N524" i="82"/>
  <c r="P524" i="82"/>
  <c r="M525" i="82"/>
  <c r="N525" i="82" s="1"/>
  <c r="P525" i="82"/>
  <c r="M526" i="82"/>
  <c r="N526" i="82" s="1"/>
  <c r="P526" i="82"/>
  <c r="M527" i="82"/>
  <c r="N527" i="82" s="1"/>
  <c r="P527" i="82"/>
  <c r="M528" i="82"/>
  <c r="N528" i="82"/>
  <c r="P528" i="82"/>
  <c r="M529" i="82"/>
  <c r="N529" i="82" s="1"/>
  <c r="P529" i="82"/>
  <c r="M530" i="82"/>
  <c r="N530" i="82"/>
  <c r="P530" i="82"/>
  <c r="M531" i="82"/>
  <c r="N531" i="82" s="1"/>
  <c r="P531" i="82"/>
  <c r="M532" i="82"/>
  <c r="N532" i="82" s="1"/>
  <c r="P532" i="82"/>
  <c r="M533" i="82"/>
  <c r="N533" i="82" s="1"/>
  <c r="P533" i="82"/>
  <c r="M534" i="82"/>
  <c r="N534" i="82"/>
  <c r="P534" i="82"/>
  <c r="M535" i="82"/>
  <c r="N535" i="82" s="1"/>
  <c r="P535" i="82"/>
  <c r="M536" i="82"/>
  <c r="N536" i="82" s="1"/>
  <c r="P536" i="82"/>
  <c r="M537" i="82"/>
  <c r="N537" i="82" s="1"/>
  <c r="P537" i="82"/>
  <c r="M538" i="82"/>
  <c r="N538" i="82" s="1"/>
  <c r="P538" i="82"/>
  <c r="M539" i="82"/>
  <c r="N539" i="82" s="1"/>
  <c r="P539" i="82"/>
  <c r="M540" i="82"/>
  <c r="N540" i="82"/>
  <c r="P540" i="82"/>
  <c r="M541" i="82"/>
  <c r="N541" i="82" s="1"/>
  <c r="P541" i="82"/>
  <c r="M542" i="82"/>
  <c r="N542" i="82" s="1"/>
  <c r="P542" i="82"/>
  <c r="M543" i="82"/>
  <c r="N543" i="82" s="1"/>
  <c r="P543" i="82"/>
  <c r="M544" i="82"/>
  <c r="N544" i="82" s="1"/>
  <c r="P544" i="82"/>
  <c r="M545" i="82"/>
  <c r="N545" i="82" s="1"/>
  <c r="P545" i="82"/>
  <c r="M546" i="82"/>
  <c r="N546" i="82"/>
  <c r="P546" i="82"/>
  <c r="M547" i="82"/>
  <c r="N547" i="82" s="1"/>
  <c r="P547" i="82"/>
  <c r="M548" i="82"/>
  <c r="N548" i="82"/>
  <c r="P548" i="82"/>
  <c r="M549" i="82"/>
  <c r="N549" i="82" s="1"/>
  <c r="P549" i="82"/>
  <c r="M550" i="82"/>
  <c r="N550" i="82" s="1"/>
  <c r="P550" i="82"/>
  <c r="M551" i="82"/>
  <c r="N551" i="82" s="1"/>
  <c r="P551" i="82"/>
  <c r="M552" i="82"/>
  <c r="N552" i="82"/>
  <c r="P552" i="82"/>
  <c r="M553" i="82"/>
  <c r="N553" i="82" s="1"/>
  <c r="P553" i="82"/>
  <c r="M554" i="82"/>
  <c r="N554" i="82"/>
  <c r="P554" i="82"/>
  <c r="M555" i="82"/>
  <c r="N555" i="82" s="1"/>
  <c r="P555" i="82"/>
  <c r="M556" i="82"/>
  <c r="N556" i="82" s="1"/>
  <c r="P556" i="82"/>
  <c r="M557" i="82"/>
  <c r="N557" i="82" s="1"/>
  <c r="P557" i="82"/>
  <c r="M558" i="82"/>
  <c r="N558" i="82"/>
  <c r="P558" i="82"/>
  <c r="M559" i="82"/>
  <c r="N559" i="82" s="1"/>
  <c r="P559" i="82"/>
  <c r="M560" i="82"/>
  <c r="N560" i="82" s="1"/>
  <c r="P560" i="82"/>
  <c r="M561" i="82"/>
  <c r="N561" i="82" s="1"/>
  <c r="P561" i="82"/>
  <c r="M562" i="82"/>
  <c r="N562" i="82" s="1"/>
  <c r="P562" i="82"/>
  <c r="M563" i="82"/>
  <c r="N563" i="82" s="1"/>
  <c r="P563" i="82"/>
  <c r="M564" i="82"/>
  <c r="N564" i="82"/>
  <c r="P564" i="82"/>
  <c r="M565" i="82"/>
  <c r="N565" i="82" s="1"/>
  <c r="P565" i="82"/>
  <c r="M566" i="82"/>
  <c r="N566" i="82" s="1"/>
  <c r="P566" i="82"/>
  <c r="M567" i="82"/>
  <c r="N567" i="82" s="1"/>
  <c r="P567" i="82"/>
  <c r="M568" i="82"/>
  <c r="N568" i="82" s="1"/>
  <c r="P568" i="82"/>
  <c r="M569" i="82"/>
  <c r="N569" i="82" s="1"/>
  <c r="P569" i="82"/>
  <c r="M570" i="82"/>
  <c r="N570" i="82"/>
  <c r="P570" i="82"/>
  <c r="M571" i="82"/>
  <c r="N571" i="82" s="1"/>
  <c r="P571" i="82"/>
  <c r="M572" i="82"/>
  <c r="N572" i="82"/>
  <c r="P572" i="82"/>
  <c r="M573" i="82"/>
  <c r="N573" i="82" s="1"/>
  <c r="P573" i="82"/>
  <c r="M574" i="82"/>
  <c r="N574" i="82" s="1"/>
  <c r="P574" i="82"/>
  <c r="M575" i="82"/>
  <c r="N575" i="82" s="1"/>
  <c r="P575" i="82"/>
  <c r="M576" i="82"/>
  <c r="N576" i="82"/>
  <c r="P576" i="82"/>
  <c r="M577" i="82"/>
  <c r="N577" i="82" s="1"/>
  <c r="P577" i="82"/>
  <c r="M578" i="82"/>
  <c r="N578" i="82"/>
  <c r="P578" i="82"/>
  <c r="M579" i="82"/>
  <c r="N579" i="82" s="1"/>
  <c r="P579" i="82"/>
  <c r="M580" i="82"/>
  <c r="N580" i="82" s="1"/>
  <c r="P580" i="82"/>
  <c r="M581" i="82"/>
  <c r="N581" i="82" s="1"/>
  <c r="P581" i="82"/>
  <c r="M582" i="82"/>
  <c r="N582" i="82"/>
  <c r="P582" i="82"/>
  <c r="M583" i="82"/>
  <c r="N583" i="82" s="1"/>
  <c r="P583" i="82"/>
  <c r="M584" i="82"/>
  <c r="N584" i="82" s="1"/>
  <c r="P584" i="82"/>
  <c r="M585" i="82"/>
  <c r="N585" i="82" s="1"/>
  <c r="P585" i="82"/>
  <c r="M586" i="82"/>
  <c r="N586" i="82" s="1"/>
  <c r="P586" i="82"/>
  <c r="M587" i="82"/>
  <c r="N587" i="82" s="1"/>
  <c r="P587" i="82"/>
  <c r="M588" i="82"/>
  <c r="N588" i="82" s="1"/>
  <c r="P588" i="82"/>
  <c r="M589" i="82"/>
  <c r="N589" i="82" s="1"/>
  <c r="P589" i="82"/>
  <c r="M590" i="82"/>
  <c r="N590" i="82" s="1"/>
  <c r="P590" i="82"/>
  <c r="M591" i="82"/>
  <c r="N591" i="82" s="1"/>
  <c r="P591" i="82"/>
  <c r="M592" i="82"/>
  <c r="N592" i="82" s="1"/>
  <c r="P592" i="82"/>
  <c r="M593" i="82"/>
  <c r="N593" i="82" s="1"/>
  <c r="P593" i="82"/>
  <c r="M594" i="82"/>
  <c r="N594" i="82"/>
  <c r="P594" i="82"/>
  <c r="M595" i="82"/>
  <c r="N595" i="82" s="1"/>
  <c r="P595" i="82"/>
  <c r="M596" i="82"/>
  <c r="N596" i="82"/>
  <c r="P596" i="82"/>
  <c r="M597" i="82"/>
  <c r="N597" i="82" s="1"/>
  <c r="P597" i="82"/>
  <c r="M598" i="82"/>
  <c r="N598" i="82" s="1"/>
  <c r="P598" i="82"/>
  <c r="M599" i="82"/>
  <c r="N599" i="82" s="1"/>
  <c r="P599" i="82"/>
  <c r="M600" i="82"/>
  <c r="N600" i="82"/>
  <c r="P600" i="82"/>
  <c r="M601" i="82"/>
  <c r="N601" i="82" s="1"/>
  <c r="P601" i="82"/>
  <c r="M602" i="82"/>
  <c r="N602" i="82"/>
  <c r="P602" i="82"/>
  <c r="M603" i="82"/>
  <c r="N603" i="82" s="1"/>
  <c r="P603" i="82"/>
  <c r="M604" i="82"/>
  <c r="N604" i="82" s="1"/>
  <c r="P604" i="82"/>
  <c r="M605" i="82"/>
  <c r="N605" i="82" s="1"/>
  <c r="P605" i="82"/>
  <c r="M606" i="82"/>
  <c r="N606" i="82"/>
  <c r="P606" i="82"/>
  <c r="M607" i="82"/>
  <c r="N607" i="82" s="1"/>
  <c r="P607" i="82"/>
  <c r="M608" i="82"/>
  <c r="N608" i="82" s="1"/>
  <c r="P608" i="82"/>
  <c r="G5" i="81"/>
  <c r="D3" i="83" s="1"/>
  <c r="G10" i="81"/>
  <c r="D4" i="83" s="1"/>
  <c r="G16" i="81"/>
  <c r="D5" i="83" s="1"/>
  <c r="G22" i="81"/>
  <c r="D6" i="83" s="1"/>
  <c r="G25" i="81"/>
  <c r="D8" i="83" s="1"/>
  <c r="I46" i="39"/>
  <c r="G46" i="39"/>
  <c r="E46" i="39"/>
  <c r="I7" i="39"/>
  <c r="G7" i="39"/>
  <c r="E7" i="39"/>
  <c r="I5" i="39"/>
  <c r="G5" i="39"/>
  <c r="E5" i="39"/>
  <c r="Q3" i="79"/>
  <c r="Q2" i="79"/>
  <c r="Q1" i="79"/>
  <c r="Q54" i="79"/>
  <c r="Q53" i="79"/>
  <c r="Q52" i="79"/>
  <c r="Q51" i="79"/>
  <c r="Q50" i="79"/>
  <c r="Q49" i="79"/>
  <c r="Q48" i="79"/>
  <c r="Q47" i="79"/>
  <c r="Q46" i="79"/>
  <c r="Q45" i="79"/>
  <c r="Q44" i="79"/>
  <c r="Q43" i="79"/>
  <c r="Q42" i="79"/>
  <c r="Q41" i="79"/>
  <c r="Q40" i="79"/>
  <c r="Q39" i="79"/>
  <c r="Q38" i="79"/>
  <c r="Q37" i="79"/>
  <c r="Q36" i="79"/>
  <c r="Q35" i="79"/>
  <c r="Q34" i="79"/>
  <c r="Q33" i="79"/>
  <c r="Q32" i="79"/>
  <c r="Q31" i="79"/>
  <c r="Q30" i="79"/>
  <c r="Q29" i="79"/>
  <c r="Q28" i="79"/>
  <c r="Q27" i="79"/>
  <c r="Q26" i="79"/>
  <c r="Q25" i="79"/>
  <c r="Q24" i="79"/>
  <c r="Q23" i="79"/>
  <c r="Q22" i="79"/>
  <c r="Q21" i="79"/>
  <c r="Q20" i="79"/>
  <c r="Q19" i="79"/>
  <c r="Q18" i="79"/>
  <c r="Q17" i="79"/>
  <c r="Q16" i="79"/>
  <c r="Q15" i="79"/>
  <c r="Q14" i="79"/>
  <c r="Q13" i="79"/>
  <c r="Q12" i="79"/>
  <c r="Q11" i="79"/>
  <c r="Q10" i="79"/>
  <c r="Q9" i="79"/>
  <c r="Q8" i="79"/>
  <c r="Q7" i="79"/>
  <c r="Q6" i="79"/>
  <c r="Q5" i="79"/>
  <c r="L218" i="82" l="1"/>
  <c r="E8" i="83" s="1"/>
  <c r="L146" i="82"/>
  <c r="E5" i="83" s="1"/>
  <c r="N183" i="82"/>
  <c r="F6" i="83" s="1"/>
  <c r="L57" i="82"/>
  <c r="N56" i="82"/>
  <c r="F3" i="83" s="1"/>
  <c r="P56" i="82"/>
  <c r="G3" i="83" s="1"/>
  <c r="G31" i="81"/>
  <c r="P218" i="82"/>
  <c r="G8" i="83" s="1"/>
  <c r="C13" i="83" s="1"/>
  <c r="D13" i="83" s="1"/>
  <c r="U7" i="1" s="1"/>
  <c r="P183" i="82"/>
  <c r="G6" i="83" s="1"/>
  <c r="L183" i="82"/>
  <c r="E6" i="83" s="1"/>
  <c r="N146" i="82"/>
  <c r="F5" i="83" s="1"/>
  <c r="P102" i="82"/>
  <c r="G4" i="83" s="1"/>
  <c r="G9" i="83" s="1"/>
  <c r="L102" i="82"/>
  <c r="E4" i="83" s="1"/>
  <c r="L56" i="82"/>
  <c r="E3" i="83" s="1"/>
  <c r="D12" i="83" l="1"/>
  <c r="U6" i="1" s="1"/>
  <c r="F9" i="83"/>
  <c r="G10" i="83" s="1"/>
  <c r="G11" i="83" s="1"/>
  <c r="E9" i="83"/>
  <c r="D71" i="39"/>
  <c r="E71" i="39" s="1"/>
  <c r="F71" i="39" s="1"/>
  <c r="G71" i="39" s="1"/>
  <c r="H71" i="39" s="1"/>
  <c r="I71" i="39" s="1"/>
  <c r="J71" i="39" s="1"/>
  <c r="K71" i="39" s="1"/>
  <c r="L71" i="39" s="1"/>
  <c r="M71" i="39" s="1"/>
  <c r="N71" i="39" s="1"/>
  <c r="O71" i="39" s="1"/>
  <c r="Q72" i="78" l="1"/>
  <c r="Q59" i="78"/>
  <c r="K59" i="78"/>
  <c r="P74" i="78" s="1"/>
  <c r="F59" i="78"/>
  <c r="Q58" i="78"/>
  <c r="Q51" i="78"/>
  <c r="J50" i="78"/>
  <c r="M47" i="78"/>
  <c r="D46" i="78"/>
  <c r="F33" i="78"/>
  <c r="F61" i="78" s="1"/>
  <c r="F31" i="78"/>
  <c r="F23" i="78"/>
  <c r="D22" i="78" s="1"/>
  <c r="F21" i="78"/>
  <c r="F20" i="78"/>
  <c r="M19" i="78"/>
  <c r="F18" i="78"/>
  <c r="M17" i="78"/>
  <c r="F17" i="78"/>
  <c r="F15" i="78"/>
  <c r="N7" i="1"/>
  <c r="Y7" i="1" s="1"/>
  <c r="G20" i="6"/>
  <c r="E57" i="39" s="1"/>
  <c r="Y6" i="1"/>
  <c r="N6" i="1"/>
  <c r="I13" i="3"/>
  <c r="F19" i="6" s="1"/>
  <c r="P61" i="78" l="1"/>
  <c r="D23" i="78"/>
  <c r="D24" i="78"/>
  <c r="Q6" i="71"/>
  <c r="P6" i="71"/>
  <c r="O6" i="71"/>
  <c r="N6" i="71"/>
  <c r="AH5" i="71"/>
  <c r="AG5" i="71"/>
  <c r="AE5" i="71"/>
  <c r="AF5" i="71" s="1"/>
  <c r="AD5" i="71"/>
  <c r="Q5" i="71"/>
  <c r="P5" i="71"/>
  <c r="O5" i="71"/>
  <c r="N5" i="71"/>
  <c r="AH6" i="71"/>
  <c r="AG6" i="71"/>
  <c r="AE6" i="71"/>
  <c r="AF6" i="71" s="1"/>
  <c r="AD6" i="71"/>
  <c r="Q7" i="71"/>
  <c r="Q8" i="71"/>
  <c r="P7" i="71"/>
  <c r="P8" i="71"/>
  <c r="O7" i="71"/>
  <c r="O8" i="71"/>
  <c r="N7" i="71"/>
  <c r="N8" i="71"/>
  <c r="AH7" i="71"/>
  <c r="AG7" i="71"/>
  <c r="AE7" i="71"/>
  <c r="AF7" i="71" s="1"/>
  <c r="AD7" i="71"/>
  <c r="F24" i="12"/>
  <c r="F7" i="69"/>
  <c r="F7" i="68"/>
  <c r="M15" i="45"/>
  <c r="L15" i="45"/>
  <c r="K15" i="45"/>
  <c r="J15" i="45"/>
  <c r="I15" i="45"/>
  <c r="H15" i="45"/>
  <c r="G15" i="45"/>
  <c r="F15" i="45"/>
  <c r="E15" i="45"/>
  <c r="D15" i="45"/>
  <c r="C15" i="45"/>
  <c r="B15" i="45"/>
  <c r="AH8" i="71"/>
  <c r="AG8" i="71"/>
  <c r="AE8" i="71"/>
  <c r="AF8" i="71" s="1"/>
  <c r="AD8" i="71"/>
  <c r="AD9" i="71"/>
  <c r="AH9" i="71"/>
  <c r="AG9" i="71"/>
  <c r="AE9" i="71"/>
  <c r="AF9" i="71" s="1"/>
  <c r="Q9" i="71"/>
  <c r="P9" i="71"/>
  <c r="O9" i="71"/>
  <c r="N9" i="71"/>
  <c r="L3" i="71"/>
  <c r="AH3" i="71" s="1"/>
  <c r="K3" i="71"/>
  <c r="AG3" i="71" s="1"/>
  <c r="J3" i="71"/>
  <c r="AE3" i="71" s="1"/>
  <c r="I3" i="71"/>
  <c r="AH10" i="71"/>
  <c r="AG10" i="71"/>
  <c r="AE10" i="71"/>
  <c r="AF10" i="71" s="1"/>
  <c r="AD10" i="71"/>
  <c r="Q10" i="71"/>
  <c r="Q11" i="71"/>
  <c r="P10" i="71"/>
  <c r="P11" i="71"/>
  <c r="O10" i="71"/>
  <c r="O11" i="71"/>
  <c r="N10" i="71"/>
  <c r="N11" i="71"/>
  <c r="N12" i="71"/>
  <c r="AH11" i="71"/>
  <c r="AG11" i="71"/>
  <c r="AE11" i="71"/>
  <c r="AF11" i="71" s="1"/>
  <c r="AD11" i="71"/>
  <c r="Q12" i="71"/>
  <c r="P12" i="71"/>
  <c r="O12" i="71"/>
  <c r="M19" i="43"/>
  <c r="D14" i="71"/>
  <c r="AH12" i="71"/>
  <c r="AG12" i="71"/>
  <c r="AE12" i="71"/>
  <c r="AF12" i="71"/>
  <c r="AD12" i="71"/>
  <c r="AD13" i="71"/>
  <c r="AG13" i="71"/>
  <c r="AH13" i="71"/>
  <c r="AE13" i="71"/>
  <c r="AF13" i="71" s="1"/>
  <c r="N13" i="71"/>
  <c r="Q13" i="71"/>
  <c r="P13" i="71"/>
  <c r="O13" i="71"/>
  <c r="C13" i="71"/>
  <c r="Q14" i="71"/>
  <c r="F13" i="71"/>
  <c r="F12" i="71" s="1"/>
  <c r="F11" i="71" s="1"/>
  <c r="P14" i="71"/>
  <c r="E13" i="71"/>
  <c r="V13" i="71" s="1"/>
  <c r="O14" i="71"/>
  <c r="N14" i="71"/>
  <c r="B13" i="71"/>
  <c r="B12" i="71" s="1"/>
  <c r="B11" i="71" s="1"/>
  <c r="B10" i="71" s="1"/>
  <c r="B9" i="71" s="1"/>
  <c r="B8" i="71" s="1"/>
  <c r="B7" i="71" s="1"/>
  <c r="B6" i="71" s="1"/>
  <c r="B5" i="71" s="1"/>
  <c r="A2" i="53"/>
  <c r="B19" i="72" s="1"/>
  <c r="K59" i="67"/>
  <c r="P74" i="67" s="1"/>
  <c r="K59" i="15"/>
  <c r="P61" i="15" s="1"/>
  <c r="D116" i="39"/>
  <c r="E116" i="39"/>
  <c r="F116" i="39"/>
  <c r="G116" i="39"/>
  <c r="H116" i="39"/>
  <c r="I116" i="39"/>
  <c r="J116" i="39"/>
  <c r="K116" i="39"/>
  <c r="L116" i="39"/>
  <c r="M116" i="39"/>
  <c r="C116" i="39"/>
  <c r="A21" i="62"/>
  <c r="B67" i="72" s="1"/>
  <c r="A20" i="62"/>
  <c r="B66" i="72" s="1"/>
  <c r="A22" i="51"/>
  <c r="A21" i="51"/>
  <c r="A20" i="51"/>
  <c r="A14" i="62"/>
  <c r="B60" i="72" s="1"/>
  <c r="A13" i="62"/>
  <c r="B59" i="72" s="1"/>
  <c r="A19" i="62"/>
  <c r="B65" i="72" s="1"/>
  <c r="A12" i="62"/>
  <c r="B58" i="72"/>
  <c r="A120" i="9"/>
  <c r="H2" i="52"/>
  <c r="A1" i="52"/>
  <c r="A3" i="53"/>
  <c r="Q15" i="71"/>
  <c r="P15" i="71"/>
  <c r="O15" i="71"/>
  <c r="N15"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H28" i="71"/>
  <c r="AG28" i="71"/>
  <c r="AE28" i="71"/>
  <c r="AF28" i="71"/>
  <c r="AD28" i="71"/>
  <c r="AD29" i="71"/>
  <c r="AE29" i="71"/>
  <c r="AF29" i="71" s="1"/>
  <c r="AG29" i="71"/>
  <c r="AH29" i="71"/>
  <c r="S2" i="31"/>
  <c r="M2" i="31"/>
  <c r="N2" i="31"/>
  <c r="O2" i="31"/>
  <c r="P2" i="31"/>
  <c r="Q2" i="31"/>
  <c r="R2" i="31"/>
  <c r="C1" i="73"/>
  <c r="L1" i="73" s="1"/>
  <c r="B74" i="72"/>
  <c r="Y12" i="43"/>
  <c r="Y10" i="43"/>
  <c r="AJ9" i="43"/>
  <c r="AJ12" i="43" s="1"/>
  <c r="AI9" i="43"/>
  <c r="AI12" i="43" s="1"/>
  <c r="AH9" i="43"/>
  <c r="AH10" i="43" s="1"/>
  <c r="AH12" i="43"/>
  <c r="AG9" i="43"/>
  <c r="AG10" i="43" s="1"/>
  <c r="AF9" i="43"/>
  <c r="AF10" i="43" s="1"/>
  <c r="AF12" i="43"/>
  <c r="AE9" i="43"/>
  <c r="AE12" i="43"/>
  <c r="AD9" i="43"/>
  <c r="AD12" i="43" s="1"/>
  <c r="AC9" i="43"/>
  <c r="AC10" i="43" s="1"/>
  <c r="AB9" i="43"/>
  <c r="AB10" i="43" s="1"/>
  <c r="AA9" i="43"/>
  <c r="AA10" i="43" s="1"/>
  <c r="Z9" i="43"/>
  <c r="Z12" i="43" s="1"/>
  <c r="AE10" i="43"/>
  <c r="AI10" i="43"/>
  <c r="Z10" i="43"/>
  <c r="AD10" i="43"/>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B49" i="48"/>
  <c r="B5" i="72" s="1"/>
  <c r="I19" i="43"/>
  <c r="D78" i="71"/>
  <c r="F77" i="71"/>
  <c r="F76" i="71" s="1"/>
  <c r="F75" i="71" s="1"/>
  <c r="E77" i="71"/>
  <c r="E76" i="71" s="1"/>
  <c r="E75" i="71" s="1"/>
  <c r="C77" i="71"/>
  <c r="D77" i="71"/>
  <c r="B77" i="71"/>
  <c r="B76" i="71" s="1"/>
  <c r="B75" i="71" s="1"/>
  <c r="D74" i="71"/>
  <c r="F73" i="71"/>
  <c r="F72" i="71" s="1"/>
  <c r="F71" i="71" s="1"/>
  <c r="E73" i="71"/>
  <c r="E72" i="71"/>
  <c r="E71" i="71"/>
  <c r="C73" i="71"/>
  <c r="D73" i="71" s="1"/>
  <c r="B73" i="71"/>
  <c r="B72" i="71" s="1"/>
  <c r="B71" i="71" s="1"/>
  <c r="D70" i="71"/>
  <c r="Q69" i="71"/>
  <c r="P69" i="71"/>
  <c r="O69" i="71"/>
  <c r="N69" i="71"/>
  <c r="F69" i="71"/>
  <c r="V69" i="71"/>
  <c r="E69" i="71"/>
  <c r="U69" i="71" s="1"/>
  <c r="C69" i="71"/>
  <c r="T69" i="71" s="1"/>
  <c r="B69" i="71"/>
  <c r="S69" i="71"/>
  <c r="Q68" i="71"/>
  <c r="P68" i="71"/>
  <c r="O68" i="71"/>
  <c r="N68" i="71"/>
  <c r="F68" i="71"/>
  <c r="F67" i="71" s="1"/>
  <c r="B68" i="71"/>
  <c r="B67" i="71" s="1"/>
  <c r="Q67" i="71"/>
  <c r="P67" i="71"/>
  <c r="O67" i="71"/>
  <c r="N67" i="71"/>
  <c r="Q66" i="71"/>
  <c r="P66" i="71"/>
  <c r="O66" i="71"/>
  <c r="N66" i="71"/>
  <c r="D66" i="71"/>
  <c r="Q65" i="71"/>
  <c r="P65" i="71"/>
  <c r="O65" i="71"/>
  <c r="N65" i="71"/>
  <c r="F65" i="71"/>
  <c r="V65" i="71" s="1"/>
  <c r="E65" i="71"/>
  <c r="U65" i="71" s="1"/>
  <c r="C65" i="71"/>
  <c r="D65" i="71" s="1"/>
  <c r="T65" i="71"/>
  <c r="B65" i="71"/>
  <c r="B64" i="71" s="1"/>
  <c r="B63" i="71" s="1"/>
  <c r="Q64" i="71"/>
  <c r="P64" i="71"/>
  <c r="O64" i="71"/>
  <c r="N64" i="71"/>
  <c r="F64" i="71"/>
  <c r="F63" i="71" s="1"/>
  <c r="Q63" i="71"/>
  <c r="P63" i="71"/>
  <c r="O63" i="71"/>
  <c r="N63" i="71"/>
  <c r="Q62" i="71"/>
  <c r="P62" i="71"/>
  <c r="O62" i="71"/>
  <c r="N62" i="71"/>
  <c r="D62" i="71"/>
  <c r="Q61" i="71"/>
  <c r="P61" i="71"/>
  <c r="O61" i="71"/>
  <c r="N61" i="71"/>
  <c r="F61" i="71"/>
  <c r="V61" i="71"/>
  <c r="E61" i="71"/>
  <c r="U61" i="71" s="1"/>
  <c r="C61" i="71"/>
  <c r="T61" i="71" s="1"/>
  <c r="B61" i="71"/>
  <c r="S61" i="71" s="1"/>
  <c r="Q60" i="71"/>
  <c r="P60" i="71"/>
  <c r="O60" i="71"/>
  <c r="N60" i="71"/>
  <c r="F60" i="71"/>
  <c r="F59" i="71" s="1"/>
  <c r="Q59" i="71"/>
  <c r="P59" i="71"/>
  <c r="O59" i="71"/>
  <c r="N59" i="71"/>
  <c r="Q58" i="71"/>
  <c r="P58" i="71"/>
  <c r="O58" i="71"/>
  <c r="N58" i="71"/>
  <c r="D58" i="71"/>
  <c r="F57" i="71"/>
  <c r="F56" i="71" s="1"/>
  <c r="F55" i="71" s="1"/>
  <c r="Q55" i="71" s="1"/>
  <c r="E57" i="71"/>
  <c r="P57" i="71" s="1"/>
  <c r="C57" i="71"/>
  <c r="D57" i="71" s="1"/>
  <c r="B57" i="71"/>
  <c r="S57" i="71" s="1"/>
  <c r="B56" i="71"/>
  <c r="B55" i="71" s="1"/>
  <c r="N55" i="71" s="1"/>
  <c r="D54" i="71"/>
  <c r="Q53" i="71"/>
  <c r="P53" i="71"/>
  <c r="O53" i="71"/>
  <c r="N53" i="71"/>
  <c r="Q52" i="71"/>
  <c r="P52" i="71"/>
  <c r="O52" i="71"/>
  <c r="N52" i="71"/>
  <c r="Q51" i="71"/>
  <c r="P51" i="71"/>
  <c r="O51" i="71"/>
  <c r="N51" i="71"/>
  <c r="Q50" i="71"/>
  <c r="F51" i="71" s="1"/>
  <c r="P50" i="71"/>
  <c r="E51" i="71" s="1"/>
  <c r="E52" i="71" s="1"/>
  <c r="E53" i="71" s="1"/>
  <c r="U53" i="71" s="1"/>
  <c r="O50" i="71"/>
  <c r="C51" i="71"/>
  <c r="C52"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O46" i="71"/>
  <c r="C47" i="71" s="1"/>
  <c r="C48" i="71" s="1"/>
  <c r="N46" i="71"/>
  <c r="B47" i="71" s="1"/>
  <c r="B48" i="71" s="1"/>
  <c r="D46" i="71"/>
  <c r="Q45" i="71"/>
  <c r="P45" i="71"/>
  <c r="O45" i="71"/>
  <c r="N45" i="71"/>
  <c r="Q44" i="71"/>
  <c r="P44" i="71"/>
  <c r="O44" i="71"/>
  <c r="N44" i="71"/>
  <c r="Q43" i="71"/>
  <c r="P43" i="71"/>
  <c r="O43" i="71"/>
  <c r="N43" i="71"/>
  <c r="Q42" i="71"/>
  <c r="F43" i="7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c r="F40" i="71" s="1"/>
  <c r="F41" i="71" s="1"/>
  <c r="V41" i="71" s="1"/>
  <c r="P38" i="71"/>
  <c r="E39" i="71" s="1"/>
  <c r="E40" i="71" s="1"/>
  <c r="E41" i="71" s="1"/>
  <c r="U41" i="71" s="1"/>
  <c r="O38" i="71"/>
  <c r="C39" i="71" s="1"/>
  <c r="N38" i="71"/>
  <c r="B39" i="71" s="1"/>
  <c r="B40" i="71" s="1"/>
  <c r="D38" i="71"/>
  <c r="T37" i="71"/>
  <c r="Q37" i="71"/>
  <c r="P37" i="71"/>
  <c r="O37" i="71"/>
  <c r="N37" i="71"/>
  <c r="D37" i="71"/>
  <c r="Q36" i="71"/>
  <c r="P36" i="71"/>
  <c r="O36" i="71"/>
  <c r="N36" i="71"/>
  <c r="Q35" i="71"/>
  <c r="P35" i="71"/>
  <c r="O35" i="71"/>
  <c r="N35" i="71"/>
  <c r="F35" i="71"/>
  <c r="Q34" i="71"/>
  <c r="P34" i="71"/>
  <c r="E35" i="71"/>
  <c r="O34" i="71"/>
  <c r="C35" i="71" s="1"/>
  <c r="D35" i="71" s="1"/>
  <c r="N34" i="71"/>
  <c r="B35" i="71" s="1"/>
  <c r="D34" i="71"/>
  <c r="Q33" i="71"/>
  <c r="P33" i="71"/>
  <c r="O33" i="71"/>
  <c r="N33" i="71"/>
  <c r="Q32" i="71"/>
  <c r="P32" i="71"/>
  <c r="O32" i="71"/>
  <c r="N32" i="71"/>
  <c r="Q31" i="71"/>
  <c r="P31" i="71"/>
  <c r="O31" i="71"/>
  <c r="N31" i="71"/>
  <c r="Q30" i="71"/>
  <c r="F31" i="71" s="1"/>
  <c r="P30" i="71"/>
  <c r="E31" i="71"/>
  <c r="E32" i="71" s="1"/>
  <c r="E33" i="71" s="1"/>
  <c r="U33" i="71" s="1"/>
  <c r="O30" i="71"/>
  <c r="C31" i="71" s="1"/>
  <c r="N30" i="71"/>
  <c r="B31" i="71" s="1"/>
  <c r="B32" i="71" s="1"/>
  <c r="B33" i="71" s="1"/>
  <c r="S33" i="71" s="1"/>
  <c r="D30" i="71"/>
  <c r="Q29" i="71"/>
  <c r="P29" i="71"/>
  <c r="O29" i="71"/>
  <c r="N29" i="71"/>
  <c r="Q28" i="71"/>
  <c r="AB28" i="71" s="1"/>
  <c r="P28" i="71"/>
  <c r="AA28" i="71" s="1"/>
  <c r="O28" i="71"/>
  <c r="Y26" i="71" s="1"/>
  <c r="Z26" i="71" s="1"/>
  <c r="Y28" i="71"/>
  <c r="Z28" i="71" s="1"/>
  <c r="N28" i="71"/>
  <c r="X28" i="71" s="1"/>
  <c r="Q27" i="71"/>
  <c r="P27" i="71"/>
  <c r="AA27" i="71" s="1"/>
  <c r="O27" i="71"/>
  <c r="N27" i="71"/>
  <c r="X27" i="71" s="1"/>
  <c r="Q26" i="71"/>
  <c r="P26" i="71"/>
  <c r="O26" i="71"/>
  <c r="N26" i="71"/>
  <c r="B27" i="71" s="1"/>
  <c r="B28" i="71" s="1"/>
  <c r="B29" i="71" s="1"/>
  <c r="S29" i="71" s="1"/>
  <c r="D26" i="71"/>
  <c r="Q25" i="71"/>
  <c r="P25" i="71"/>
  <c r="AA25" i="71" s="1"/>
  <c r="O25" i="71"/>
  <c r="Y25" i="71" s="1"/>
  <c r="Z25" i="71" s="1"/>
  <c r="N25" i="71"/>
  <c r="Q24" i="71"/>
  <c r="AB24" i="71" s="1"/>
  <c r="P24" i="71"/>
  <c r="O24" i="71"/>
  <c r="N24" i="71"/>
  <c r="Q23" i="71"/>
  <c r="P23" i="71"/>
  <c r="AA14" i="71" s="1"/>
  <c r="O23" i="71"/>
  <c r="Y23" i="71" s="1"/>
  <c r="Z23" i="71" s="1"/>
  <c r="N23" i="71"/>
  <c r="Q22" i="71"/>
  <c r="F23" i="71" s="1"/>
  <c r="F24" i="71" s="1"/>
  <c r="F25" i="71" s="1"/>
  <c r="V25" i="71" s="1"/>
  <c r="P22" i="71"/>
  <c r="O22" i="71"/>
  <c r="N22" i="71"/>
  <c r="D22" i="71"/>
  <c r="Q21" i="71"/>
  <c r="AB21" i="71" s="1"/>
  <c r="P21" i="71"/>
  <c r="O21" i="71"/>
  <c r="N21" i="71"/>
  <c r="Q20" i="71"/>
  <c r="AB20" i="71" s="1"/>
  <c r="P20" i="71"/>
  <c r="AA20" i="71" s="1"/>
  <c r="O20" i="71"/>
  <c r="N20" i="71"/>
  <c r="Q19" i="71"/>
  <c r="P19" i="71"/>
  <c r="O19" i="71"/>
  <c r="C20" i="71" s="1"/>
  <c r="D20" i="71" s="1"/>
  <c r="N19" i="71"/>
  <c r="Q18" i="71"/>
  <c r="P18" i="71"/>
  <c r="O18" i="71"/>
  <c r="N18" i="71"/>
  <c r="B19" i="71" s="1"/>
  <c r="D18" i="71"/>
  <c r="O17" i="71"/>
  <c r="N17" i="71"/>
  <c r="E19" i="71"/>
  <c r="E20" i="71" s="1"/>
  <c r="E21" i="71" s="1"/>
  <c r="U21" i="71" s="1"/>
  <c r="E27" i="71"/>
  <c r="E28" i="71" s="1"/>
  <c r="E29" i="71" s="1"/>
  <c r="U29" i="71" s="1"/>
  <c r="N57" i="71"/>
  <c r="E23" i="71"/>
  <c r="E24" i="71" s="1"/>
  <c r="E25" i="71" s="1"/>
  <c r="U25" i="71" s="1"/>
  <c r="C19" i="71"/>
  <c r="D19" i="71" s="1"/>
  <c r="C23" i="71"/>
  <c r="X25" i="71"/>
  <c r="C27" i="71"/>
  <c r="C17" i="71"/>
  <c r="D17" i="71" s="1"/>
  <c r="U17" i="71" s="1"/>
  <c r="C28" i="71"/>
  <c r="C29" i="71" s="1"/>
  <c r="D27" i="71"/>
  <c r="P17" i="71"/>
  <c r="E17" i="71" s="1"/>
  <c r="E44" i="71"/>
  <c r="E45" i="71" s="1"/>
  <c r="U45" i="71" s="1"/>
  <c r="Q54" i="71"/>
  <c r="Q17" i="71"/>
  <c r="AB15" i="71" s="1"/>
  <c r="N56" i="71"/>
  <c r="T57" i="71"/>
  <c r="O57" i="71"/>
  <c r="C56" i="71"/>
  <c r="C55" i="71" s="1"/>
  <c r="C60" i="71"/>
  <c r="D60" i="71" s="1"/>
  <c r="D61" i="71"/>
  <c r="C64" i="71"/>
  <c r="C63" i="71" s="1"/>
  <c r="D63" i="71" s="1"/>
  <c r="E68" i="71"/>
  <c r="E67" i="71" s="1"/>
  <c r="C76" i="71"/>
  <c r="D76" i="71" s="1"/>
  <c r="C16" i="71"/>
  <c r="AA16" i="71"/>
  <c r="D56" i="71"/>
  <c r="N54" i="71"/>
  <c r="C59" i="71"/>
  <c r="D59" i="71" s="1"/>
  <c r="D28"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s="1"/>
  <c r="A12" i="70"/>
  <c r="E12" i="70" s="1"/>
  <c r="A13" i="70"/>
  <c r="E13" i="70"/>
  <c r="A6" i="70"/>
  <c r="Q25" i="40"/>
  <c r="Z25" i="40"/>
  <c r="D94" i="40"/>
  <c r="E94" i="40" s="1"/>
  <c r="F94" i="40" s="1"/>
  <c r="G94" i="40" s="1"/>
  <c r="F25" i="40"/>
  <c r="AA25" i="40" s="1"/>
  <c r="Q29" i="39"/>
  <c r="Z29" i="39" s="1"/>
  <c r="D103" i="39"/>
  <c r="E103" i="39" s="1"/>
  <c r="F103" i="39" s="1"/>
  <c r="Q18" i="36"/>
  <c r="Z18" i="36"/>
  <c r="D66" i="36"/>
  <c r="E66" i="36" s="1"/>
  <c r="F66" i="36"/>
  <c r="G66" i="36" s="1"/>
  <c r="H18" i="36"/>
  <c r="AB18" i="36" s="1"/>
  <c r="F18" i="36"/>
  <c r="AA18" i="36" s="1"/>
  <c r="C18" i="36"/>
  <c r="Q18" i="35"/>
  <c r="Z18" i="35" s="1"/>
  <c r="D68" i="35"/>
  <c r="E68" i="35" s="1"/>
  <c r="F68" i="35" s="1"/>
  <c r="G68" i="35" s="1"/>
  <c r="F18" i="35"/>
  <c r="AA18" i="35" s="1"/>
  <c r="C18" i="35"/>
  <c r="Z21" i="37"/>
  <c r="Q21" i="37"/>
  <c r="D77" i="37"/>
  <c r="E77" i="37" s="1"/>
  <c r="F77" i="37" s="1"/>
  <c r="G77" i="37" s="1"/>
  <c r="C21" i="37"/>
  <c r="Z21" i="34"/>
  <c r="Q21" i="34"/>
  <c r="D84" i="34"/>
  <c r="E84" i="34"/>
  <c r="F84" i="34" s="1"/>
  <c r="G84" i="34" s="1"/>
  <c r="F21" i="34"/>
  <c r="C21" i="34"/>
  <c r="Q21" i="33"/>
  <c r="Z21" i="33" s="1"/>
  <c r="D83" i="33"/>
  <c r="E83" i="33" s="1"/>
  <c r="F83" i="33" s="1"/>
  <c r="G83" i="33" s="1"/>
  <c r="C21" i="33"/>
  <c r="C21" i="21"/>
  <c r="Q21" i="21"/>
  <c r="Z21" i="21" s="1"/>
  <c r="H19" i="21"/>
  <c r="D83" i="21"/>
  <c r="E83" i="21" s="1"/>
  <c r="F83" i="21" s="1"/>
  <c r="G83" i="21" s="1"/>
  <c r="F21" i="21"/>
  <c r="AA21" i="21" s="1"/>
  <c r="D81" i="21"/>
  <c r="G20" i="20"/>
  <c r="C25" i="40" s="1"/>
  <c r="B86" i="43"/>
  <c r="C22" i="20"/>
  <c r="B75" i="43" s="1"/>
  <c r="S18" i="36"/>
  <c r="U18" i="36"/>
  <c r="H25" i="40"/>
  <c r="AB25" i="40" s="1"/>
  <c r="J25" i="40"/>
  <c r="AC25" i="40" s="1"/>
  <c r="H29" i="39"/>
  <c r="AB29" i="39" s="1"/>
  <c r="G103" i="39"/>
  <c r="J18" i="36"/>
  <c r="H18" i="35"/>
  <c r="U18" i="35" s="1"/>
  <c r="J18" i="35"/>
  <c r="W18" i="35" s="1"/>
  <c r="H21" i="37"/>
  <c r="AB21" i="37" s="1"/>
  <c r="F21" i="37"/>
  <c r="AA21" i="37" s="1"/>
  <c r="H21" i="34"/>
  <c r="H21" i="33"/>
  <c r="U21" i="33" s="1"/>
  <c r="F21" i="33"/>
  <c r="AA21" i="33" s="1"/>
  <c r="H1" i="69"/>
  <c r="W25" i="40"/>
  <c r="U25" i="40"/>
  <c r="U29" i="39"/>
  <c r="U21" i="37"/>
  <c r="S21" i="37"/>
  <c r="S21" i="33"/>
  <c r="AB18" i="35"/>
  <c r="AC18" i="35"/>
  <c r="J21" i="37"/>
  <c r="AC21" i="37" s="1"/>
  <c r="J21" i="34"/>
  <c r="AC21" i="34" s="1"/>
  <c r="J21" i="33"/>
  <c r="W21" i="33" s="1"/>
  <c r="H21" i="21"/>
  <c r="F38" i="69"/>
  <c r="E37" i="69"/>
  <c r="F36" i="69"/>
  <c r="F35" i="69"/>
  <c r="F21" i="69"/>
  <c r="C21" i="69" s="1"/>
  <c r="F20" i="69"/>
  <c r="E10" i="69"/>
  <c r="E9" i="69"/>
  <c r="C7" i="69"/>
  <c r="J21" i="21"/>
  <c r="W21" i="21" s="1"/>
  <c r="C40" i="69"/>
  <c r="F38" i="68"/>
  <c r="E37" i="68"/>
  <c r="F36" i="68"/>
  <c r="F35" i="68"/>
  <c r="F21" i="68"/>
  <c r="C21" i="68" s="1"/>
  <c r="F20" i="68"/>
  <c r="E10" i="68"/>
  <c r="E9" i="68"/>
  <c r="Q72" i="67"/>
  <c r="Q59" i="67"/>
  <c r="Q58" i="67"/>
  <c r="Q51" i="67"/>
  <c r="J50" i="67"/>
  <c r="M47" i="67"/>
  <c r="D46" i="67"/>
  <c r="F33" i="67"/>
  <c r="F61" i="67"/>
  <c r="F23" i="67"/>
  <c r="D24" i="67"/>
  <c r="F21" i="67"/>
  <c r="F20" i="67"/>
  <c r="M19" i="67"/>
  <c r="F18" i="67"/>
  <c r="F17" i="67"/>
  <c r="F15" i="67"/>
  <c r="S2" i="4"/>
  <c r="C51" i="10" s="1"/>
  <c r="A13" i="51" s="1"/>
  <c r="B11" i="72" s="1"/>
  <c r="S1" i="4"/>
  <c r="B1" i="4"/>
  <c r="B37" i="48" s="1"/>
  <c r="B2" i="72" s="1"/>
  <c r="C31" i="66"/>
  <c r="C27" i="66"/>
  <c r="C32" i="66"/>
  <c r="I23" i="66"/>
  <c r="D20" i="66"/>
  <c r="I19" i="66"/>
  <c r="I18" i="66"/>
  <c r="I17" i="66"/>
  <c r="I20" i="66" s="1"/>
  <c r="E15" i="66"/>
  <c r="I14" i="66"/>
  <c r="I13" i="66"/>
  <c r="I12" i="66"/>
  <c r="I9" i="66"/>
  <c r="I8" i="66"/>
  <c r="I7" i="66"/>
  <c r="I6" i="66"/>
  <c r="I5" i="66"/>
  <c r="I4" i="66"/>
  <c r="I3" i="66"/>
  <c r="I10" i="66" s="1"/>
  <c r="I21" i="66" s="1"/>
  <c r="D1" i="43"/>
  <c r="F113" i="43"/>
  <c r="N99" i="43"/>
  <c r="N108" i="43" s="1"/>
  <c r="D99" i="43"/>
  <c r="D108" i="43" s="1"/>
  <c r="E99" i="43"/>
  <c r="E108" i="43" s="1"/>
  <c r="F99" i="43"/>
  <c r="F108" i="43" s="1"/>
  <c r="G99" i="43"/>
  <c r="G108" i="43"/>
  <c r="H99" i="43"/>
  <c r="H108" i="43" s="1"/>
  <c r="I99" i="43"/>
  <c r="I100" i="43" s="1"/>
  <c r="I108" i="43"/>
  <c r="J99" i="43"/>
  <c r="J108" i="43" s="1"/>
  <c r="K99" i="43"/>
  <c r="K108" i="43" s="1"/>
  <c r="L99" i="43"/>
  <c r="L100" i="43" s="1"/>
  <c r="L108" i="43"/>
  <c r="M99" i="43"/>
  <c r="M108" i="43"/>
  <c r="C99" i="43"/>
  <c r="C108" i="43" s="1"/>
  <c r="N100" i="43"/>
  <c r="D100" i="43"/>
  <c r="G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c r="M86" i="43"/>
  <c r="N86" i="43" s="1"/>
  <c r="K86" i="43"/>
  <c r="J86" i="43" s="1"/>
  <c r="M85" i="43"/>
  <c r="N85" i="43" s="1"/>
  <c r="K85" i="43"/>
  <c r="J85" i="43" s="1"/>
  <c r="M84" i="43"/>
  <c r="N84" i="43" s="1"/>
  <c r="K84" i="43"/>
  <c r="J84" i="43" s="1"/>
  <c r="M83" i="43"/>
  <c r="N83" i="43"/>
  <c r="K83" i="43"/>
  <c r="J83" i="43"/>
  <c r="M82" i="43"/>
  <c r="N82" i="43" s="1"/>
  <c r="K82" i="43"/>
  <c r="J82" i="43" s="1"/>
  <c r="M81" i="43"/>
  <c r="N81" i="43" s="1"/>
  <c r="K81" i="43"/>
  <c r="J81"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c r="D74" i="43"/>
  <c r="M73" i="43"/>
  <c r="N73" i="43" s="1"/>
  <c r="K73" i="43"/>
  <c r="J73" i="43" s="1"/>
  <c r="D73" i="43"/>
  <c r="M72" i="43"/>
  <c r="N72" i="43" s="1"/>
  <c r="K72" i="43"/>
  <c r="J72" i="43" s="1"/>
  <c r="D72" i="43"/>
  <c r="M71" i="43"/>
  <c r="N71" i="43"/>
  <c r="K71" i="43"/>
  <c r="J71" i="43" s="1"/>
  <c r="D71" i="43"/>
  <c r="M70" i="43"/>
  <c r="N70" i="43" s="1"/>
  <c r="K70" i="43"/>
  <c r="J70" i="43"/>
  <c r="D70" i="43"/>
  <c r="M67" i="43"/>
  <c r="N67" i="43" s="1"/>
  <c r="K67" i="43"/>
  <c r="J67" i="43" s="1"/>
  <c r="M66" i="43"/>
  <c r="N66" i="43" s="1"/>
  <c r="K66" i="43"/>
  <c r="J66" i="43" s="1"/>
  <c r="M65" i="43"/>
  <c r="N65" i="43"/>
  <c r="K65" i="43"/>
  <c r="J65" i="43"/>
  <c r="M64" i="43"/>
  <c r="N64" i="43" s="1"/>
  <c r="K64" i="43"/>
  <c r="J64" i="43" s="1"/>
  <c r="M63" i="43"/>
  <c r="N63" i="43" s="1"/>
  <c r="K63" i="43"/>
  <c r="J63" i="43" s="1"/>
  <c r="M62" i="43"/>
  <c r="N62" i="43"/>
  <c r="K62" i="43"/>
  <c r="J62" i="43" s="1"/>
  <c r="M61" i="43"/>
  <c r="N61" i="43" s="1"/>
  <c r="K61" i="43"/>
  <c r="J61" i="43" s="1"/>
  <c r="M60" i="43"/>
  <c r="N60" i="43" s="1"/>
  <c r="K60" i="43"/>
  <c r="J60" i="43" s="1"/>
  <c r="M59" i="43"/>
  <c r="N59" i="43" s="1"/>
  <c r="K59" i="43"/>
  <c r="J59" i="43"/>
  <c r="M56" i="43"/>
  <c r="N56" i="43" s="1"/>
  <c r="K56" i="43"/>
  <c r="J56" i="43" s="1"/>
  <c r="D56" i="43"/>
  <c r="M55" i="43"/>
  <c r="N55" i="43" s="1"/>
  <c r="K55" i="43"/>
  <c r="J55" i="43" s="1"/>
  <c r="D55" i="43"/>
  <c r="M54" i="43"/>
  <c r="N54" i="43" s="1"/>
  <c r="K54" i="43"/>
  <c r="J54" i="43" s="1"/>
  <c r="D54" i="43"/>
  <c r="M53" i="43"/>
  <c r="N53" i="43" s="1"/>
  <c r="K53" i="43"/>
  <c r="J53" i="43"/>
  <c r="D53" i="43"/>
  <c r="M52" i="43"/>
  <c r="N52" i="43"/>
  <c r="K52" i="43"/>
  <c r="J52" i="43" s="1"/>
  <c r="D52" i="43"/>
  <c r="M51" i="43"/>
  <c r="N51" i="43"/>
  <c r="K51" i="43"/>
  <c r="J51" i="43" s="1"/>
  <c r="D51" i="43"/>
  <c r="M50" i="43"/>
  <c r="N50" i="43" s="1"/>
  <c r="K50" i="43"/>
  <c r="J50" i="43"/>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8" s="1"/>
  <c r="F15" i="4"/>
  <c r="F8" i="1"/>
  <c r="F9" i="1"/>
  <c r="F10" i="1"/>
  <c r="F11" i="1"/>
  <c r="F12" i="1"/>
  <c r="F13" i="1"/>
  <c r="D6" i="1"/>
  <c r="D9" i="1"/>
  <c r="D10" i="1"/>
  <c r="D11" i="1"/>
  <c r="D12" i="1"/>
  <c r="D13" i="1"/>
  <c r="D7" i="1"/>
  <c r="D8" i="1"/>
  <c r="A7" i="1"/>
  <c r="B7" i="1" s="1"/>
  <c r="E7" i="1" s="1"/>
  <c r="A8" i="1"/>
  <c r="B8" i="1"/>
  <c r="E8" i="1" s="1"/>
  <c r="A9" i="1"/>
  <c r="A10" i="1"/>
  <c r="K10" i="1" s="1"/>
  <c r="M10" i="1" s="1"/>
  <c r="A11" i="1"/>
  <c r="A12" i="1"/>
  <c r="A13" i="1"/>
  <c r="B13" i="1" s="1"/>
  <c r="E13" i="1" s="1"/>
  <c r="A6" i="1"/>
  <c r="G1" i="78" s="1"/>
  <c r="B11" i="1"/>
  <c r="E11"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A98" i="3" s="1"/>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G95" i="3" s="1"/>
  <c r="H95" i="3"/>
  <c r="BT94" i="3"/>
  <c r="BS94" i="3"/>
  <c r="BR94" i="3"/>
  <c r="BL94" i="3" s="1"/>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L88" i="3" s="1"/>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A82" i="3" s="1"/>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L67" i="3" s="1"/>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L62" i="3" s="1"/>
  <c r="BP62" i="3"/>
  <c r="BO62" i="3"/>
  <c r="BN62" i="3"/>
  <c r="BM62" i="3"/>
  <c r="BK62" i="3"/>
  <c r="BJ62" i="3"/>
  <c r="BI62" i="3"/>
  <c r="BH62" i="3"/>
  <c r="BG62" i="3"/>
  <c r="BF62" i="3"/>
  <c r="BE62" i="3"/>
  <c r="BA62" i="3" s="1"/>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A59" i="3" s="1"/>
  <c r="BD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L56" i="3" s="1"/>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L23" i="3" s="1"/>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L190" i="3" s="1"/>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L177" i="3" s="1"/>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L158" i="3" s="1"/>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L157" i="3" s="1"/>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L145" i="3" s="1"/>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L142" i="3" s="1"/>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A136" i="3" s="1"/>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L114" i="3" s="1"/>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A299" i="3" s="1"/>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A283" i="3" s="1"/>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L277" i="3" s="1"/>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L254" i="3" s="1"/>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A396" i="3" s="1"/>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A384" i="3" s="1"/>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A370" i="3" s="1"/>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L348" i="3" s="1"/>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A473" i="3" s="1"/>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A469" i="3" s="1"/>
  <c r="AZ469" i="3" s="1"/>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L441" i="3" s="1"/>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A435" i="3" s="1"/>
  <c r="AZ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A417" i="3" s="1"/>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L413" i="3" s="1"/>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A403" i="3" s="1"/>
  <c r="AZ403" i="3" s="1"/>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H60" i="40"/>
  <c r="I60" i="40" s="1"/>
  <c r="C60" i="40" s="1"/>
  <c r="H59" i="40"/>
  <c r="I59" i="40"/>
  <c r="C59" i="40" s="1"/>
  <c r="H58" i="40"/>
  <c r="I58" i="40"/>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c r="A4" i="62"/>
  <c r="B70" i="72" s="1"/>
  <c r="F33" i="9"/>
  <c r="B13" i="53"/>
  <c r="B29" i="72" s="1"/>
  <c r="R35" i="4"/>
  <c r="Q35" i="4"/>
  <c r="P35" i="4"/>
  <c r="O35" i="4"/>
  <c r="N35" i="4"/>
  <c r="M35" i="4"/>
  <c r="L35" i="4"/>
  <c r="K34" i="4"/>
  <c r="T34" i="4" s="1"/>
  <c r="T35" i="4" s="1"/>
  <c r="A19" i="51" s="1"/>
  <c r="B14" i="72" s="1"/>
  <c r="G11" i="1"/>
  <c r="I15" i="4"/>
  <c r="H15" i="4"/>
  <c r="G15" i="4"/>
  <c r="E15" i="4"/>
  <c r="C10" i="39" s="1"/>
  <c r="D15" i="4"/>
  <c r="F7" i="1"/>
  <c r="G7" i="1" s="1"/>
  <c r="L21" i="4"/>
  <c r="F19" i="4"/>
  <c r="F2" i="52"/>
  <c r="B50" i="72" s="1"/>
  <c r="D2" i="52"/>
  <c r="B46" i="72" s="1"/>
  <c r="B8" i="53"/>
  <c r="B23" i="72" s="1"/>
  <c r="L4" i="9"/>
  <c r="B17" i="72"/>
  <c r="B15" i="72"/>
  <c r="A3" i="51"/>
  <c r="C8" i="11"/>
  <c r="B2" i="49"/>
  <c r="B7" i="49" s="1"/>
  <c r="B40" i="48"/>
  <c r="B3" i="72" s="1"/>
  <c r="I2" i="43"/>
  <c r="N1" i="43"/>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C92"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c r="E44" i="35"/>
  <c r="F44" i="35" s="1"/>
  <c r="I54" i="33"/>
  <c r="J54" i="33" s="1"/>
  <c r="G54" i="33"/>
  <c r="E54" i="33"/>
  <c r="H493" i="3"/>
  <c r="AC493" i="3"/>
  <c r="BB493" i="3"/>
  <c r="BC493" i="3"/>
  <c r="BD493" i="3"/>
  <c r="BE493" i="3"/>
  <c r="BF493" i="3"/>
  <c r="BG493" i="3"/>
  <c r="BH493" i="3"/>
  <c r="BI493" i="3"/>
  <c r="BA493" i="3" s="1"/>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N494" i="3"/>
  <c r="BO494" i="3"/>
  <c r="BL494" i="3" s="1"/>
  <c r="AZ494" i="3" s="1"/>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A496" i="3" s="1"/>
  <c r="AZ496" i="3" s="1"/>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A498" i="3" s="1"/>
  <c r="AZ498" i="3" s="1"/>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L499" i="3" s="1"/>
  <c r="BN499" i="3"/>
  <c r="BO499" i="3"/>
  <c r="BP499" i="3"/>
  <c r="BR499" i="3"/>
  <c r="BS499" i="3"/>
  <c r="BT499" i="3"/>
  <c r="H500" i="3"/>
  <c r="AC500" i="3"/>
  <c r="BB500" i="3"/>
  <c r="BC500" i="3"/>
  <c r="BD500" i="3"/>
  <c r="BE500" i="3"/>
  <c r="BA500" i="3" s="1"/>
  <c r="BF500" i="3"/>
  <c r="BG500" i="3"/>
  <c r="BH500" i="3"/>
  <c r="BI500" i="3"/>
  <c r="BJ500" i="3"/>
  <c r="BK500" i="3"/>
  <c r="BM500" i="3"/>
  <c r="BN500" i="3"/>
  <c r="BO500" i="3"/>
  <c r="BP500" i="3"/>
  <c r="BQ500" i="3"/>
  <c r="BR500" i="3"/>
  <c r="BL500" i="3" s="1"/>
  <c r="AZ500" i="3" s="1"/>
  <c r="BS500" i="3"/>
  <c r="BT500" i="3"/>
  <c r="H501" i="3"/>
  <c r="AC501" i="3"/>
  <c r="BB501" i="3"/>
  <c r="BC501" i="3"/>
  <c r="BD501" i="3"/>
  <c r="BE501" i="3"/>
  <c r="BF501" i="3"/>
  <c r="BG501" i="3"/>
  <c r="BH501" i="3"/>
  <c r="BI501" i="3"/>
  <c r="BA501" i="3" s="1"/>
  <c r="AZ501" i="3" s="1"/>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L502" i="3" s="1"/>
  <c r="BP502" i="3"/>
  <c r="BQ502" i="3"/>
  <c r="BR502" i="3"/>
  <c r="BS502" i="3"/>
  <c r="BT502" i="3"/>
  <c r="H503" i="3"/>
  <c r="AC503" i="3"/>
  <c r="BB503" i="3"/>
  <c r="BC503" i="3"/>
  <c r="BD503" i="3"/>
  <c r="BE503" i="3"/>
  <c r="BF503" i="3"/>
  <c r="BA503" i="3" s="1"/>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A504" i="3" s="1"/>
  <c r="AZ504" i="3" s="1"/>
  <c r="BM504" i="3"/>
  <c r="BN504" i="3"/>
  <c r="BO504" i="3"/>
  <c r="BP504" i="3"/>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A506" i="3" s="1"/>
  <c r="AZ506" i="3" s="1"/>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A508" i="3" s="1"/>
  <c r="BF508" i="3"/>
  <c r="BG508" i="3"/>
  <c r="BH508" i="3"/>
  <c r="BI508" i="3"/>
  <c r="BJ508" i="3"/>
  <c r="BK508" i="3"/>
  <c r="BM508" i="3"/>
  <c r="BN508" i="3"/>
  <c r="BO508" i="3"/>
  <c r="BP508" i="3"/>
  <c r="BQ508" i="3"/>
  <c r="BR508" i="3"/>
  <c r="BL508" i="3" s="1"/>
  <c r="BS508" i="3"/>
  <c r="BT508" i="3"/>
  <c r="H509" i="3"/>
  <c r="BB509" i="3"/>
  <c r="BC509" i="3"/>
  <c r="BD509" i="3"/>
  <c r="BE509" i="3"/>
  <c r="BF509" i="3"/>
  <c r="BG509" i="3"/>
  <c r="BH509" i="3"/>
  <c r="BI509" i="3"/>
  <c r="BJ509" i="3"/>
  <c r="BA509" i="3" s="1"/>
  <c r="AZ509" i="3" s="1"/>
  <c r="BK509" i="3"/>
  <c r="BM509" i="3"/>
  <c r="BN509" i="3"/>
  <c r="BO509" i="3"/>
  <c r="BP509" i="3"/>
  <c r="BR509" i="3"/>
  <c r="BS509" i="3"/>
  <c r="BT509" i="3"/>
  <c r="H510" i="3"/>
  <c r="AC510" i="3"/>
  <c r="BB510" i="3"/>
  <c r="BC510" i="3"/>
  <c r="BA510" i="3" s="1"/>
  <c r="BD510" i="3"/>
  <c r="BE510" i="3"/>
  <c r="BF510" i="3"/>
  <c r="BG510" i="3"/>
  <c r="BH510" i="3"/>
  <c r="BI510" i="3"/>
  <c r="BJ510" i="3"/>
  <c r="BK510" i="3"/>
  <c r="BM510" i="3"/>
  <c r="BN510" i="3"/>
  <c r="BO510" i="3"/>
  <c r="BP510" i="3"/>
  <c r="BL510" i="3" s="1"/>
  <c r="BQ510" i="3"/>
  <c r="BR510" i="3"/>
  <c r="BS510" i="3"/>
  <c r="BT510" i="3"/>
  <c r="H511" i="3"/>
  <c r="AC511" i="3"/>
  <c r="BB511" i="3"/>
  <c r="BC511" i="3"/>
  <c r="BD511" i="3"/>
  <c r="BE511" i="3"/>
  <c r="BF511" i="3"/>
  <c r="BG511" i="3"/>
  <c r="BA511" i="3" s="1"/>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AZ512" i="3" s="1"/>
  <c r="BN512" i="3"/>
  <c r="BO512" i="3"/>
  <c r="BP512" i="3"/>
  <c r="BQ512" i="3"/>
  <c r="BR512" i="3"/>
  <c r="BS512" i="3"/>
  <c r="BT512" i="3"/>
  <c r="H513" i="3"/>
  <c r="AC513" i="3"/>
  <c r="BB513" i="3"/>
  <c r="BC513" i="3"/>
  <c r="BD513" i="3"/>
  <c r="BA513" i="3" s="1"/>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A514" i="3" s="1"/>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A516" i="3" s="1"/>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A517" i="3" s="1"/>
  <c r="AZ517" i="3" s="1"/>
  <c r="BK517" i="3"/>
  <c r="BM517" i="3"/>
  <c r="BN517" i="3"/>
  <c r="BO517" i="3"/>
  <c r="BP517" i="3"/>
  <c r="BR517" i="3"/>
  <c r="BS517" i="3"/>
  <c r="BT517" i="3"/>
  <c r="H518" i="3"/>
  <c r="AC518" i="3"/>
  <c r="BB518" i="3"/>
  <c r="BC518" i="3"/>
  <c r="BA518" i="3" s="1"/>
  <c r="AZ518" i="3" s="1"/>
  <c r="BD518" i="3"/>
  <c r="BE518" i="3"/>
  <c r="BF518" i="3"/>
  <c r="BG518" i="3"/>
  <c r="BH518" i="3"/>
  <c r="BI518" i="3"/>
  <c r="BJ518" i="3"/>
  <c r="BK518" i="3"/>
  <c r="BM518" i="3"/>
  <c r="BN518" i="3"/>
  <c r="BO518" i="3"/>
  <c r="BP518" i="3"/>
  <c r="BL518" i="3" s="1"/>
  <c r="BQ518" i="3"/>
  <c r="BR518" i="3"/>
  <c r="BS518" i="3"/>
  <c r="BT518" i="3"/>
  <c r="H519" i="3"/>
  <c r="AC519" i="3"/>
  <c r="BB519" i="3"/>
  <c r="BC519" i="3"/>
  <c r="BD519" i="3"/>
  <c r="BE519" i="3"/>
  <c r="BF519" i="3"/>
  <c r="BG519" i="3"/>
  <c r="BA519" i="3" s="1"/>
  <c r="AZ519" i="3" s="1"/>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L520" i="3" s="1"/>
  <c r="AZ520" i="3" s="1"/>
  <c r="BN520" i="3"/>
  <c r="BO520" i="3"/>
  <c r="BP520" i="3"/>
  <c r="BQ520" i="3"/>
  <c r="BR520" i="3"/>
  <c r="BS520" i="3"/>
  <c r="BT520" i="3"/>
  <c r="H521" i="3"/>
  <c r="BB521" i="3"/>
  <c r="BC521" i="3"/>
  <c r="BD521" i="3"/>
  <c r="BE521" i="3"/>
  <c r="BA521" i="3" s="1"/>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A522" i="3" s="1"/>
  <c r="AZ522" i="3" s="1"/>
  <c r="BK522" i="3"/>
  <c r="BM522" i="3"/>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L523" i="3" s="1"/>
  <c r="BP523" i="3"/>
  <c r="BR523" i="3"/>
  <c r="BS523" i="3"/>
  <c r="BT523" i="3"/>
  <c r="H524" i="3"/>
  <c r="AC524" i="3"/>
  <c r="BB524" i="3"/>
  <c r="BC524" i="3"/>
  <c r="BD524" i="3"/>
  <c r="BE524" i="3"/>
  <c r="BF524" i="3"/>
  <c r="BG524" i="3"/>
  <c r="BA524" i="3" s="1"/>
  <c r="BH524" i="3"/>
  <c r="BI524" i="3"/>
  <c r="BJ524" i="3"/>
  <c r="BK524" i="3"/>
  <c r="BM524" i="3"/>
  <c r="BN524" i="3"/>
  <c r="BO524" i="3"/>
  <c r="BP524" i="3"/>
  <c r="BQ524" i="3"/>
  <c r="BR524" i="3"/>
  <c r="BS524" i="3"/>
  <c r="BT524" i="3"/>
  <c r="BL524" i="3" s="1"/>
  <c r="H525" i="3"/>
  <c r="AC525" i="3"/>
  <c r="BB525" i="3"/>
  <c r="BC525" i="3"/>
  <c r="BD525" i="3"/>
  <c r="BE525" i="3"/>
  <c r="BF525" i="3"/>
  <c r="BG525" i="3"/>
  <c r="BH525" i="3"/>
  <c r="BI525" i="3"/>
  <c r="BJ525" i="3"/>
  <c r="BK525" i="3"/>
  <c r="BA525" i="3" s="1"/>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L528" i="3" s="1"/>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BL532" i="3" s="1"/>
  <c r="H533" i="3"/>
  <c r="AC533" i="3"/>
  <c r="BB533" i="3"/>
  <c r="BC533" i="3"/>
  <c r="BD533" i="3"/>
  <c r="BE533" i="3"/>
  <c r="BF533" i="3"/>
  <c r="BG533" i="3"/>
  <c r="BH533" i="3"/>
  <c r="BI533" i="3"/>
  <c r="BJ533" i="3"/>
  <c r="BK533" i="3"/>
  <c r="BA533" i="3" s="1"/>
  <c r="AZ533" i="3" s="1"/>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A535" i="3" s="1"/>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A542" i="3" s="1"/>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A544" i="3" s="1"/>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BL546" i="3" s="1"/>
  <c r="H547" i="3"/>
  <c r="AC547" i="3"/>
  <c r="G547" i="3" s="1"/>
  <c r="BB547" i="3"/>
  <c r="BC547" i="3"/>
  <c r="BD547" i="3"/>
  <c r="BE547" i="3"/>
  <c r="BF547" i="3"/>
  <c r="BG547" i="3"/>
  <c r="BH547" i="3"/>
  <c r="BI547" i="3"/>
  <c r="BJ547" i="3"/>
  <c r="BK547" i="3"/>
  <c r="BM547" i="3"/>
  <c r="BN547" i="3"/>
  <c r="BL547" i="3" s="1"/>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L548" i="3" s="1"/>
  <c r="BS548" i="3"/>
  <c r="BT548" i="3"/>
  <c r="H549" i="3"/>
  <c r="AC549" i="3"/>
  <c r="BB549" i="3"/>
  <c r="BC549" i="3"/>
  <c r="BD549" i="3"/>
  <c r="BE549" i="3"/>
  <c r="BF549" i="3"/>
  <c r="BG549" i="3"/>
  <c r="BH549" i="3"/>
  <c r="BI549" i="3"/>
  <c r="BA549" i="3" s="1"/>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A552" i="3" s="1"/>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A554" i="3" s="1"/>
  <c r="AZ554" i="3" s="1"/>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L555" i="3" s="1"/>
  <c r="AZ555" i="3" s="1"/>
  <c r="BN555" i="3"/>
  <c r="BO555" i="3"/>
  <c r="BP555" i="3"/>
  <c r="BR555" i="3"/>
  <c r="BS555" i="3"/>
  <c r="BT555" i="3"/>
  <c r="H556" i="3"/>
  <c r="G556" i="3" s="1"/>
  <c r="AC556" i="3"/>
  <c r="BB556" i="3"/>
  <c r="BC556" i="3"/>
  <c r="BD556" i="3"/>
  <c r="BE556" i="3"/>
  <c r="BA556" i="3" s="1"/>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A558" i="3" s="1"/>
  <c r="BD558" i="3"/>
  <c r="BE558" i="3"/>
  <c r="BF558" i="3"/>
  <c r="BG558" i="3"/>
  <c r="BH558" i="3"/>
  <c r="BI558" i="3"/>
  <c r="BJ558" i="3"/>
  <c r="BK558" i="3"/>
  <c r="BM558" i="3"/>
  <c r="BN558" i="3"/>
  <c r="BO558" i="3"/>
  <c r="BP558" i="3"/>
  <c r="BL558" i="3" s="1"/>
  <c r="BQ558" i="3"/>
  <c r="BR558" i="3"/>
  <c r="BS558" i="3"/>
  <c r="BT558" i="3"/>
  <c r="H559" i="3"/>
  <c r="AC559" i="3"/>
  <c r="BB559" i="3"/>
  <c r="BC559" i="3"/>
  <c r="BD559" i="3"/>
  <c r="BE559" i="3"/>
  <c r="BF559" i="3"/>
  <c r="BG559" i="3"/>
  <c r="BA559" i="3" s="1"/>
  <c r="AZ559" i="3" s="1"/>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L560" i="3" s="1"/>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L561" i="3" s="1"/>
  <c r="BS561" i="3"/>
  <c r="BT561" i="3"/>
  <c r="H562" i="3"/>
  <c r="AC562" i="3"/>
  <c r="BB562" i="3"/>
  <c r="BC562" i="3"/>
  <c r="BD562" i="3"/>
  <c r="BE562" i="3"/>
  <c r="BF562" i="3"/>
  <c r="BG562" i="3"/>
  <c r="BH562" i="3"/>
  <c r="BI562" i="3"/>
  <c r="BA562" i="3" s="1"/>
  <c r="AZ562" i="3" s="1"/>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A565" i="3" s="1"/>
  <c r="BK565" i="3"/>
  <c r="BM565" i="3"/>
  <c r="BN565" i="3"/>
  <c r="BO565" i="3"/>
  <c r="BP565" i="3"/>
  <c r="BR565" i="3"/>
  <c r="BS565" i="3"/>
  <c r="BT565" i="3"/>
  <c r="H566" i="3"/>
  <c r="AC566" i="3"/>
  <c r="BB566" i="3"/>
  <c r="BC566" i="3"/>
  <c r="BA566" i="3" s="1"/>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A570" i="3" s="1"/>
  <c r="AZ570" i="3" s="1"/>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L574" i="3" s="1"/>
  <c r="BQ574" i="3"/>
  <c r="BR574" i="3"/>
  <c r="BS574" i="3"/>
  <c r="BT574" i="3"/>
  <c r="H575" i="3"/>
  <c r="AC575" i="3"/>
  <c r="BB575" i="3"/>
  <c r="BC575" i="3"/>
  <c r="BD575" i="3"/>
  <c r="BE575" i="3"/>
  <c r="BF575" i="3"/>
  <c r="BG575" i="3"/>
  <c r="BA575" i="3" s="1"/>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AC577" i="3"/>
  <c r="BB577" i="3"/>
  <c r="BC577" i="3"/>
  <c r="BD577" i="3"/>
  <c r="BA577" i="3" s="1"/>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L578" i="3" s="1"/>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A580" i="3" s="1"/>
  <c r="BG580" i="3"/>
  <c r="BH580" i="3"/>
  <c r="BI580" i="3"/>
  <c r="BJ580" i="3"/>
  <c r="BK580" i="3"/>
  <c r="BM580" i="3"/>
  <c r="BN580" i="3"/>
  <c r="BO580" i="3"/>
  <c r="BP580" i="3"/>
  <c r="BQ580" i="3"/>
  <c r="BR580" i="3"/>
  <c r="BS580" i="3"/>
  <c r="BL580" i="3" s="1"/>
  <c r="BT580" i="3"/>
  <c r="H581" i="3"/>
  <c r="AC581" i="3"/>
  <c r="BB581" i="3"/>
  <c r="BC581" i="3"/>
  <c r="BD581" i="3"/>
  <c r="BE581" i="3"/>
  <c r="BF581" i="3"/>
  <c r="BG581" i="3"/>
  <c r="BH581" i="3"/>
  <c r="BI581" i="3"/>
  <c r="BJ581" i="3"/>
  <c r="BA581" i="3" s="1"/>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L582" i="3" s="1"/>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10" i="39"/>
  <c r="H35" i="39" s="1"/>
  <c r="B112" i="39"/>
  <c r="F36" i="39" s="1"/>
  <c r="J30" i="36"/>
  <c r="H30" i="36"/>
  <c r="F30" i="36"/>
  <c r="AA30" i="36" s="1"/>
  <c r="C26" i="35"/>
  <c r="C79" i="35" s="1"/>
  <c r="F26" i="35" s="1"/>
  <c r="AA26" i="35" s="1"/>
  <c r="J31" i="35"/>
  <c r="H31" i="35"/>
  <c r="AB31" i="35" s="1"/>
  <c r="F31" i="35"/>
  <c r="S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D114" i="34"/>
  <c r="F38" i="34"/>
  <c r="S38" i="34"/>
  <c r="D112" i="34"/>
  <c r="E112" i="34"/>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J41" i="21"/>
  <c r="AC41" i="21" s="1"/>
  <c r="H41" i="21"/>
  <c r="U41" i="21" s="1"/>
  <c r="D81" i="39"/>
  <c r="E81" i="39"/>
  <c r="F81" i="39" s="1"/>
  <c r="G81" i="39" s="1"/>
  <c r="H81" i="39"/>
  <c r="I81" i="39" s="1"/>
  <c r="J81" i="39" s="1"/>
  <c r="K81" i="39" s="1"/>
  <c r="L81" i="39" s="1"/>
  <c r="M81" i="39" s="1"/>
  <c r="D76" i="40"/>
  <c r="E76" i="40" s="1"/>
  <c r="F76" i="40" s="1"/>
  <c r="G76" i="40" s="1"/>
  <c r="H76" i="40" s="1"/>
  <c r="I76" i="40" s="1"/>
  <c r="J76" i="40" s="1"/>
  <c r="K76" i="40" s="1"/>
  <c r="L76" i="40" s="1"/>
  <c r="M76" i="40" s="1"/>
  <c r="B120" i="40"/>
  <c r="J40" i="40" s="1"/>
  <c r="AC40" i="40" s="1"/>
  <c r="B118" i="40"/>
  <c r="J39" i="40" s="1"/>
  <c r="B116" i="40"/>
  <c r="D115" i="40"/>
  <c r="E115" i="40" s="1"/>
  <c r="F115" i="40" s="1"/>
  <c r="G115" i="40" s="1"/>
  <c r="H115" i="40" s="1"/>
  <c r="I115" i="40" s="1"/>
  <c r="J115" i="40"/>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c r="B101" i="40"/>
  <c r="J31" i="40" s="1"/>
  <c r="AC31" i="40" s="1"/>
  <c r="D100" i="40"/>
  <c r="E100" i="40" s="1"/>
  <c r="F100" i="40" s="1"/>
  <c r="G100" i="40" s="1"/>
  <c r="H100" i="40" s="1"/>
  <c r="I100" i="40" s="1"/>
  <c r="J100" i="40" s="1"/>
  <c r="K100" i="40" s="1"/>
  <c r="L100" i="40" s="1"/>
  <c r="M100" i="40"/>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c r="Q39" i="40"/>
  <c r="Z39" i="40"/>
  <c r="H39" i="40"/>
  <c r="U39" i="40" s="1"/>
  <c r="Q38" i="40"/>
  <c r="Z38" i="40"/>
  <c r="Q37" i="40"/>
  <c r="Z37" i="40" s="1"/>
  <c r="Q36" i="40"/>
  <c r="Z36" i="40"/>
  <c r="Q35" i="40"/>
  <c r="Z35" i="40" s="1"/>
  <c r="Q34" i="40"/>
  <c r="Z34" i="40" s="1"/>
  <c r="J34" i="40"/>
  <c r="AC34" i="40" s="1"/>
  <c r="H34" i="40"/>
  <c r="F34" i="40"/>
  <c r="AA34" i="40" s="1"/>
  <c r="Q33" i="40"/>
  <c r="Z33" i="40" s="1"/>
  <c r="Q32" i="40"/>
  <c r="Z32" i="40" s="1"/>
  <c r="Q31" i="40"/>
  <c r="Z31" i="40"/>
  <c r="Q30" i="40"/>
  <c r="Z30" i="40" s="1"/>
  <c r="Q28" i="40"/>
  <c r="Z28" i="40" s="1"/>
  <c r="Q27" i="40"/>
  <c r="Z27" i="40" s="1"/>
  <c r="Q23" i="40"/>
  <c r="Z23" i="40"/>
  <c r="Q21" i="40"/>
  <c r="Z21" i="40" s="1"/>
  <c r="Q19" i="40"/>
  <c r="Z19" i="40" s="1"/>
  <c r="Q17" i="40"/>
  <c r="Z17" i="40" s="1"/>
  <c r="Q15" i="40"/>
  <c r="Z15" i="40" s="1"/>
  <c r="Q14" i="40"/>
  <c r="Z14" i="40" s="1"/>
  <c r="Q13" i="40"/>
  <c r="Z13" i="40" s="1"/>
  <c r="Q12" i="40"/>
  <c r="Z12" i="40" s="1"/>
  <c r="Q11" i="40"/>
  <c r="Z11" i="40"/>
  <c r="Q10" i="40"/>
  <c r="Z10" i="40" s="1"/>
  <c r="Q9" i="40"/>
  <c r="Z9" i="40" s="1"/>
  <c r="J9" i="40"/>
  <c r="H9" i="40"/>
  <c r="U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H37" i="39" s="1"/>
  <c r="D109" i="39"/>
  <c r="F34" i="39"/>
  <c r="AA34" i="39" s="1"/>
  <c r="D107" i="39"/>
  <c r="E107" i="39"/>
  <c r="F107" i="39" s="1"/>
  <c r="G107" i="39" s="1"/>
  <c r="D105" i="39"/>
  <c r="E105" i="39"/>
  <c r="F105" i="39" s="1"/>
  <c r="G105" i="39"/>
  <c r="H105" i="39" s="1"/>
  <c r="I105" i="39" s="1"/>
  <c r="J105" i="39" s="1"/>
  <c r="K105" i="39" s="1"/>
  <c r="L105" i="39" s="1"/>
  <c r="M105" i="39" s="1"/>
  <c r="D101" i="39"/>
  <c r="H27" i="39" s="1"/>
  <c r="U27"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H44" i="39" s="1"/>
  <c r="U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c r="F95" i="39" s="1"/>
  <c r="D93" i="39"/>
  <c r="E93" i="39" s="1"/>
  <c r="F93" i="39" s="1"/>
  <c r="G93" i="39" s="1"/>
  <c r="D91" i="39"/>
  <c r="E91" i="39"/>
  <c r="F91" i="39" s="1"/>
  <c r="G91" i="39" s="1"/>
  <c r="D89" i="39"/>
  <c r="E89" i="39" s="1"/>
  <c r="F89" i="39" s="1"/>
  <c r="G89" i="39" s="1"/>
  <c r="B86" i="39"/>
  <c r="J14" i="39" s="1"/>
  <c r="W14" i="39" s="1"/>
  <c r="B84" i="39"/>
  <c r="B82" i="39"/>
  <c r="J12" i="39" s="1"/>
  <c r="W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c r="Q9" i="39"/>
  <c r="Z9" i="39" s="1"/>
  <c r="J9" i="39"/>
  <c r="AC9" i="39" s="1"/>
  <c r="H9" i="39"/>
  <c r="AB9" i="39" s="1"/>
  <c r="F9" i="39"/>
  <c r="AA9" i="39" s="1"/>
  <c r="J8" i="39"/>
  <c r="W8" i="39" s="1"/>
  <c r="H8" i="39"/>
  <c r="AB8" i="39" s="1"/>
  <c r="U8" i="39"/>
  <c r="F8" i="39"/>
  <c r="AA8" i="39" s="1"/>
  <c r="C20" i="36"/>
  <c r="C20" i="35"/>
  <c r="C16" i="36"/>
  <c r="C16" i="35"/>
  <c r="C14" i="36"/>
  <c r="C14" i="35"/>
  <c r="B80" i="37"/>
  <c r="B110" i="37"/>
  <c r="B108" i="37"/>
  <c r="F38" i="37" s="1"/>
  <c r="S38" i="37" s="1"/>
  <c r="C23" i="37"/>
  <c r="C19" i="37"/>
  <c r="C17" i="37"/>
  <c r="C15" i="37"/>
  <c r="B112" i="37"/>
  <c r="D107" i="37"/>
  <c r="E107" i="37"/>
  <c r="D105" i="37"/>
  <c r="E105" i="37" s="1"/>
  <c r="F105" i="37" s="1"/>
  <c r="G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s="1"/>
  <c r="F75" i="37" s="1"/>
  <c r="G75" i="37" s="1"/>
  <c r="D73" i="37"/>
  <c r="E73" i="37"/>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c r="J31" i="36"/>
  <c r="H31" i="36"/>
  <c r="AB31" i="36" s="1"/>
  <c r="F31" i="36"/>
  <c r="S31" i="36"/>
  <c r="M86" i="36"/>
  <c r="L86" i="36"/>
  <c r="K86" i="36"/>
  <c r="J86" i="36"/>
  <c r="I86" i="36"/>
  <c r="H86" i="36"/>
  <c r="G86" i="36"/>
  <c r="F86" i="36"/>
  <c r="E86" i="36"/>
  <c r="D86" i="36"/>
  <c r="C86" i="36"/>
  <c r="D85" i="36"/>
  <c r="H29" i="36"/>
  <c r="D81" i="36"/>
  <c r="E81" i="36" s="1"/>
  <c r="F81" i="36" s="1"/>
  <c r="G81" i="36" s="1"/>
  <c r="H81" i="36" s="1"/>
  <c r="I81" i="36"/>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D62" i="36"/>
  <c r="E62" i="36" s="1"/>
  <c r="F62" i="36" s="1"/>
  <c r="G62" i="36" s="1"/>
  <c r="B59" i="36"/>
  <c r="B57" i="36"/>
  <c r="J12" i="36" s="1"/>
  <c r="W12" i="36" s="1"/>
  <c r="B55" i="36"/>
  <c r="F11" i="36" s="1"/>
  <c r="S11" i="36" s="1"/>
  <c r="F54" i="36"/>
  <c r="G54" i="36" s="1"/>
  <c r="H54" i="36" s="1"/>
  <c r="I54" i="36" s="1"/>
  <c r="C51" i="36"/>
  <c r="P37" i="36"/>
  <c r="P36" i="36"/>
  <c r="V35" i="36"/>
  <c r="T35" i="36"/>
  <c r="R35" i="36"/>
  <c r="P35" i="36"/>
  <c r="Q34" i="36"/>
  <c r="Z34" i="36" s="1"/>
  <c r="Q33" i="36"/>
  <c r="Z33" i="36"/>
  <c r="Q32" i="36"/>
  <c r="Z32" i="36" s="1"/>
  <c r="Q31" i="36"/>
  <c r="Z31" i="36" s="1"/>
  <c r="Q30" i="36"/>
  <c r="Z30" i="36"/>
  <c r="AC30" i="36"/>
  <c r="Q29" i="36"/>
  <c r="Z29" i="36"/>
  <c r="Q28" i="36"/>
  <c r="Z28" i="36" s="1"/>
  <c r="J28" i="36"/>
  <c r="Q27" i="36"/>
  <c r="Z27" i="36"/>
  <c r="Q26" i="36"/>
  <c r="Z26" i="36" s="1"/>
  <c r="H26" i="36"/>
  <c r="AB26" i="36" s="1"/>
  <c r="Q25" i="36"/>
  <c r="Z25" i="36"/>
  <c r="Q24" i="36"/>
  <c r="Z24" i="36" s="1"/>
  <c r="Q23" i="36"/>
  <c r="Z23" i="36" s="1"/>
  <c r="H23" i="36"/>
  <c r="AB23" i="36" s="1"/>
  <c r="F23" i="36"/>
  <c r="AA23" i="36" s="1"/>
  <c r="Q22" i="36"/>
  <c r="Z22" i="36" s="1"/>
  <c r="J22" i="36"/>
  <c r="AC22" i="36" s="1"/>
  <c r="Q20" i="36"/>
  <c r="Z20" i="36" s="1"/>
  <c r="Q16" i="36"/>
  <c r="Z16" i="36" s="1"/>
  <c r="Q14" i="36"/>
  <c r="Z14" i="36"/>
  <c r="Q13" i="36"/>
  <c r="Z13" i="36" s="1"/>
  <c r="Q12" i="36"/>
  <c r="Z12" i="36" s="1"/>
  <c r="Q11" i="36"/>
  <c r="Z11" i="36" s="1"/>
  <c r="Q10" i="36"/>
  <c r="Z10" i="36" s="1"/>
  <c r="F10" i="36"/>
  <c r="Q9" i="36"/>
  <c r="Z9" i="36" s="1"/>
  <c r="J8" i="36"/>
  <c r="H8" i="36"/>
  <c r="AB8" i="36" s="1"/>
  <c r="F8" i="36"/>
  <c r="D89" i="35"/>
  <c r="M90" i="35"/>
  <c r="L90" i="35"/>
  <c r="K90" i="35"/>
  <c r="J90" i="35"/>
  <c r="I90" i="35"/>
  <c r="H90" i="35"/>
  <c r="G90" i="35"/>
  <c r="F90" i="35"/>
  <c r="E90" i="35"/>
  <c r="D90" i="35"/>
  <c r="C90" i="35"/>
  <c r="F85" i="35"/>
  <c r="E85" i="35"/>
  <c r="D85" i="35"/>
  <c r="C85" i="35"/>
  <c r="J27" i="35"/>
  <c r="W27" i="35" s="1"/>
  <c r="H27" i="35"/>
  <c r="U27" i="35" s="1"/>
  <c r="F27" i="35"/>
  <c r="S27" i="35" s="1"/>
  <c r="J22" i="35"/>
  <c r="B101" i="35"/>
  <c r="B99" i="35"/>
  <c r="B97" i="35"/>
  <c r="B77" i="35"/>
  <c r="B75" i="35"/>
  <c r="J24" i="35" s="1"/>
  <c r="AC24" i="35" s="1"/>
  <c r="B73" i="35"/>
  <c r="J23" i="35" s="1"/>
  <c r="AC23" i="35" s="1"/>
  <c r="H23" i="35"/>
  <c r="U23" i="35" s="1"/>
  <c r="B57" i="35"/>
  <c r="H11" i="35" s="1"/>
  <c r="B61" i="35"/>
  <c r="B59" i="35"/>
  <c r="J12" i="35" s="1"/>
  <c r="W12" i="35" s="1"/>
  <c r="B131" i="34"/>
  <c r="B129" i="34"/>
  <c r="H46" i="34" s="1"/>
  <c r="U46" i="34" s="1"/>
  <c r="B127" i="34"/>
  <c r="J45" i="34" s="1"/>
  <c r="B99" i="34"/>
  <c r="F32" i="34" s="1"/>
  <c r="B97" i="34"/>
  <c r="B95" i="34"/>
  <c r="B93" i="34"/>
  <c r="B75" i="34"/>
  <c r="B73" i="34"/>
  <c r="F13" i="34" s="1"/>
  <c r="B71" i="34"/>
  <c r="B130" i="33"/>
  <c r="B128" i="33"/>
  <c r="B126" i="33"/>
  <c r="J44" i="33" s="1"/>
  <c r="B98" i="33"/>
  <c r="H31" i="33" s="1"/>
  <c r="AB31" i="33" s="1"/>
  <c r="B96" i="33"/>
  <c r="B94" i="33"/>
  <c r="J29" i="33" s="1"/>
  <c r="B74" i="33"/>
  <c r="B72" i="33"/>
  <c r="B70" i="33"/>
  <c r="J12" i="33"/>
  <c r="D96" i="35"/>
  <c r="E96" i="35"/>
  <c r="F96" i="35" s="1"/>
  <c r="G96" i="35" s="1"/>
  <c r="D94" i="35"/>
  <c r="E94" i="35" s="1"/>
  <c r="F94" i="35" s="1"/>
  <c r="G94" i="35" s="1"/>
  <c r="H94" i="35" s="1"/>
  <c r="I94" i="35" s="1"/>
  <c r="J94" i="35" s="1"/>
  <c r="K94" i="35" s="1"/>
  <c r="L94" i="35" s="1"/>
  <c r="M94" i="35" s="1"/>
  <c r="D84" i="35"/>
  <c r="E84" i="35"/>
  <c r="F84" i="35"/>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s="1"/>
  <c r="F70" i="35" s="1"/>
  <c r="G70" i="35"/>
  <c r="D66" i="35"/>
  <c r="E66" i="35" s="1"/>
  <c r="F66" i="35" s="1"/>
  <c r="G66" i="35" s="1"/>
  <c r="D64" i="35"/>
  <c r="E64" i="35" s="1"/>
  <c r="F64" i="35" s="1"/>
  <c r="G64" i="35" s="1"/>
  <c r="J14" i="35"/>
  <c r="W14" i="35"/>
  <c r="F56" i="35"/>
  <c r="G56" i="35"/>
  <c r="H56" i="35" s="1"/>
  <c r="I56" i="35" s="1"/>
  <c r="C53" i="35"/>
  <c r="J9" i="35"/>
  <c r="P39" i="35"/>
  <c r="P38" i="35"/>
  <c r="V37" i="35"/>
  <c r="T37" i="35"/>
  <c r="R37" i="35"/>
  <c r="P37" i="35"/>
  <c r="Q36" i="35"/>
  <c r="Z36" i="35"/>
  <c r="Q35" i="35"/>
  <c r="Z35" i="35"/>
  <c r="Q34" i="35"/>
  <c r="Z34" i="35"/>
  <c r="Q33" i="35"/>
  <c r="Z33" i="35" s="1"/>
  <c r="Q32" i="35"/>
  <c r="Z32" i="35" s="1"/>
  <c r="H32" i="35"/>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H12" i="35"/>
  <c r="F12" i="35"/>
  <c r="S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c r="H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c r="G82" i="34"/>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c r="Q43" i="34"/>
  <c r="Z43" i="34" s="1"/>
  <c r="Q42" i="34"/>
  <c r="Z42" i="34"/>
  <c r="Q41" i="34"/>
  <c r="Z41" i="34" s="1"/>
  <c r="Q40" i="34"/>
  <c r="Z40" i="34" s="1"/>
  <c r="Q39" i="34"/>
  <c r="Z39" i="34" s="1"/>
  <c r="H39" i="34"/>
  <c r="AB39" i="34" s="1"/>
  <c r="Q38" i="34"/>
  <c r="Z38" i="34" s="1"/>
  <c r="Q37" i="34"/>
  <c r="Z37" i="34"/>
  <c r="Q36" i="34"/>
  <c r="Z36" i="34" s="1"/>
  <c r="Q35" i="34"/>
  <c r="Z35" i="34" s="1"/>
  <c r="Q34" i="34"/>
  <c r="Z34" i="34" s="1"/>
  <c r="J34" i="34"/>
  <c r="AC34" i="34" s="1"/>
  <c r="H34" i="34"/>
  <c r="AB34" i="34" s="1"/>
  <c r="F34" i="34"/>
  <c r="AA34" i="34"/>
  <c r="Q33" i="34"/>
  <c r="Z33" i="34" s="1"/>
  <c r="Q32" i="34"/>
  <c r="Z32" i="34" s="1"/>
  <c r="Q31" i="34"/>
  <c r="Z31" i="34"/>
  <c r="Q30" i="34"/>
  <c r="Z30" i="34"/>
  <c r="Q29" i="34"/>
  <c r="Z29" i="34" s="1"/>
  <c r="Q28" i="34"/>
  <c r="Z28" i="34" s="1"/>
  <c r="Q27" i="34"/>
  <c r="Z27" i="34" s="1"/>
  <c r="Q25" i="34"/>
  <c r="Z25" i="34" s="1"/>
  <c r="Q23" i="34"/>
  <c r="Z23" i="34"/>
  <c r="C23" i="34"/>
  <c r="Q19" i="34"/>
  <c r="Z19" i="34" s="1"/>
  <c r="C19" i="34"/>
  <c r="Q17" i="34"/>
  <c r="Z17" i="34" s="1"/>
  <c r="C17" i="34"/>
  <c r="Q15" i="34"/>
  <c r="Z15" i="34" s="1"/>
  <c r="Q14" i="34"/>
  <c r="Z14" i="34" s="1"/>
  <c r="Q13" i="34"/>
  <c r="Z13" i="34" s="1"/>
  <c r="Q12" i="34"/>
  <c r="Z12" i="34"/>
  <c r="Q11" i="34"/>
  <c r="Z11" i="34" s="1"/>
  <c r="Q10" i="34"/>
  <c r="Z10" i="34"/>
  <c r="F10" i="34"/>
  <c r="AA10" i="34" s="1"/>
  <c r="Q9" i="34"/>
  <c r="Z9" i="34" s="1"/>
  <c r="J9" i="34"/>
  <c r="AC9" i="34" s="1"/>
  <c r="H9" i="34"/>
  <c r="F9" i="34"/>
  <c r="J8" i="34"/>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c r="F77" i="33" s="1"/>
  <c r="G77" i="33" s="1"/>
  <c r="D69" i="33"/>
  <c r="E69" i="33"/>
  <c r="F69" i="33" s="1"/>
  <c r="G69" i="33" s="1"/>
  <c r="H69" i="33" s="1"/>
  <c r="I69" i="33" s="1"/>
  <c r="J69" i="33" s="1"/>
  <c r="K69" i="33"/>
  <c r="L69" i="33"/>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s="1"/>
  <c r="AA40" i="33"/>
  <c r="Q39" i="33"/>
  <c r="Z39" i="33" s="1"/>
  <c r="J39" i="33"/>
  <c r="W39" i="33" s="1"/>
  <c r="Q38" i="33"/>
  <c r="Z38" i="33"/>
  <c r="J38" i="33"/>
  <c r="AC38" i="33" s="1"/>
  <c r="H38" i="33"/>
  <c r="AB38" i="33"/>
  <c r="F38" i="33"/>
  <c r="Q37" i="33"/>
  <c r="Z37" i="33"/>
  <c r="Q36" i="33"/>
  <c r="Z36" i="33" s="1"/>
  <c r="Q35" i="33"/>
  <c r="Z35" i="33" s="1"/>
  <c r="H35" i="33"/>
  <c r="Q34" i="33"/>
  <c r="Z34" i="33"/>
  <c r="Q33" i="33"/>
  <c r="Z33" i="33" s="1"/>
  <c r="J33" i="33"/>
  <c r="W33" i="33" s="1"/>
  <c r="AC33" i="33"/>
  <c r="H33" i="33"/>
  <c r="AB33" i="33" s="1"/>
  <c r="F33" i="33"/>
  <c r="AA33" i="33" s="1"/>
  <c r="Q32" i="33"/>
  <c r="Z32" i="33" s="1"/>
  <c r="Q31" i="33"/>
  <c r="Z31" i="33" s="1"/>
  <c r="Q30" i="33"/>
  <c r="Z30" i="33" s="1"/>
  <c r="Q29" i="33"/>
  <c r="Z29" i="33"/>
  <c r="Q28" i="33"/>
  <c r="Z28" i="33" s="1"/>
  <c r="Q27" i="33"/>
  <c r="Z27" i="33" s="1"/>
  <c r="Q26" i="33"/>
  <c r="Z26" i="33" s="1"/>
  <c r="Q25" i="33"/>
  <c r="Z25" i="33"/>
  <c r="Q23" i="33"/>
  <c r="Z23" i="33"/>
  <c r="Q19" i="33"/>
  <c r="Z19" i="33"/>
  <c r="Q17" i="33"/>
  <c r="Z17" i="33" s="1"/>
  <c r="Q15" i="33"/>
  <c r="Z15" i="33" s="1"/>
  <c r="F15" i="33"/>
  <c r="AA15" i="33" s="1"/>
  <c r="Q14" i="33"/>
  <c r="Z14" i="33" s="1"/>
  <c r="Q13" i="33"/>
  <c r="Z13" i="33" s="1"/>
  <c r="Q12" i="33"/>
  <c r="Z12" i="33" s="1"/>
  <c r="H12" i="33"/>
  <c r="Q11" i="33"/>
  <c r="Z11" i="33"/>
  <c r="Q10" i="33"/>
  <c r="Z10" i="33" s="1"/>
  <c r="Q9" i="33"/>
  <c r="Z9" i="33"/>
  <c r="J8" i="33"/>
  <c r="AC8" i="33" s="1"/>
  <c r="H8" i="33"/>
  <c r="U8" i="33" s="1"/>
  <c r="F8" i="33"/>
  <c r="AA8" i="33"/>
  <c r="M102" i="21"/>
  <c r="D102" i="21"/>
  <c r="E102" i="21"/>
  <c r="F102" i="21"/>
  <c r="G102" i="21"/>
  <c r="H102" i="21"/>
  <c r="I102" i="21"/>
  <c r="J102" i="21"/>
  <c r="K102" i="21"/>
  <c r="L102" i="21"/>
  <c r="C102" i="21"/>
  <c r="C63" i="21"/>
  <c r="F9" i="21" s="1"/>
  <c r="G18" i="20"/>
  <c r="B88" i="43" s="1"/>
  <c r="G19" i="20"/>
  <c r="B85" i="43" s="1"/>
  <c r="G16" i="20"/>
  <c r="B82" i="43"/>
  <c r="G15" i="20"/>
  <c r="B81" i="43"/>
  <c r="C24" i="20"/>
  <c r="B73" i="43" s="1"/>
  <c r="C21" i="20"/>
  <c r="B74" i="43" s="1"/>
  <c r="C20" i="20"/>
  <c r="C18" i="20"/>
  <c r="B71" i="43" s="1"/>
  <c r="C17" i="20"/>
  <c r="B59" i="43" s="1"/>
  <c r="C16" i="20"/>
  <c r="C17" i="39" s="1"/>
  <c r="C15" i="20"/>
  <c r="C15" i="39" s="1"/>
  <c r="B70" i="43"/>
  <c r="E54" i="21"/>
  <c r="F54" i="21" s="1"/>
  <c r="I54" i="21"/>
  <c r="J54" i="21"/>
  <c r="G54" i="21"/>
  <c r="H54" i="21" s="1"/>
  <c r="D125" i="21"/>
  <c r="E125" i="21" s="1"/>
  <c r="F125" i="21" s="1"/>
  <c r="G125" i="21" s="1"/>
  <c r="D123" i="21"/>
  <c r="E123" i="21" s="1"/>
  <c r="F123" i="21" s="1"/>
  <c r="G123" i="21" s="1"/>
  <c r="H123" i="21" s="1"/>
  <c r="I123" i="21" s="1"/>
  <c r="J123" i="21" s="1"/>
  <c r="K123" i="21" s="1"/>
  <c r="L123" i="21" s="1"/>
  <c r="M123" i="21" s="1"/>
  <c r="F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c r="I69" i="21" s="1"/>
  <c r="J69" i="21" s="1"/>
  <c r="K69" i="21" s="1"/>
  <c r="L69" i="21" s="1"/>
  <c r="M69" i="21" s="1"/>
  <c r="D66" i="21"/>
  <c r="E66" i="21" s="1"/>
  <c r="F66" i="21" s="1"/>
  <c r="G66" i="21" s="1"/>
  <c r="H66" i="21" s="1"/>
  <c r="I66" i="21"/>
  <c r="D111" i="21"/>
  <c r="E111" i="21"/>
  <c r="F111" i="21"/>
  <c r="C111" i="21"/>
  <c r="D79" i="21"/>
  <c r="E79" i="21"/>
  <c r="F79" i="21" s="1"/>
  <c r="G79" i="21" s="1"/>
  <c r="D85" i="21"/>
  <c r="F19" i="21"/>
  <c r="AA19" i="21" s="1"/>
  <c r="E81" i="21"/>
  <c r="F81" i="21" s="1"/>
  <c r="G81" i="21"/>
  <c r="D77" i="21"/>
  <c r="E77" i="21" s="1"/>
  <c r="B130" i="21"/>
  <c r="J46" i="21" s="1"/>
  <c r="W46" i="21" s="1"/>
  <c r="B128" i="21"/>
  <c r="J45" i="21" s="1"/>
  <c r="W45" i="21"/>
  <c r="B126" i="21"/>
  <c r="B98" i="21"/>
  <c r="H31" i="21" s="1"/>
  <c r="B96" i="21"/>
  <c r="J30" i="21" s="1"/>
  <c r="B94" i="21"/>
  <c r="B92" i="21"/>
  <c r="B90" i="21"/>
  <c r="J27" i="21" s="1"/>
  <c r="W27" i="21" s="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c r="Q37" i="21"/>
  <c r="Z37" i="21" s="1"/>
  <c r="J38" i="21"/>
  <c r="W38" i="21" s="1"/>
  <c r="Q38" i="21"/>
  <c r="Z38" i="21" s="1"/>
  <c r="J39" i="21"/>
  <c r="AC39" i="21" s="1"/>
  <c r="Q39" i="21"/>
  <c r="Z39" i="21" s="1"/>
  <c r="H40" i="21"/>
  <c r="AB40" i="21" s="1"/>
  <c r="Q40" i="21"/>
  <c r="Z40" i="21" s="1"/>
  <c r="Q41" i="21"/>
  <c r="Z41" i="21" s="1"/>
  <c r="Q42" i="21"/>
  <c r="Z42" i="2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E5" i="6" s="1"/>
  <c r="D9" i="68" s="1"/>
  <c r="C9" i="68" s="1"/>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c r="H38" i="21"/>
  <c r="U38" i="21" s="1"/>
  <c r="H43" i="21"/>
  <c r="AB43" i="21" s="1"/>
  <c r="F38" i="21"/>
  <c r="S38" i="21"/>
  <c r="F36" i="21"/>
  <c r="S36" i="21"/>
  <c r="F39" i="21"/>
  <c r="AA39" i="21"/>
  <c r="J40" i="21"/>
  <c r="W40" i="21"/>
  <c r="H35" i="21"/>
  <c r="AB35" i="21" s="1"/>
  <c r="J8" i="21"/>
  <c r="AC8" i="21" s="1"/>
  <c r="H8" i="21"/>
  <c r="U8" i="21" s="1"/>
  <c r="H10" i="21"/>
  <c r="AB10" i="21" s="1"/>
  <c r="H39" i="21"/>
  <c r="U39" i="21" s="1"/>
  <c r="J34" i="21"/>
  <c r="W34" i="21" s="1"/>
  <c r="H36" i="21"/>
  <c r="F35" i="21"/>
  <c r="AA35" i="21" s="1"/>
  <c r="J10" i="21"/>
  <c r="AC10" i="21" s="1"/>
  <c r="H26" i="21"/>
  <c r="AB26" i="21" s="1"/>
  <c r="AB19" i="21"/>
  <c r="J19" i="21"/>
  <c r="W19" i="21" s="1"/>
  <c r="J12" i="21"/>
  <c r="AC12" i="21" s="1"/>
  <c r="H12" i="21"/>
  <c r="AB12" i="21" s="1"/>
  <c r="J26" i="21"/>
  <c r="W26" i="21" s="1"/>
  <c r="F26" i="21"/>
  <c r="AB41" i="21"/>
  <c r="S41" i="21"/>
  <c r="AA41" i="21"/>
  <c r="J35" i="39"/>
  <c r="AC35" i="39" s="1"/>
  <c r="J36" i="39"/>
  <c r="AC36" i="39" s="1"/>
  <c r="W31" i="37"/>
  <c r="E103" i="37"/>
  <c r="F103" i="37" s="1"/>
  <c r="G103" i="37" s="1"/>
  <c r="H103" i="37" s="1"/>
  <c r="I103" i="37" s="1"/>
  <c r="J103" i="37" s="1"/>
  <c r="K103" i="37" s="1"/>
  <c r="L103" i="37" s="1"/>
  <c r="M103" i="37" s="1"/>
  <c r="U14" i="37"/>
  <c r="F29" i="36"/>
  <c r="AA29" i="36"/>
  <c r="F16" i="36"/>
  <c r="AA16" i="36" s="1"/>
  <c r="S30" i="36"/>
  <c r="AA31" i="36"/>
  <c r="U31" i="36"/>
  <c r="J33" i="36"/>
  <c r="W33" i="36" s="1"/>
  <c r="H22" i="35"/>
  <c r="AB22" i="35" s="1"/>
  <c r="AC27" i="35"/>
  <c r="U31" i="35"/>
  <c r="F36" i="34"/>
  <c r="J35" i="34"/>
  <c r="W9" i="34"/>
  <c r="S34" i="34"/>
  <c r="U34" i="34"/>
  <c r="H39" i="33"/>
  <c r="AB39" i="33" s="1"/>
  <c r="F26" i="33"/>
  <c r="AA26" i="33" s="1"/>
  <c r="S40" i="33"/>
  <c r="F11" i="40"/>
  <c r="AA11" i="40" s="1"/>
  <c r="H11" i="40"/>
  <c r="AB11" i="40" s="1"/>
  <c r="W8" i="40"/>
  <c r="AB39" i="40"/>
  <c r="AA9" i="40"/>
  <c r="S34" i="40"/>
  <c r="W31" i="40"/>
  <c r="F42" i="39"/>
  <c r="AA42" i="39"/>
  <c r="F41" i="39"/>
  <c r="S41" i="39" s="1"/>
  <c r="H40" i="39"/>
  <c r="U40" i="39" s="1"/>
  <c r="S38" i="39"/>
  <c r="S34" i="39"/>
  <c r="H34" i="39"/>
  <c r="U34" i="39" s="1"/>
  <c r="E109" i="39"/>
  <c r="F109" i="39" s="1"/>
  <c r="G109" i="39" s="1"/>
  <c r="H109" i="39" s="1"/>
  <c r="I109" i="39" s="1"/>
  <c r="J109" i="39" s="1"/>
  <c r="K109" i="39" s="1"/>
  <c r="L109" i="39" s="1"/>
  <c r="M109" i="39" s="1"/>
  <c r="H31" i="39"/>
  <c r="AB31" i="39" s="1"/>
  <c r="E101" i="39"/>
  <c r="F101" i="39" s="1"/>
  <c r="H19" i="39"/>
  <c r="AB19" i="39" s="1"/>
  <c r="F19" i="39"/>
  <c r="S19" i="39" s="1"/>
  <c r="H17" i="39"/>
  <c r="U17" i="39" s="1"/>
  <c r="F17" i="39"/>
  <c r="AA17" i="39" s="1"/>
  <c r="J23" i="40"/>
  <c r="AC23" i="40" s="1"/>
  <c r="F21" i="40"/>
  <c r="AA21" i="40"/>
  <c r="J21" i="40"/>
  <c r="W21" i="40" s="1"/>
  <c r="H42" i="39"/>
  <c r="AB42" i="39"/>
  <c r="J34" i="39"/>
  <c r="AC34" i="39"/>
  <c r="J19" i="39"/>
  <c r="AC19" i="39" s="1"/>
  <c r="J17" i="39"/>
  <c r="W17" i="39" s="1"/>
  <c r="J27" i="39"/>
  <c r="AC27" i="39" s="1"/>
  <c r="F27" i="39"/>
  <c r="S27" i="39" s="1"/>
  <c r="F11" i="21"/>
  <c r="S11" i="21" s="1"/>
  <c r="S34" i="21"/>
  <c r="C27" i="39"/>
  <c r="C21" i="39"/>
  <c r="H11" i="39"/>
  <c r="H32" i="33"/>
  <c r="H11" i="21"/>
  <c r="U11" i="21" s="1"/>
  <c r="J11" i="21"/>
  <c r="W11" i="21"/>
  <c r="H37" i="40"/>
  <c r="U37" i="40" s="1"/>
  <c r="H36" i="40"/>
  <c r="AB36" i="40" s="1"/>
  <c r="F35" i="40"/>
  <c r="AA35" i="40" s="1"/>
  <c r="H23" i="40"/>
  <c r="H17" i="40"/>
  <c r="U17" i="40" s="1"/>
  <c r="J15" i="40"/>
  <c r="W15" i="40"/>
  <c r="J11" i="40"/>
  <c r="F37" i="39"/>
  <c r="AA37" i="39"/>
  <c r="J34" i="36"/>
  <c r="U30" i="36"/>
  <c r="J30" i="35"/>
  <c r="W30" i="35" s="1"/>
  <c r="H30" i="35"/>
  <c r="AB30" i="35"/>
  <c r="F22" i="35"/>
  <c r="AA22" i="35" s="1"/>
  <c r="H10" i="35"/>
  <c r="U10" i="35" s="1"/>
  <c r="F33" i="36"/>
  <c r="AA33" i="36"/>
  <c r="W30" i="36"/>
  <c r="H16" i="36"/>
  <c r="AB16" i="36" s="1"/>
  <c r="E85" i="36"/>
  <c r="F85" i="36" s="1"/>
  <c r="G85" i="36" s="1"/>
  <c r="H85" i="36" s="1"/>
  <c r="I85" i="36" s="1"/>
  <c r="J85" i="36" s="1"/>
  <c r="K85" i="36" s="1"/>
  <c r="L85" i="36" s="1"/>
  <c r="M85" i="36" s="1"/>
  <c r="J29" i="36"/>
  <c r="F14" i="35"/>
  <c r="AA14" i="35" s="1"/>
  <c r="F23" i="35"/>
  <c r="AA23" i="35" s="1"/>
  <c r="J32" i="35"/>
  <c r="AC32" i="35"/>
  <c r="J16" i="35"/>
  <c r="AC16" i="35" s="1"/>
  <c r="H16" i="35"/>
  <c r="U16" i="35"/>
  <c r="F16" i="35"/>
  <c r="S16" i="35" s="1"/>
  <c r="H14" i="35"/>
  <c r="AB14" i="35" s="1"/>
  <c r="J29" i="35"/>
  <c r="W29" i="35" s="1"/>
  <c r="H33" i="35"/>
  <c r="AB33" i="35" s="1"/>
  <c r="AC8" i="35"/>
  <c r="J20" i="35"/>
  <c r="W20" i="35" s="1"/>
  <c r="F35" i="37"/>
  <c r="S35" i="37"/>
  <c r="E101" i="37"/>
  <c r="F101" i="37" s="1"/>
  <c r="G101" i="37" s="1"/>
  <c r="H101" i="37" s="1"/>
  <c r="I101" i="37" s="1"/>
  <c r="J101" i="37" s="1"/>
  <c r="K101" i="37" s="1"/>
  <c r="L101" i="37" s="1"/>
  <c r="M101" i="37" s="1"/>
  <c r="J34" i="37"/>
  <c r="W34" i="37"/>
  <c r="AB34" i="37"/>
  <c r="J33" i="37"/>
  <c r="U42" i="34"/>
  <c r="H40" i="34"/>
  <c r="U40" i="34" s="1"/>
  <c r="E114" i="34"/>
  <c r="H36" i="34"/>
  <c r="U36" i="34" s="1"/>
  <c r="F37" i="34"/>
  <c r="AA37" i="34"/>
  <c r="S35" i="34"/>
  <c r="F28" i="34"/>
  <c r="F27" i="34"/>
  <c r="AA27" i="34" s="1"/>
  <c r="F25" i="34"/>
  <c r="S25" i="34" s="1"/>
  <c r="H23" i="34"/>
  <c r="J23" i="34"/>
  <c r="F19" i="34"/>
  <c r="H17" i="34"/>
  <c r="U17" i="34" s="1"/>
  <c r="F15" i="34"/>
  <c r="J15" i="34"/>
  <c r="H15" i="34"/>
  <c r="J28" i="34"/>
  <c r="F41" i="33"/>
  <c r="AA41" i="33"/>
  <c r="F32" i="33"/>
  <c r="AA32" i="33" s="1"/>
  <c r="J19" i="33"/>
  <c r="AC19" i="33" s="1"/>
  <c r="J15" i="33"/>
  <c r="AC15" i="33" s="1"/>
  <c r="F11" i="33"/>
  <c r="AA11" i="33" s="1"/>
  <c r="S26" i="33"/>
  <c r="W40" i="33"/>
  <c r="S8" i="33"/>
  <c r="F37" i="40"/>
  <c r="F36" i="40"/>
  <c r="AA36" i="40" s="1"/>
  <c r="H28" i="40"/>
  <c r="U28" i="40" s="1"/>
  <c r="F23" i="40"/>
  <c r="AA23" i="40" s="1"/>
  <c r="F17" i="40"/>
  <c r="AA17" i="40" s="1"/>
  <c r="J17" i="40"/>
  <c r="W17" i="40"/>
  <c r="F15" i="40"/>
  <c r="S15" i="40"/>
  <c r="H15" i="40"/>
  <c r="AB15" i="40" s="1"/>
  <c r="AB30" i="36"/>
  <c r="U30" i="35"/>
  <c r="U33" i="35"/>
  <c r="F29" i="35"/>
  <c r="AA29" i="35" s="1"/>
  <c r="S29" i="35"/>
  <c r="H29" i="35"/>
  <c r="AB29" i="35" s="1"/>
  <c r="H33" i="37"/>
  <c r="AB33" i="37" s="1"/>
  <c r="F33" i="37"/>
  <c r="AA33" i="37" s="1"/>
  <c r="U34" i="37"/>
  <c r="S34" i="37"/>
  <c r="AA34" i="37"/>
  <c r="J43" i="34"/>
  <c r="AB42" i="34"/>
  <c r="J40" i="34"/>
  <c r="F114" i="34"/>
  <c r="G114" i="34" s="1"/>
  <c r="H114" i="34" s="1"/>
  <c r="I114" i="34"/>
  <c r="J114" i="34" s="1"/>
  <c r="K114" i="34" s="1"/>
  <c r="L114" i="34" s="1"/>
  <c r="M114" i="34" s="1"/>
  <c r="H38" i="34"/>
  <c r="AB38" i="34" s="1"/>
  <c r="J36" i="34"/>
  <c r="W36" i="34" s="1"/>
  <c r="H37" i="34"/>
  <c r="U37" i="34" s="1"/>
  <c r="H25" i="34"/>
  <c r="AB25" i="34" s="1"/>
  <c r="J25" i="34"/>
  <c r="F23" i="34"/>
  <c r="AA23" i="34"/>
  <c r="J19" i="34"/>
  <c r="AC19" i="34" s="1"/>
  <c r="F17" i="34"/>
  <c r="AA17" i="34" s="1"/>
  <c r="J17" i="34"/>
  <c r="W17" i="34" s="1"/>
  <c r="AB17" i="34"/>
  <c r="S41" i="33"/>
  <c r="H37" i="33"/>
  <c r="AB37" i="33" s="1"/>
  <c r="H15" i="33"/>
  <c r="AB15" i="33"/>
  <c r="H11" i="33"/>
  <c r="AB11" i="33" s="1"/>
  <c r="F28" i="40"/>
  <c r="AA42" i="34"/>
  <c r="AA38" i="34"/>
  <c r="J37" i="34"/>
  <c r="AC37" i="34" s="1"/>
  <c r="J11" i="33"/>
  <c r="W11" i="33"/>
  <c r="J42" i="21"/>
  <c r="AC42" i="21" s="1"/>
  <c r="H42" i="21"/>
  <c r="U42" i="21" s="1"/>
  <c r="J44" i="34"/>
  <c r="W44" i="34" s="1"/>
  <c r="F44" i="34"/>
  <c r="J10" i="35"/>
  <c r="W10" i="35" s="1"/>
  <c r="J14" i="21"/>
  <c r="W14" i="21"/>
  <c r="F14" i="21"/>
  <c r="S14" i="21" s="1"/>
  <c r="H14" i="21"/>
  <c r="U14" i="21" s="1"/>
  <c r="H30" i="21"/>
  <c r="U30" i="21" s="1"/>
  <c r="F30" i="21"/>
  <c r="S30" i="21" s="1"/>
  <c r="AC30" i="21"/>
  <c r="J44" i="21"/>
  <c r="W44" i="21" s="1"/>
  <c r="AC44" i="21"/>
  <c r="H44" i="21"/>
  <c r="U44" i="21" s="1"/>
  <c r="F44" i="21"/>
  <c r="AA44" i="21" s="1"/>
  <c r="H46" i="21"/>
  <c r="U46" i="21"/>
  <c r="F46" i="21"/>
  <c r="AA46" i="21" s="1"/>
  <c r="E119" i="21"/>
  <c r="F119" i="21"/>
  <c r="G119" i="21" s="1"/>
  <c r="H119" i="21" s="1"/>
  <c r="I119" i="21" s="1"/>
  <c r="J119" i="21" s="1"/>
  <c r="K119" i="21" s="1"/>
  <c r="L119" i="21" s="1"/>
  <c r="M119" i="21" s="1"/>
  <c r="H26" i="33"/>
  <c r="H28" i="33"/>
  <c r="U28" i="33"/>
  <c r="F28" i="33"/>
  <c r="AA28" i="33" s="1"/>
  <c r="J28" i="33"/>
  <c r="W28" i="33"/>
  <c r="F33" i="35"/>
  <c r="S33" i="35"/>
  <c r="J33" i="35"/>
  <c r="AC33" i="35" s="1"/>
  <c r="F30" i="35"/>
  <c r="S30" i="35"/>
  <c r="E89" i="35"/>
  <c r="F89" i="35"/>
  <c r="G89" i="35"/>
  <c r="H89" i="35" s="1"/>
  <c r="I89" i="35" s="1"/>
  <c r="J89" i="35" s="1"/>
  <c r="K89" i="35" s="1"/>
  <c r="L89" i="35" s="1"/>
  <c r="M89" i="35" s="1"/>
  <c r="H10" i="36"/>
  <c r="AB10" i="36" s="1"/>
  <c r="J14" i="36"/>
  <c r="AC14" i="36"/>
  <c r="H14" i="36"/>
  <c r="U14" i="36" s="1"/>
  <c r="F28" i="36"/>
  <c r="AA28" i="36" s="1"/>
  <c r="H27" i="21"/>
  <c r="AB27" i="21"/>
  <c r="F27" i="21"/>
  <c r="AA27" i="21" s="1"/>
  <c r="J31" i="21"/>
  <c r="AC31" i="21"/>
  <c r="F31" i="21"/>
  <c r="S31" i="21" s="1"/>
  <c r="F45" i="21"/>
  <c r="AA45" i="21" s="1"/>
  <c r="F27" i="33"/>
  <c r="AA27" i="33" s="1"/>
  <c r="J13" i="33"/>
  <c r="W13" i="33" s="1"/>
  <c r="H13" i="33"/>
  <c r="AB13" i="33" s="1"/>
  <c r="F13" i="33"/>
  <c r="AA13" i="33" s="1"/>
  <c r="S13" i="33"/>
  <c r="AC29" i="33"/>
  <c r="H29" i="33"/>
  <c r="U29" i="33" s="1"/>
  <c r="F29" i="33"/>
  <c r="J31" i="33"/>
  <c r="H45" i="33"/>
  <c r="AB45" i="33" s="1"/>
  <c r="U45" i="33"/>
  <c r="J45" i="33"/>
  <c r="W45" i="33" s="1"/>
  <c r="F45" i="33"/>
  <c r="F14" i="34"/>
  <c r="S14" i="34" s="1"/>
  <c r="H30" i="34"/>
  <c r="F30" i="34"/>
  <c r="J30" i="34"/>
  <c r="H32" i="34"/>
  <c r="J32" i="34"/>
  <c r="W32" i="34"/>
  <c r="J11" i="35"/>
  <c r="F11" i="35"/>
  <c r="J26" i="36"/>
  <c r="W26" i="36" s="1"/>
  <c r="H28" i="36"/>
  <c r="U28" i="36" s="1"/>
  <c r="H32" i="36"/>
  <c r="J32" i="36"/>
  <c r="W32" i="36"/>
  <c r="J11" i="36"/>
  <c r="W11" i="36" s="1"/>
  <c r="AA11" i="36"/>
  <c r="E89" i="37"/>
  <c r="F89" i="37" s="1"/>
  <c r="G89" i="37" s="1"/>
  <c r="H89" i="37"/>
  <c r="I89" i="37" s="1"/>
  <c r="J89" i="37" s="1"/>
  <c r="K89" i="37" s="1"/>
  <c r="L89" i="37" s="1"/>
  <c r="M89" i="37" s="1"/>
  <c r="J29" i="37"/>
  <c r="W29" i="37"/>
  <c r="F29" i="37"/>
  <c r="H36" i="37"/>
  <c r="AB36" i="37" s="1"/>
  <c r="F107" i="37"/>
  <c r="G107" i="37" s="1"/>
  <c r="H107" i="37" s="1"/>
  <c r="I107" i="37" s="1"/>
  <c r="J107" i="37" s="1"/>
  <c r="K107" i="37" s="1"/>
  <c r="J37" i="37"/>
  <c r="AC37" i="37"/>
  <c r="H37" i="37"/>
  <c r="H40" i="37"/>
  <c r="U40" i="37"/>
  <c r="J40" i="37"/>
  <c r="AC40" i="37" s="1"/>
  <c r="F40" i="37"/>
  <c r="AA40" i="37"/>
  <c r="H14" i="33"/>
  <c r="U14" i="33"/>
  <c r="F14" i="33"/>
  <c r="S14" i="33" s="1"/>
  <c r="J14" i="33"/>
  <c r="H44" i="33"/>
  <c r="U44" i="33" s="1"/>
  <c r="AC44" i="33"/>
  <c r="F44" i="33"/>
  <c r="S44" i="33" s="1"/>
  <c r="J46" i="33"/>
  <c r="AC46" i="33" s="1"/>
  <c r="F46" i="33"/>
  <c r="AA46" i="33"/>
  <c r="H46" i="33"/>
  <c r="AB46" i="33" s="1"/>
  <c r="H13" i="34"/>
  <c r="U13" i="34"/>
  <c r="J13" i="34"/>
  <c r="W13" i="34"/>
  <c r="AA13" i="34"/>
  <c r="J29" i="34"/>
  <c r="F29" i="34"/>
  <c r="H29" i="34"/>
  <c r="AB29" i="34"/>
  <c r="J31" i="34"/>
  <c r="AC31" i="34" s="1"/>
  <c r="H31" i="34"/>
  <c r="AB31" i="34" s="1"/>
  <c r="F31" i="34"/>
  <c r="S31" i="34" s="1"/>
  <c r="H45" i="34"/>
  <c r="U45" i="34"/>
  <c r="W45" i="34"/>
  <c r="F45" i="34"/>
  <c r="S45" i="34" s="1"/>
  <c r="H47" i="34"/>
  <c r="F47" i="34"/>
  <c r="S47" i="34"/>
  <c r="J47" i="34"/>
  <c r="F13" i="35"/>
  <c r="AA13" i="35" s="1"/>
  <c r="J13" i="35"/>
  <c r="AC13" i="35" s="1"/>
  <c r="H13" i="35"/>
  <c r="U13" i="35"/>
  <c r="J25" i="35"/>
  <c r="W25" i="35"/>
  <c r="F25" i="35"/>
  <c r="H25" i="35"/>
  <c r="AB25" i="35" s="1"/>
  <c r="J35" i="35"/>
  <c r="AC35" i="35"/>
  <c r="F35" i="35"/>
  <c r="H35" i="35"/>
  <c r="AB35" i="35"/>
  <c r="J25" i="36"/>
  <c r="W25" i="36" s="1"/>
  <c r="F25" i="36"/>
  <c r="S25" i="36" s="1"/>
  <c r="H25" i="36"/>
  <c r="H13" i="37"/>
  <c r="AB13" i="37"/>
  <c r="F13" i="37"/>
  <c r="S13" i="37" s="1"/>
  <c r="J13" i="37"/>
  <c r="W13" i="37" s="1"/>
  <c r="F28" i="37"/>
  <c r="AA28" i="37" s="1"/>
  <c r="H14" i="39"/>
  <c r="F12" i="40"/>
  <c r="S12" i="40" s="1"/>
  <c r="H12" i="40"/>
  <c r="AB12" i="40" s="1"/>
  <c r="H30" i="40"/>
  <c r="AB30" i="40"/>
  <c r="F33" i="40"/>
  <c r="H33" i="40"/>
  <c r="U33" i="40" s="1"/>
  <c r="J35" i="40"/>
  <c r="AC35" i="40" s="1"/>
  <c r="J37" i="40"/>
  <c r="AC37" i="40"/>
  <c r="H13" i="40"/>
  <c r="U13" i="40" s="1"/>
  <c r="J13" i="40"/>
  <c r="F13" i="40"/>
  <c r="AA13" i="40" s="1"/>
  <c r="F14" i="37"/>
  <c r="S14" i="37" s="1"/>
  <c r="H14" i="40"/>
  <c r="U14" i="40" s="1"/>
  <c r="AB14" i="40"/>
  <c r="J14" i="40"/>
  <c r="W14" i="40" s="1"/>
  <c r="F14" i="40"/>
  <c r="J14" i="37"/>
  <c r="W14" i="37" s="1"/>
  <c r="AC14" i="37"/>
  <c r="U46" i="33"/>
  <c r="J36" i="37"/>
  <c r="AC36" i="37" s="1"/>
  <c r="J10" i="36"/>
  <c r="AA14" i="34"/>
  <c r="U31" i="33"/>
  <c r="W29" i="33"/>
  <c r="U13" i="33"/>
  <c r="F17" i="21"/>
  <c r="AA17" i="21" s="1"/>
  <c r="H17" i="21"/>
  <c r="F15" i="21"/>
  <c r="S15" i="21" s="1"/>
  <c r="AB11" i="21"/>
  <c r="J41" i="39"/>
  <c r="AC41" i="39" s="1"/>
  <c r="G540" i="3"/>
  <c r="G535" i="3"/>
  <c r="G532" i="3"/>
  <c r="G527" i="3"/>
  <c r="G523" i="3"/>
  <c r="G518" i="3"/>
  <c r="G514" i="3"/>
  <c r="G510" i="3"/>
  <c r="G508" i="3"/>
  <c r="G504" i="3"/>
  <c r="G500" i="3"/>
  <c r="G496" i="3"/>
  <c r="G580" i="3"/>
  <c r="G572" i="3"/>
  <c r="G564" i="3"/>
  <c r="G554" i="3"/>
  <c r="G550" i="3"/>
  <c r="BL554" i="3"/>
  <c r="BL538" i="3"/>
  <c r="BL530" i="3"/>
  <c r="BL522" i="3"/>
  <c r="BL506" i="3"/>
  <c r="BL498" i="3"/>
  <c r="BL570" i="3"/>
  <c r="BL566" i="3"/>
  <c r="BL562" i="3"/>
  <c r="BL552" i="3"/>
  <c r="G533" i="3"/>
  <c r="G529" i="3"/>
  <c r="G525" i="3"/>
  <c r="BL514" i="3"/>
  <c r="BL504" i="3"/>
  <c r="BL496" i="3"/>
  <c r="G493" i="3"/>
  <c r="BA584" i="3"/>
  <c r="BA582" i="3"/>
  <c r="BA564" i="3"/>
  <c r="BA560" i="3"/>
  <c r="BA520" i="3"/>
  <c r="BA512" i="3"/>
  <c r="BA579" i="3"/>
  <c r="AZ579" i="3" s="1"/>
  <c r="BA563" i="3"/>
  <c r="BA561" i="3"/>
  <c r="AZ561" i="3" s="1"/>
  <c r="BA555" i="3"/>
  <c r="BA553" i="3"/>
  <c r="BA515" i="3"/>
  <c r="BA507" i="3"/>
  <c r="BA499" i="3"/>
  <c r="G583" i="3"/>
  <c r="G581" i="3"/>
  <c r="G575" i="3"/>
  <c r="G573" i="3"/>
  <c r="G569" i="3"/>
  <c r="G567" i="3"/>
  <c r="G565" i="3"/>
  <c r="G561" i="3"/>
  <c r="AC557" i="3"/>
  <c r="G557" i="3"/>
  <c r="BQ557" i="3"/>
  <c r="BL557" i="3" s="1"/>
  <c r="BQ583" i="3"/>
  <c r="BL583" i="3"/>
  <c r="BQ581" i="3"/>
  <c r="BL581" i="3"/>
  <c r="BQ579" i="3"/>
  <c r="BL579" i="3" s="1"/>
  <c r="BQ577" i="3"/>
  <c r="BQ575" i="3"/>
  <c r="BQ573" i="3"/>
  <c r="BL573" i="3" s="1"/>
  <c r="BQ571" i="3"/>
  <c r="BL571" i="3" s="1"/>
  <c r="BQ569" i="3"/>
  <c r="BQ567" i="3"/>
  <c r="BQ565" i="3"/>
  <c r="BL565" i="3" s="1"/>
  <c r="AZ565" i="3"/>
  <c r="BQ563" i="3"/>
  <c r="BQ561" i="3"/>
  <c r="BQ559" i="3"/>
  <c r="BL559" i="3" s="1"/>
  <c r="G559" i="3"/>
  <c r="G555" i="3"/>
  <c r="G553" i="3"/>
  <c r="G549" i="3"/>
  <c r="G545" i="3"/>
  <c r="G543" i="3"/>
  <c r="G541" i="3"/>
  <c r="G537" i="3"/>
  <c r="BQ555" i="3"/>
  <c r="BQ553" i="3"/>
  <c r="BQ551" i="3"/>
  <c r="BQ549" i="3"/>
  <c r="BL549" i="3" s="1"/>
  <c r="AZ549" i="3" s="1"/>
  <c r="BQ547" i="3"/>
  <c r="BQ545" i="3"/>
  <c r="BQ543" i="3"/>
  <c r="BL543" i="3" s="1"/>
  <c r="BQ541" i="3"/>
  <c r="BL541" i="3" s="1"/>
  <c r="BQ539" i="3"/>
  <c r="BQ537" i="3"/>
  <c r="BQ535" i="3"/>
  <c r="BL535" i="3" s="1"/>
  <c r="BQ533" i="3"/>
  <c r="BL533" i="3" s="1"/>
  <c r="BQ531" i="3"/>
  <c r="BQ529" i="3"/>
  <c r="BQ527" i="3"/>
  <c r="BL527" i="3" s="1"/>
  <c r="BQ525" i="3"/>
  <c r="BL525" i="3" s="1"/>
  <c r="BQ523" i="3"/>
  <c r="AC521" i="3"/>
  <c r="G521" i="3" s="1"/>
  <c r="BQ521" i="3"/>
  <c r="G519" i="3"/>
  <c r="G517" i="3"/>
  <c r="G513" i="3"/>
  <c r="G511" i="3"/>
  <c r="BQ519" i="3"/>
  <c r="BL519" i="3" s="1"/>
  <c r="BQ517" i="3"/>
  <c r="BL517" i="3" s="1"/>
  <c r="BQ515" i="3"/>
  <c r="BQ513" i="3"/>
  <c r="BQ511" i="3"/>
  <c r="BL511" i="3" s="1"/>
  <c r="AC509" i="3"/>
  <c r="BQ509" i="3"/>
  <c r="BL509" i="3" s="1"/>
  <c r="G505" i="3"/>
  <c r="G503" i="3"/>
  <c r="G501" i="3"/>
  <c r="G497" i="3"/>
  <c r="G495" i="3"/>
  <c r="BQ507" i="3"/>
  <c r="BQ505" i="3"/>
  <c r="BQ503" i="3"/>
  <c r="BQ501" i="3"/>
  <c r="BL501" i="3" s="1"/>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c r="E125" i="33"/>
  <c r="F125" i="33" s="1"/>
  <c r="H43" i="33"/>
  <c r="AB43" i="33" s="1"/>
  <c r="H17" i="37"/>
  <c r="U17" i="37" s="1"/>
  <c r="F39" i="33"/>
  <c r="E123" i="33"/>
  <c r="F42" i="33"/>
  <c r="H28" i="34"/>
  <c r="AB28" i="34" s="1"/>
  <c r="F14" i="36"/>
  <c r="AA14" i="36" s="1"/>
  <c r="F22" i="36"/>
  <c r="S22" i="36" s="1"/>
  <c r="F26" i="36"/>
  <c r="S26" i="36" s="1"/>
  <c r="H27" i="34"/>
  <c r="H35" i="34"/>
  <c r="F41" i="34"/>
  <c r="H41" i="34"/>
  <c r="U41" i="34" s="1"/>
  <c r="J41" i="34"/>
  <c r="AC41" i="34"/>
  <c r="F10" i="35"/>
  <c r="S10" i="35" s="1"/>
  <c r="F24" i="35"/>
  <c r="AA24" i="35" s="1"/>
  <c r="H24" i="35"/>
  <c r="AB24" i="35" s="1"/>
  <c r="H23" i="37"/>
  <c r="J32" i="37"/>
  <c r="AC32" i="37" s="1"/>
  <c r="F36" i="37"/>
  <c r="F37" i="37"/>
  <c r="AA37" i="37"/>
  <c r="F31" i="40"/>
  <c r="H31" i="40"/>
  <c r="U31" i="40" s="1"/>
  <c r="F32" i="40"/>
  <c r="S32" i="40" s="1"/>
  <c r="H32" i="40"/>
  <c r="AB32" i="40" s="1"/>
  <c r="J36" i="40"/>
  <c r="W36" i="40"/>
  <c r="H19" i="37"/>
  <c r="F123" i="33"/>
  <c r="G123" i="33" s="1"/>
  <c r="H123" i="33" s="1"/>
  <c r="I123" i="33" s="1"/>
  <c r="J123" i="33" s="1"/>
  <c r="K123" i="33" s="1"/>
  <c r="L123" i="33" s="1"/>
  <c r="M123" i="33" s="1"/>
  <c r="H42" i="33"/>
  <c r="AB42" i="33" s="1"/>
  <c r="G125" i="33"/>
  <c r="J43" i="33"/>
  <c r="AC43" i="33" s="1"/>
  <c r="S28" i="31"/>
  <c r="S27" i="31"/>
  <c r="S26" i="31"/>
  <c r="AC32" i="36"/>
  <c r="AC33" i="36"/>
  <c r="U35" i="35"/>
  <c r="AA12" i="35"/>
  <c r="W23" i="35"/>
  <c r="U33" i="37"/>
  <c r="W26" i="37"/>
  <c r="AC8" i="37"/>
  <c r="AB13" i="34"/>
  <c r="W37" i="34"/>
  <c r="AB37" i="34"/>
  <c r="AC36" i="34"/>
  <c r="AC45" i="33"/>
  <c r="W44" i="33"/>
  <c r="U11" i="33"/>
  <c r="U19" i="21"/>
  <c r="U26" i="21"/>
  <c r="AC46" i="21"/>
  <c r="U12" i="21"/>
  <c r="AB38" i="21"/>
  <c r="F43" i="33"/>
  <c r="W15" i="34"/>
  <c r="AC15" i="34"/>
  <c r="W16" i="35"/>
  <c r="W40" i="37"/>
  <c r="L107" i="37"/>
  <c r="M107" i="37" s="1"/>
  <c r="H37" i="21"/>
  <c r="U37" i="21"/>
  <c r="H19" i="34"/>
  <c r="AB19" i="34"/>
  <c r="J9" i="37"/>
  <c r="W9" i="37"/>
  <c r="H9" i="37"/>
  <c r="F9" i="37"/>
  <c r="J12" i="37"/>
  <c r="AC12" i="37" s="1"/>
  <c r="H12" i="37"/>
  <c r="U12" i="37" s="1"/>
  <c r="AB12" i="37"/>
  <c r="F12" i="37"/>
  <c r="S12" i="37" s="1"/>
  <c r="E71" i="37"/>
  <c r="F15" i="37"/>
  <c r="AA15" i="37" s="1"/>
  <c r="E94" i="37"/>
  <c r="F94" i="37" s="1"/>
  <c r="G94" i="37" s="1"/>
  <c r="H94" i="37" s="1"/>
  <c r="I94" i="37" s="1"/>
  <c r="J94" i="37" s="1"/>
  <c r="K94" i="37" s="1"/>
  <c r="L94" i="37" s="1"/>
  <c r="M94" i="37" s="1"/>
  <c r="F31" i="37"/>
  <c r="F12" i="39"/>
  <c r="AA12" i="39" s="1"/>
  <c r="J42" i="39"/>
  <c r="AC42" i="39" s="1"/>
  <c r="H21" i="40"/>
  <c r="AB21" i="40" s="1"/>
  <c r="H31" i="37"/>
  <c r="F71" i="37"/>
  <c r="G71" i="37" s="1"/>
  <c r="J15" i="37"/>
  <c r="W15" i="37" s="1"/>
  <c r="AT6" i="3"/>
  <c r="AA25" i="21"/>
  <c r="C12" i="43"/>
  <c r="H19" i="40"/>
  <c r="F88" i="40"/>
  <c r="G88" i="40" s="1"/>
  <c r="F19" i="40"/>
  <c r="S19" i="40" s="1"/>
  <c r="AB33" i="40"/>
  <c r="AB44" i="39"/>
  <c r="G101" i="39"/>
  <c r="H25" i="39"/>
  <c r="AB25" i="39" s="1"/>
  <c r="J25" i="39"/>
  <c r="AC25" i="39" s="1"/>
  <c r="F25" i="39"/>
  <c r="S25" i="39" s="1"/>
  <c r="F15" i="39"/>
  <c r="AA15" i="39" s="1"/>
  <c r="H15" i="39"/>
  <c r="AB15" i="39" s="1"/>
  <c r="J15" i="39"/>
  <c r="W15" i="39" s="1"/>
  <c r="H41" i="39"/>
  <c r="U41" i="39" s="1"/>
  <c r="AB34" i="39"/>
  <c r="S42" i="39"/>
  <c r="W9" i="39"/>
  <c r="J19" i="40"/>
  <c r="AC19" i="40" s="1"/>
  <c r="J50" i="40"/>
  <c r="H103" i="9"/>
  <c r="D8" i="53" s="1"/>
  <c r="B16" i="53"/>
  <c r="B33" i="72" s="1"/>
  <c r="C7" i="37"/>
  <c r="C7" i="34"/>
  <c r="C7" i="36"/>
  <c r="W35" i="40"/>
  <c r="A118" i="9"/>
  <c r="A4" i="52"/>
  <c r="B41" i="72" s="1"/>
  <c r="J11" i="39"/>
  <c r="W11" i="39" s="1"/>
  <c r="F11" i="39"/>
  <c r="S11" i="39" s="1"/>
  <c r="G4" i="4"/>
  <c r="I4" i="4"/>
  <c r="K5" i="4"/>
  <c r="B47" i="48" s="1"/>
  <c r="A2" i="9"/>
  <c r="F59" i="43"/>
  <c r="H62" i="43" s="1"/>
  <c r="G546" i="3"/>
  <c r="G524" i="3"/>
  <c r="G303" i="3"/>
  <c r="BL304" i="3"/>
  <c r="G305" i="3"/>
  <c r="BL306" i="3"/>
  <c r="BA308" i="3"/>
  <c r="BA309" i="3"/>
  <c r="BL309" i="3"/>
  <c r="AZ309" i="3" s="1"/>
  <c r="G310" i="3"/>
  <c r="BA311" i="3"/>
  <c r="AZ311" i="3" s="1"/>
  <c r="G319" i="3"/>
  <c r="BL320" i="3"/>
  <c r="G321" i="3"/>
  <c r="BL322" i="3"/>
  <c r="BA324" i="3"/>
  <c r="BA325" i="3"/>
  <c r="BL325" i="3"/>
  <c r="AZ325" i="3" s="1"/>
  <c r="G326" i="3"/>
  <c r="BA327" i="3"/>
  <c r="G335" i="3"/>
  <c r="BL336" i="3"/>
  <c r="G337" i="3"/>
  <c r="BL338" i="3"/>
  <c r="BA340" i="3"/>
  <c r="BA341" i="3"/>
  <c r="BL341" i="3"/>
  <c r="BA343" i="3"/>
  <c r="AZ343" i="3" s="1"/>
  <c r="BA345" i="3"/>
  <c r="BL355" i="3"/>
  <c r="G356" i="3"/>
  <c r="BL357" i="3"/>
  <c r="BA359" i="3"/>
  <c r="BA360" i="3"/>
  <c r="AZ360" i="3" s="1"/>
  <c r="BL360" i="3"/>
  <c r="G361" i="3"/>
  <c r="BA362" i="3"/>
  <c r="G370" i="3"/>
  <c r="BL371" i="3"/>
  <c r="G372" i="3"/>
  <c r="BL373" i="3"/>
  <c r="BA375" i="3"/>
  <c r="BA376" i="3"/>
  <c r="AZ376" i="3" s="1"/>
  <c r="BL376" i="3"/>
  <c r="G377" i="3"/>
  <c r="BA378" i="3"/>
  <c r="AZ378" i="3" s="1"/>
  <c r="BL378" i="3"/>
  <c r="G379" i="3"/>
  <c r="BA380" i="3"/>
  <c r="G388" i="3"/>
  <c r="BL389" i="3"/>
  <c r="AZ389" i="3" s="1"/>
  <c r="G390" i="3"/>
  <c r="BL391" i="3"/>
  <c r="BA393" i="3"/>
  <c r="BA394" i="3"/>
  <c r="BL394" i="3"/>
  <c r="AZ394" i="3" s="1"/>
  <c r="G113" i="3"/>
  <c r="BA115" i="3"/>
  <c r="BL116" i="3"/>
  <c r="G117" i="3"/>
  <c r="BA119" i="3"/>
  <c r="AZ119" i="3" s="1"/>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AZ167" i="3" s="1"/>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36" i="3"/>
  <c r="G534" i="3"/>
  <c r="G530" i="3"/>
  <c r="G522" i="3"/>
  <c r="G516" i="3"/>
  <c r="G506" i="3"/>
  <c r="G498" i="3"/>
  <c r="G494" i="3"/>
  <c r="G16" i="3"/>
  <c r="G15" i="3"/>
  <c r="BA304" i="3"/>
  <c r="BA305" i="3"/>
  <c r="BL305" i="3"/>
  <c r="AZ305" i="3" s="1"/>
  <c r="G306" i="3"/>
  <c r="G309" i="3"/>
  <c r="BL310" i="3"/>
  <c r="BA312" i="3"/>
  <c r="BA313" i="3"/>
  <c r="AZ313" i="3" s="1"/>
  <c r="BL313" i="3"/>
  <c r="G314" i="3"/>
  <c r="G317" i="3"/>
  <c r="BL318" i="3"/>
  <c r="BA320" i="3"/>
  <c r="AZ320" i="3" s="1"/>
  <c r="BA321" i="3"/>
  <c r="AZ321" i="3" s="1"/>
  <c r="BL321" i="3"/>
  <c r="G322" i="3"/>
  <c r="G325" i="3"/>
  <c r="BL326" i="3"/>
  <c r="AZ326" i="3" s="1"/>
  <c r="BA328" i="3"/>
  <c r="BA329" i="3"/>
  <c r="BL329" i="3"/>
  <c r="AZ329" i="3" s="1"/>
  <c r="G330" i="3"/>
  <c r="G333" i="3"/>
  <c r="BL334" i="3"/>
  <c r="BA336" i="3"/>
  <c r="BA337" i="3"/>
  <c r="AZ337" i="3" s="1"/>
  <c r="BL337" i="3"/>
  <c r="G338" i="3"/>
  <c r="G341" i="3"/>
  <c r="BA342" i="3"/>
  <c r="AZ342" i="3" s="1"/>
  <c r="BL342" i="3"/>
  <c r="BA344" i="3"/>
  <c r="AZ344" i="3" s="1"/>
  <c r="BL344" i="3"/>
  <c r="BA346" i="3"/>
  <c r="AZ346" i="3"/>
  <c r="BA347" i="3"/>
  <c r="AZ347" i="3"/>
  <c r="BL347" i="3"/>
  <c r="G350" i="3"/>
  <c r="BA351" i="3"/>
  <c r="BL351" i="3"/>
  <c r="G352" i="3"/>
  <c r="G354" i="3"/>
  <c r="BA355" i="3"/>
  <c r="BA356" i="3"/>
  <c r="BL356" i="3"/>
  <c r="AZ356" i="3" s="1"/>
  <c r="G357" i="3"/>
  <c r="G360" i="3"/>
  <c r="BL361" i="3"/>
  <c r="BA363" i="3"/>
  <c r="BA364" i="3"/>
  <c r="BL364" i="3"/>
  <c r="G365" i="3"/>
  <c r="G368" i="3"/>
  <c r="BL369" i="3"/>
  <c r="BA371" i="3"/>
  <c r="BA372" i="3"/>
  <c r="BL372" i="3"/>
  <c r="G373" i="3"/>
  <c r="G376" i="3"/>
  <c r="BL377" i="3"/>
  <c r="BL379" i="3"/>
  <c r="BA381" i="3"/>
  <c r="BA382" i="3"/>
  <c r="AZ382" i="3" s="1"/>
  <c r="BL382" i="3"/>
  <c r="G383" i="3"/>
  <c r="G386" i="3"/>
  <c r="BL387" i="3"/>
  <c r="BA389" i="3"/>
  <c r="BA390" i="3"/>
  <c r="AZ390" i="3" s="1"/>
  <c r="BL390" i="3"/>
  <c r="G391" i="3"/>
  <c r="G394" i="3"/>
  <c r="BA16" i="3"/>
  <c r="BL303" i="3"/>
  <c r="G304" i="3"/>
  <c r="BA306" i="3"/>
  <c r="AZ306" i="3" s="1"/>
  <c r="BL307" i="3"/>
  <c r="G308" i="3"/>
  <c r="BA310" i="3"/>
  <c r="AZ310" i="3" s="1"/>
  <c r="BL311" i="3"/>
  <c r="G312" i="3"/>
  <c r="BA314" i="3"/>
  <c r="BL315" i="3"/>
  <c r="G316" i="3"/>
  <c r="BA318" i="3"/>
  <c r="AZ318" i="3"/>
  <c r="BL319" i="3"/>
  <c r="G320" i="3"/>
  <c r="BA322" i="3"/>
  <c r="BL323" i="3"/>
  <c r="G324" i="3"/>
  <c r="BA326" i="3"/>
  <c r="BL327" i="3"/>
  <c r="AZ327" i="3" s="1"/>
  <c r="G328" i="3"/>
  <c r="BA330" i="3"/>
  <c r="BL331" i="3"/>
  <c r="G332" i="3"/>
  <c r="BA334" i="3"/>
  <c r="AZ334" i="3" s="1"/>
  <c r="BL335" i="3"/>
  <c r="G336" i="3"/>
  <c r="BA338" i="3"/>
  <c r="AZ338" i="3" s="1"/>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AZ373" i="3" s="1"/>
  <c r="BL374" i="3"/>
  <c r="G375" i="3"/>
  <c r="BA377" i="3"/>
  <c r="AZ370" i="3"/>
  <c r="BA379" i="3"/>
  <c r="BL380" i="3"/>
  <c r="G381" i="3"/>
  <c r="BA383" i="3"/>
  <c r="BL384" i="3"/>
  <c r="AZ384" i="3" s="1"/>
  <c r="G385" i="3"/>
  <c r="BA387" i="3"/>
  <c r="AZ387" i="3"/>
  <c r="BL388" i="3"/>
  <c r="G389" i="3"/>
  <c r="BA391" i="3"/>
  <c r="BL392" i="3"/>
  <c r="G393" i="3"/>
  <c r="G548" i="3"/>
  <c r="G538" i="3"/>
  <c r="G502" i="3"/>
  <c r="G17" i="3"/>
  <c r="BA17" i="3"/>
  <c r="BA15" i="3"/>
  <c r="AZ15" i="3" s="1"/>
  <c r="G509" i="3"/>
  <c r="BL493" i="3"/>
  <c r="U36" i="40"/>
  <c r="F36" i="43"/>
  <c r="F81" i="43"/>
  <c r="H83" i="43"/>
  <c r="H113" i="43"/>
  <c r="F48" i="43"/>
  <c r="H52" i="43" s="1"/>
  <c r="F70" i="43"/>
  <c r="H75" i="43" s="1"/>
  <c r="M11" i="43"/>
  <c r="D17" i="43"/>
  <c r="F39" i="43"/>
  <c r="I17" i="43"/>
  <c r="F35" i="43"/>
  <c r="J17" i="43"/>
  <c r="F6" i="1"/>
  <c r="G6" i="1" s="1"/>
  <c r="S14" i="35"/>
  <c r="U43" i="21"/>
  <c r="AC35" i="21"/>
  <c r="U10" i="21"/>
  <c r="G8" i="1"/>
  <c r="G10" i="1"/>
  <c r="F48" i="9"/>
  <c r="O52" i="9" s="1"/>
  <c r="W37" i="37"/>
  <c r="S15" i="37"/>
  <c r="U13" i="37"/>
  <c r="U12" i="40"/>
  <c r="J37" i="33"/>
  <c r="W37" i="33" s="1"/>
  <c r="AC17" i="34"/>
  <c r="F106" i="33"/>
  <c r="G106" i="33" s="1"/>
  <c r="H106" i="33" s="1"/>
  <c r="I106" i="33" s="1"/>
  <c r="J106" i="33" s="1"/>
  <c r="K106" i="33" s="1"/>
  <c r="L106" i="33" s="1"/>
  <c r="M106" i="33" s="1"/>
  <c r="J34" i="33"/>
  <c r="W34" i="33" s="1"/>
  <c r="F33" i="34"/>
  <c r="AC12" i="36"/>
  <c r="H20" i="36"/>
  <c r="J20" i="36"/>
  <c r="W20" i="36" s="1"/>
  <c r="J27" i="36"/>
  <c r="W27" i="36"/>
  <c r="AC33" i="40"/>
  <c r="H35" i="40"/>
  <c r="AB35" i="40"/>
  <c r="AC29" i="35"/>
  <c r="H35" i="37"/>
  <c r="AC14" i="35"/>
  <c r="H20" i="35"/>
  <c r="F20" i="35"/>
  <c r="AA20" i="35" s="1"/>
  <c r="AB23" i="35"/>
  <c r="AB29" i="36"/>
  <c r="U29" i="36"/>
  <c r="H32" i="37"/>
  <c r="AB32" i="37" s="1"/>
  <c r="F96" i="37"/>
  <c r="G96" i="37" s="1"/>
  <c r="H96" i="37" s="1"/>
  <c r="I96" i="37" s="1"/>
  <c r="H27" i="40"/>
  <c r="AB27" i="40" s="1"/>
  <c r="U27" i="40"/>
  <c r="J27" i="40"/>
  <c r="AC27" i="40" s="1"/>
  <c r="F27" i="40"/>
  <c r="J30" i="40"/>
  <c r="AC30" i="40" s="1"/>
  <c r="F30" i="40"/>
  <c r="AA30" i="40" s="1"/>
  <c r="AC21" i="40"/>
  <c r="E98" i="40"/>
  <c r="F98" i="40" s="1"/>
  <c r="G98" i="40" s="1"/>
  <c r="H98" i="40" s="1"/>
  <c r="I98" i="40" s="1"/>
  <c r="J98" i="40" s="1"/>
  <c r="K98" i="40" s="1"/>
  <c r="L98" i="40" s="1"/>
  <c r="M98" i="40" s="1"/>
  <c r="F10" i="33"/>
  <c r="S10" i="33" s="1"/>
  <c r="F34" i="33"/>
  <c r="AA34" i="33" s="1"/>
  <c r="S34" i="33"/>
  <c r="H34" i="33"/>
  <c r="F35" i="33"/>
  <c r="AA35" i="33" s="1"/>
  <c r="F39" i="34"/>
  <c r="S39" i="34" s="1"/>
  <c r="J39" i="34"/>
  <c r="AC39" i="34" s="1"/>
  <c r="F40" i="34"/>
  <c r="S40" i="34" s="1"/>
  <c r="F43" i="34"/>
  <c r="AA43" i="34"/>
  <c r="H44" i="34"/>
  <c r="AB44" i="34" s="1"/>
  <c r="AC38" i="39"/>
  <c r="F39" i="39"/>
  <c r="AA39" i="39" s="1"/>
  <c r="E97" i="39"/>
  <c r="F97" i="39" s="1"/>
  <c r="G97" i="39" s="1"/>
  <c r="I20" i="43"/>
  <c r="F23" i="39"/>
  <c r="S23" i="39" s="1"/>
  <c r="H27" i="36"/>
  <c r="F27" i="36"/>
  <c r="AA27" i="36" s="1"/>
  <c r="H33" i="34"/>
  <c r="U33" i="34" s="1"/>
  <c r="F32" i="37"/>
  <c r="AA32" i="37" s="1"/>
  <c r="J96" i="37"/>
  <c r="K96" i="37" s="1"/>
  <c r="L96" i="37" s="1"/>
  <c r="M96" i="37" s="1"/>
  <c r="F20" i="36"/>
  <c r="J33" i="34"/>
  <c r="AC33" i="34"/>
  <c r="H23" i="39"/>
  <c r="U23" i="39" s="1"/>
  <c r="D48" i="9"/>
  <c r="M52" i="9" s="1"/>
  <c r="H86" i="43"/>
  <c r="H82" i="43"/>
  <c r="H87" i="43"/>
  <c r="K9" i="1"/>
  <c r="M9" i="1" s="1"/>
  <c r="AE9" i="1"/>
  <c r="D93" i="9"/>
  <c r="K6" i="1"/>
  <c r="M6" i="1" s="1"/>
  <c r="O6" i="1" s="1"/>
  <c r="P6" i="1" s="1"/>
  <c r="AC26" i="33"/>
  <c r="W26" i="33"/>
  <c r="W27" i="34"/>
  <c r="AC27" i="34"/>
  <c r="AB33" i="36"/>
  <c r="U33" i="36"/>
  <c r="AC12" i="39"/>
  <c r="AC39" i="40"/>
  <c r="W39" i="40"/>
  <c r="AZ417" i="3"/>
  <c r="AZ428" i="3"/>
  <c r="W12" i="33"/>
  <c r="AC12" i="33"/>
  <c r="AA32" i="36"/>
  <c r="S32" i="36"/>
  <c r="AZ441" i="3"/>
  <c r="AA39" i="34"/>
  <c r="AC13" i="34"/>
  <c r="AA47" i="34"/>
  <c r="F12" i="33"/>
  <c r="H12" i="39"/>
  <c r="AB12" i="39" s="1"/>
  <c r="F39" i="40"/>
  <c r="S39" i="40" s="1"/>
  <c r="S12" i="1"/>
  <c r="AR12" i="1" s="1"/>
  <c r="R12" i="1"/>
  <c r="B12" i="1"/>
  <c r="E12" i="1" s="1"/>
  <c r="S10" i="1"/>
  <c r="AQ10" i="1" s="1"/>
  <c r="R10" i="1"/>
  <c r="B10" i="1"/>
  <c r="E10" i="1" s="1"/>
  <c r="K12" i="1"/>
  <c r="M12" i="1" s="1"/>
  <c r="O12" i="1" s="1"/>
  <c r="S13" i="1"/>
  <c r="AR13" i="1" s="1"/>
  <c r="R13" i="1"/>
  <c r="S11" i="1"/>
  <c r="AQ11" i="1" s="1"/>
  <c r="R11" i="1"/>
  <c r="S9" i="1"/>
  <c r="AR9" i="1" s="1"/>
  <c r="R9" i="1"/>
  <c r="J51" i="67"/>
  <c r="C42" i="1"/>
  <c r="H100" i="43"/>
  <c r="C30" i="66"/>
  <c r="E26" i="66" s="1"/>
  <c r="B41" i="1"/>
  <c r="J100" i="43"/>
  <c r="AB37" i="40"/>
  <c r="S35" i="40"/>
  <c r="U35" i="40"/>
  <c r="AC36" i="40"/>
  <c r="S17" i="40"/>
  <c r="S23" i="40"/>
  <c r="AC17" i="40"/>
  <c r="AC15" i="40"/>
  <c r="S30" i="40"/>
  <c r="AA19" i="40"/>
  <c r="U21" i="40"/>
  <c r="W42" i="39"/>
  <c r="S37" i="39"/>
  <c r="U31" i="39"/>
  <c r="J21" i="39"/>
  <c r="W21" i="39" s="1"/>
  <c r="F21" i="39"/>
  <c r="AA21" i="39" s="1"/>
  <c r="G95" i="39"/>
  <c r="H21" i="39"/>
  <c r="U21" i="39" s="1"/>
  <c r="S17" i="39"/>
  <c r="S9" i="39"/>
  <c r="S23" i="36"/>
  <c r="AC27" i="36"/>
  <c r="U26" i="36"/>
  <c r="S33" i="36"/>
  <c r="S27" i="36"/>
  <c r="AA26" i="36"/>
  <c r="S29" i="36"/>
  <c r="AC26" i="36"/>
  <c r="AA22" i="36"/>
  <c r="W14" i="36"/>
  <c r="AB14" i="36"/>
  <c r="S16" i="36"/>
  <c r="AA25" i="36"/>
  <c r="U23" i="36"/>
  <c r="U16" i="36"/>
  <c r="S14" i="36"/>
  <c r="U10" i="36"/>
  <c r="S23" i="35"/>
  <c r="W24" i="35"/>
  <c r="AB13" i="35"/>
  <c r="U29" i="35"/>
  <c r="U28" i="35"/>
  <c r="AB27" i="35"/>
  <c r="AA33" i="35"/>
  <c r="AC30" i="35"/>
  <c r="S32" i="35"/>
  <c r="W32" i="35"/>
  <c r="S28" i="35"/>
  <c r="AB16" i="35"/>
  <c r="U22" i="35"/>
  <c r="S20" i="35"/>
  <c r="AC20" i="35"/>
  <c r="S22" i="35"/>
  <c r="U14" i="35"/>
  <c r="AC10" i="35"/>
  <c r="AA10" i="35"/>
  <c r="AB10" i="35"/>
  <c r="S8" i="35"/>
  <c r="AC9" i="35"/>
  <c r="W9" i="35"/>
  <c r="AC12" i="35"/>
  <c r="W13" i="35"/>
  <c r="F9" i="35"/>
  <c r="H9" i="35"/>
  <c r="AB9" i="35" s="1"/>
  <c r="AB40" i="37"/>
  <c r="AC9" i="37"/>
  <c r="AC29" i="37"/>
  <c r="U29" i="37"/>
  <c r="W30" i="37"/>
  <c r="AA38" i="37"/>
  <c r="U32" i="37"/>
  <c r="AC35" i="37"/>
  <c r="S30" i="37"/>
  <c r="S37" i="37"/>
  <c r="AC15" i="37"/>
  <c r="J17" i="37"/>
  <c r="G73" i="37"/>
  <c r="F17" i="37"/>
  <c r="AA17" i="37" s="1"/>
  <c r="AB17" i="37"/>
  <c r="F19" i="37"/>
  <c r="S19" i="37" s="1"/>
  <c r="F79" i="37"/>
  <c r="F23" i="37"/>
  <c r="S23" i="37" s="1"/>
  <c r="U15" i="37"/>
  <c r="AC13" i="37"/>
  <c r="AA13" i="37"/>
  <c r="AA12" i="37"/>
  <c r="H10" i="37"/>
  <c r="AB10" i="37" s="1"/>
  <c r="H60" i="37"/>
  <c r="I60" i="37" s="1"/>
  <c r="F63" i="37"/>
  <c r="F11" i="37"/>
  <c r="S27" i="34"/>
  <c r="AB8" i="34"/>
  <c r="U43" i="34"/>
  <c r="W41" i="34"/>
  <c r="AC42" i="34"/>
  <c r="U39" i="34"/>
  <c r="S43" i="34"/>
  <c r="AB41" i="34"/>
  <c r="W34" i="34"/>
  <c r="AA25" i="34"/>
  <c r="U28" i="34"/>
  <c r="S17" i="34"/>
  <c r="S23" i="34"/>
  <c r="S10" i="34"/>
  <c r="S13" i="34"/>
  <c r="H10" i="34"/>
  <c r="AB10" i="34" s="1"/>
  <c r="F11" i="34"/>
  <c r="S11" i="34" s="1"/>
  <c r="F70" i="34"/>
  <c r="W42" i="33"/>
  <c r="S27" i="33"/>
  <c r="S32" i="33"/>
  <c r="AB29" i="33"/>
  <c r="W38" i="33"/>
  <c r="H41" i="33"/>
  <c r="AB41" i="33" s="1"/>
  <c r="F121" i="33"/>
  <c r="G121" i="33" s="1"/>
  <c r="H121" i="33" s="1"/>
  <c r="I121" i="33"/>
  <c r="J121" i="33" s="1"/>
  <c r="K121" i="33" s="1"/>
  <c r="L121" i="33" s="1"/>
  <c r="M121" i="33" s="1"/>
  <c r="U42" i="33"/>
  <c r="F36" i="33"/>
  <c r="S36" i="33" s="1"/>
  <c r="G111" i="33"/>
  <c r="H111" i="33" s="1"/>
  <c r="I111" i="33" s="1"/>
  <c r="J111" i="33" s="1"/>
  <c r="K111" i="33" s="1"/>
  <c r="L111" i="33" s="1"/>
  <c r="M111" i="33" s="1"/>
  <c r="G108" i="33"/>
  <c r="H108" i="33"/>
  <c r="I108" i="33" s="1"/>
  <c r="J108" i="33" s="1"/>
  <c r="K108" i="33" s="1"/>
  <c r="L108" i="33" s="1"/>
  <c r="M108" i="33" s="1"/>
  <c r="J35" i="33"/>
  <c r="AC35" i="33" s="1"/>
  <c r="S37" i="33"/>
  <c r="AA37" i="33"/>
  <c r="F101" i="33"/>
  <c r="G101" i="33" s="1"/>
  <c r="H101" i="33" s="1"/>
  <c r="I101" i="33" s="1"/>
  <c r="J101" i="33" s="1"/>
  <c r="K101" i="33" s="1"/>
  <c r="L101" i="33" s="1"/>
  <c r="M101" i="33" s="1"/>
  <c r="J32" i="33"/>
  <c r="S46" i="33"/>
  <c r="W43" i="33"/>
  <c r="F91" i="33"/>
  <c r="H27" i="33"/>
  <c r="F87" i="33"/>
  <c r="H25" i="33"/>
  <c r="U25" i="33" s="1"/>
  <c r="F25" i="33"/>
  <c r="S25" i="33" s="1"/>
  <c r="J23" i="33"/>
  <c r="H23" i="33"/>
  <c r="AB23" i="33" s="1"/>
  <c r="F81" i="33"/>
  <c r="G81" i="33" s="1"/>
  <c r="F19" i="33"/>
  <c r="AA19" i="33" s="1"/>
  <c r="W19" i="33"/>
  <c r="J17" i="33"/>
  <c r="AC17" i="33" s="1"/>
  <c r="F79" i="33"/>
  <c r="S15" i="33"/>
  <c r="W15" i="33"/>
  <c r="I66" i="33"/>
  <c r="J10" i="33"/>
  <c r="AC10" i="33" s="1"/>
  <c r="H10" i="33"/>
  <c r="U10" i="33" s="1"/>
  <c r="AA10" i="33"/>
  <c r="AC11" i="33"/>
  <c r="AB14" i="33"/>
  <c r="W43" i="21"/>
  <c r="W36" i="21"/>
  <c r="W41" i="21"/>
  <c r="AB39" i="21"/>
  <c r="AA43" i="21"/>
  <c r="S39" i="21"/>
  <c r="AA38" i="21"/>
  <c r="AA36" i="21"/>
  <c r="AC40" i="21"/>
  <c r="J15" i="21"/>
  <c r="W15" i="21"/>
  <c r="F77" i="21"/>
  <c r="G77" i="21" s="1"/>
  <c r="F23" i="21"/>
  <c r="S23" i="21" s="1"/>
  <c r="E85" i="21"/>
  <c r="F85" i="21" s="1"/>
  <c r="G85" i="21" s="1"/>
  <c r="AC11" i="21"/>
  <c r="AA14" i="21"/>
  <c r="AB8" i="21"/>
  <c r="S8" i="21"/>
  <c r="M3" i="43"/>
  <c r="M1" i="43"/>
  <c r="N8" i="43"/>
  <c r="C18" i="9"/>
  <c r="D18" i="9" s="1"/>
  <c r="G13" i="3"/>
  <c r="BL17" i="3"/>
  <c r="AZ17" i="3"/>
  <c r="BL13" i="3"/>
  <c r="J56" i="9"/>
  <c r="J57" i="9" s="1"/>
  <c r="A24" i="51"/>
  <c r="B18" i="72" s="1"/>
  <c r="U29" i="34"/>
  <c r="E32" i="6"/>
  <c r="L19" i="6"/>
  <c r="G1" i="68"/>
  <c r="K1" i="12"/>
  <c r="E19" i="69"/>
  <c r="E19" i="68"/>
  <c r="E19" i="11"/>
  <c r="E1" i="73"/>
  <c r="G41" i="69"/>
  <c r="G22" i="69"/>
  <c r="G41" i="68"/>
  <c r="G22" i="68"/>
  <c r="G27" i="12"/>
  <c r="G26" i="12"/>
  <c r="G41" i="11"/>
  <c r="G22" i="11"/>
  <c r="G25" i="12"/>
  <c r="C100" i="43"/>
  <c r="E11" i="43"/>
  <c r="E10" i="43"/>
  <c r="E9" i="43"/>
  <c r="E8" i="43"/>
  <c r="E81" i="43"/>
  <c r="B79" i="43" s="1"/>
  <c r="E48" i="43"/>
  <c r="B46" i="43" s="1"/>
  <c r="E70" i="43"/>
  <c r="B68" i="43" s="1"/>
  <c r="F100" i="43"/>
  <c r="H17" i="43"/>
  <c r="H85" i="43"/>
  <c r="H81" i="43"/>
  <c r="H84" i="43"/>
  <c r="H88" i="43"/>
  <c r="H71" i="43"/>
  <c r="C17" i="43"/>
  <c r="F33" i="43"/>
  <c r="K17" i="43"/>
  <c r="F34" i="43"/>
  <c r="N6" i="43"/>
  <c r="C6" i="43"/>
  <c r="N3" i="43"/>
  <c r="F38" i="43"/>
  <c r="F37" i="43"/>
  <c r="M9" i="43"/>
  <c r="N5" i="43"/>
  <c r="M12" i="43"/>
  <c r="B19" i="53"/>
  <c r="B37" i="72"/>
  <c r="C7" i="39"/>
  <c r="C68" i="39" s="1"/>
  <c r="C70" i="39" s="1"/>
  <c r="C7" i="35"/>
  <c r="C48" i="35" s="1"/>
  <c r="D48" i="35" s="1"/>
  <c r="E48" i="35" s="1"/>
  <c r="F48" i="35" s="1"/>
  <c r="G48" i="35" s="1"/>
  <c r="H48" i="35" s="1"/>
  <c r="I48" i="35" s="1"/>
  <c r="J48" i="35" s="1"/>
  <c r="K48" i="35" s="1"/>
  <c r="L48" i="35" s="1"/>
  <c r="M48" i="35" s="1"/>
  <c r="N48" i="35" s="1"/>
  <c r="O48" i="35" s="1"/>
  <c r="C7" i="33"/>
  <c r="C58" i="33" s="1"/>
  <c r="D58" i="33" s="1"/>
  <c r="C7" i="21"/>
  <c r="C58" i="21" s="1"/>
  <c r="D58" i="21" s="1"/>
  <c r="E58" i="21" s="1"/>
  <c r="F58" i="21" s="1"/>
  <c r="G58" i="21" s="1"/>
  <c r="H58" i="21" s="1"/>
  <c r="C7" i="40"/>
  <c r="C63" i="40"/>
  <c r="C65" i="40" s="1"/>
  <c r="M47" i="9"/>
  <c r="G19" i="43"/>
  <c r="O19" i="43" s="1"/>
  <c r="C19" i="43" s="1"/>
  <c r="C46" i="36"/>
  <c r="D46" i="36"/>
  <c r="E46" i="36" s="1"/>
  <c r="C59" i="34"/>
  <c r="D59" i="34"/>
  <c r="E59" i="34" s="1"/>
  <c r="F59" i="34" s="1"/>
  <c r="G59" i="34" s="1"/>
  <c r="H59" i="34" s="1"/>
  <c r="I59" i="34" s="1"/>
  <c r="J59" i="34" s="1"/>
  <c r="K59" i="34" s="1"/>
  <c r="L59" i="34" s="1"/>
  <c r="C52" i="37"/>
  <c r="D52" i="37" s="1"/>
  <c r="E52" i="37" s="1"/>
  <c r="F52" i="37" s="1"/>
  <c r="G52" i="37" s="1"/>
  <c r="A4" i="51"/>
  <c r="B6" i="72" s="1"/>
  <c r="C4" i="12"/>
  <c r="H66" i="43"/>
  <c r="H65" i="43"/>
  <c r="H64" i="43"/>
  <c r="H63" i="43"/>
  <c r="H72" i="43"/>
  <c r="L20" i="6"/>
  <c r="B6" i="1"/>
  <c r="E6" i="1" s="1"/>
  <c r="S8" i="1"/>
  <c r="AQ8" i="1" s="1"/>
  <c r="K11" i="1"/>
  <c r="M11" i="1" s="1"/>
  <c r="O11" i="1" s="1"/>
  <c r="AP6" i="1"/>
  <c r="B9" i="1"/>
  <c r="E9" i="1" s="1"/>
  <c r="K7" i="1"/>
  <c r="G1" i="15"/>
  <c r="G1" i="69"/>
  <c r="G1" i="67"/>
  <c r="W23" i="40"/>
  <c r="U32" i="40"/>
  <c r="AB31" i="40"/>
  <c r="AB28" i="40"/>
  <c r="W28" i="40"/>
  <c r="W34" i="40"/>
  <c r="W19" i="40"/>
  <c r="W27" i="40"/>
  <c r="S36" i="40"/>
  <c r="W37" i="40"/>
  <c r="AC14" i="40"/>
  <c r="S13" i="40"/>
  <c r="AA15" i="40"/>
  <c r="U11" i="40"/>
  <c r="AB13" i="40"/>
  <c r="U15" i="40"/>
  <c r="AB17" i="40"/>
  <c r="U8" i="40"/>
  <c r="S8" i="40"/>
  <c r="U42" i="39"/>
  <c r="AB11" i="39"/>
  <c r="U11" i="39"/>
  <c r="AA27" i="39"/>
  <c r="W34" i="39"/>
  <c r="U38" i="39"/>
  <c r="S8" i="39"/>
  <c r="AC25" i="36"/>
  <c r="S28" i="36"/>
  <c r="AC20" i="36"/>
  <c r="AB28" i="36"/>
  <c r="W22" i="36"/>
  <c r="W23" i="36"/>
  <c r="AC25" i="35"/>
  <c r="U25" i="35"/>
  <c r="S24" i="35"/>
  <c r="W33" i="35"/>
  <c r="AA30" i="35"/>
  <c r="U24" i="35"/>
  <c r="W35" i="35"/>
  <c r="AA16" i="35"/>
  <c r="AA35" i="37"/>
  <c r="W36" i="37"/>
  <c r="S28" i="37"/>
  <c r="W32" i="37"/>
  <c r="U36" i="37"/>
  <c r="S40" i="37"/>
  <c r="S33" i="37"/>
  <c r="AC34" i="37"/>
  <c r="AA8" i="37"/>
  <c r="U8" i="37"/>
  <c r="AB40" i="34"/>
  <c r="U19" i="34"/>
  <c r="W19" i="34"/>
  <c r="AB33" i="34"/>
  <c r="AC45" i="34"/>
  <c r="AA31" i="34"/>
  <c r="AB45" i="34"/>
  <c r="U25" i="34"/>
  <c r="AB36" i="34"/>
  <c r="W33" i="34"/>
  <c r="AC32" i="34"/>
  <c r="AC29" i="34"/>
  <c r="W29" i="34"/>
  <c r="S32" i="34"/>
  <c r="AA32" i="34"/>
  <c r="U30" i="34"/>
  <c r="AB30" i="34"/>
  <c r="S37" i="34"/>
  <c r="U38" i="34"/>
  <c r="AC40" i="34"/>
  <c r="W40" i="34"/>
  <c r="AA36" i="34"/>
  <c r="S36" i="34"/>
  <c r="AB9" i="34"/>
  <c r="U9" i="34"/>
  <c r="U32" i="34"/>
  <c r="AB32" i="34"/>
  <c r="AC43" i="34"/>
  <c r="W43" i="34"/>
  <c r="AA11" i="34"/>
  <c r="W23" i="34"/>
  <c r="AC23" i="34"/>
  <c r="AC35" i="34"/>
  <c r="W35" i="34"/>
  <c r="AB28" i="33"/>
  <c r="AC37" i="33"/>
  <c r="W46" i="33"/>
  <c r="U39" i="33"/>
  <c r="U38" i="33"/>
  <c r="S33" i="33"/>
  <c r="AC14" i="33"/>
  <c r="W14" i="33"/>
  <c r="U15" i="33"/>
  <c r="S11" i="33"/>
  <c r="U37" i="33"/>
  <c r="AC28" i="33"/>
  <c r="S28" i="33"/>
  <c r="W8" i="33"/>
  <c r="S44" i="21"/>
  <c r="AB42" i="21"/>
  <c r="AA11" i="21"/>
  <c r="S45" i="21"/>
  <c r="I101" i="21"/>
  <c r="J101" i="21" s="1"/>
  <c r="K101" i="21" s="1"/>
  <c r="L101" i="21" s="1"/>
  <c r="M101" i="21" s="1"/>
  <c r="F33" i="21"/>
  <c r="AA33" i="21" s="1"/>
  <c r="J33" i="21"/>
  <c r="AC33" i="21" s="1"/>
  <c r="H33" i="21"/>
  <c r="F37" i="21"/>
  <c r="AA37" i="21" s="1"/>
  <c r="AB14" i="21"/>
  <c r="AB46" i="21"/>
  <c r="AB31" i="21"/>
  <c r="U31" i="21"/>
  <c r="AC15" i="21"/>
  <c r="W8" i="21"/>
  <c r="S35" i="21"/>
  <c r="AB37" i="21"/>
  <c r="J37" i="21"/>
  <c r="H15" i="21"/>
  <c r="U15" i="21"/>
  <c r="J17" i="21"/>
  <c r="AC17" i="21" s="1"/>
  <c r="AC19" i="21"/>
  <c r="W39" i="21"/>
  <c r="AC14" i="21"/>
  <c r="W30" i="21"/>
  <c r="S46" i="21"/>
  <c r="H45" i="21"/>
  <c r="U45" i="21" s="1"/>
  <c r="F29" i="21"/>
  <c r="AA29" i="21" s="1"/>
  <c r="S29" i="21"/>
  <c r="F13" i="21"/>
  <c r="AA13" i="21" s="1"/>
  <c r="AC38" i="21"/>
  <c r="H32" i="21"/>
  <c r="H9" i="21"/>
  <c r="AB9" i="21" s="1"/>
  <c r="J9" i="21"/>
  <c r="J32" i="21"/>
  <c r="W32" i="21" s="1"/>
  <c r="F32" i="21"/>
  <c r="S19" i="21"/>
  <c r="S9" i="21"/>
  <c r="AA9" i="21"/>
  <c r="K141" i="21"/>
  <c r="K144" i="21"/>
  <c r="K143" i="21"/>
  <c r="U27" i="21"/>
  <c r="AB25" i="21"/>
  <c r="AB44" i="21"/>
  <c r="AA30" i="21"/>
  <c r="W42" i="21"/>
  <c r="AC45" i="21"/>
  <c r="F10" i="21"/>
  <c r="K145" i="21"/>
  <c r="W25" i="21"/>
  <c r="W31" i="21"/>
  <c r="S27" i="21"/>
  <c r="S17" i="21"/>
  <c r="AA15" i="21"/>
  <c r="AC27" i="21"/>
  <c r="AC26" i="21"/>
  <c r="AC34" i="21"/>
  <c r="W10" i="21"/>
  <c r="W12" i="21"/>
  <c r="W30" i="40"/>
  <c r="C19" i="39"/>
  <c r="C15" i="40"/>
  <c r="C17" i="40"/>
  <c r="C23" i="40"/>
  <c r="C21" i="40"/>
  <c r="U30" i="40"/>
  <c r="B54" i="43"/>
  <c r="B65" i="43"/>
  <c r="B49" i="43"/>
  <c r="B52" i="43"/>
  <c r="B60" i="43"/>
  <c r="B63" i="43"/>
  <c r="D23" i="15"/>
  <c r="D22" i="15"/>
  <c r="E4" i="4"/>
  <c r="B5" i="62" s="1"/>
  <c r="B73" i="72" s="1"/>
  <c r="C4" i="4"/>
  <c r="K4" i="4" s="1"/>
  <c r="B46" i="48" s="1"/>
  <c r="B4" i="72" s="1"/>
  <c r="AA39" i="40"/>
  <c r="S12" i="33"/>
  <c r="AA12" i="33"/>
  <c r="AB21" i="39"/>
  <c r="S26" i="35"/>
  <c r="AA9" i="35"/>
  <c r="S9" i="35"/>
  <c r="J19" i="37"/>
  <c r="AC19" i="37" s="1"/>
  <c r="AA19" i="37"/>
  <c r="J23" i="37"/>
  <c r="G79" i="37"/>
  <c r="J10" i="37"/>
  <c r="AC10" i="37" s="1"/>
  <c r="G63" i="37"/>
  <c r="H63" i="37" s="1"/>
  <c r="I63" i="37" s="1"/>
  <c r="J63" i="37" s="1"/>
  <c r="K63" i="37" s="1"/>
  <c r="L63" i="37" s="1"/>
  <c r="M63" i="37" s="1"/>
  <c r="H11" i="37"/>
  <c r="AB11" i="37" s="1"/>
  <c r="G70" i="34"/>
  <c r="H70" i="34" s="1"/>
  <c r="I70" i="34" s="1"/>
  <c r="J70" i="34" s="1"/>
  <c r="K70" i="34" s="1"/>
  <c r="L70" i="34" s="1"/>
  <c r="M70" i="34" s="1"/>
  <c r="H11" i="34"/>
  <c r="U11" i="34" s="1"/>
  <c r="J10" i="34"/>
  <c r="W10" i="34" s="1"/>
  <c r="I67" i="34"/>
  <c r="U41" i="33"/>
  <c r="W35" i="33"/>
  <c r="J36" i="33"/>
  <c r="AC36" i="33" s="1"/>
  <c r="H36" i="33"/>
  <c r="AC32" i="33"/>
  <c r="W32" i="33"/>
  <c r="U27" i="33"/>
  <c r="AB27" i="33"/>
  <c r="G91" i="33"/>
  <c r="H91" i="33" s="1"/>
  <c r="I91" i="33" s="1"/>
  <c r="J91" i="33" s="1"/>
  <c r="K91" i="33" s="1"/>
  <c r="L91" i="33" s="1"/>
  <c r="M91" i="33" s="1"/>
  <c r="J27" i="33"/>
  <c r="AB25" i="33"/>
  <c r="AA25" i="33"/>
  <c r="G87" i="33"/>
  <c r="H87" i="33" s="1"/>
  <c r="I87" i="33" s="1"/>
  <c r="J87" i="33" s="1"/>
  <c r="K87" i="33" s="1"/>
  <c r="L87" i="33" s="1"/>
  <c r="M87" i="33" s="1"/>
  <c r="J25" i="33"/>
  <c r="W25" i="33" s="1"/>
  <c r="U23" i="33"/>
  <c r="F23" i="33"/>
  <c r="AA23" i="33" s="1"/>
  <c r="H19" i="33"/>
  <c r="U19" i="33" s="1"/>
  <c r="G79" i="33"/>
  <c r="H17" i="33"/>
  <c r="U17" i="33" s="1"/>
  <c r="F17" i="33"/>
  <c r="AA17" i="33" s="1"/>
  <c r="W17" i="33"/>
  <c r="AB10" i="33"/>
  <c r="S37" i="21"/>
  <c r="AA23" i="21"/>
  <c r="AB15" i="21"/>
  <c r="J23" i="21"/>
  <c r="AC23" i="21" s="1"/>
  <c r="H23" i="21"/>
  <c r="U23" i="21" s="1"/>
  <c r="J59" i="9"/>
  <c r="J61" i="9"/>
  <c r="AP7" i="1"/>
  <c r="S33" i="21"/>
  <c r="AC32" i="21"/>
  <c r="AA32" i="21"/>
  <c r="S32" i="21"/>
  <c r="W9" i="21"/>
  <c r="AC9" i="21"/>
  <c r="AB32" i="21"/>
  <c r="U32" i="21"/>
  <c r="J11" i="37"/>
  <c r="W10" i="37"/>
  <c r="AB11" i="34"/>
  <c r="AC10" i="34"/>
  <c r="J11" i="34"/>
  <c r="W11" i="34" s="1"/>
  <c r="W36" i="33"/>
  <c r="U36" i="33"/>
  <c r="AB36" i="33"/>
  <c r="W27" i="33"/>
  <c r="AC27" i="33"/>
  <c r="F34" i="11"/>
  <c r="F11" i="12"/>
  <c r="F34" i="68"/>
  <c r="R8" i="1"/>
  <c r="AE8" i="1"/>
  <c r="AG6" i="1"/>
  <c r="H109" i="9"/>
  <c r="D124" i="9" s="1"/>
  <c r="H110" i="9"/>
  <c r="D18" i="53" s="1"/>
  <c r="B35" i="72" s="1"/>
  <c r="D16" i="53"/>
  <c r="D10" i="52"/>
  <c r="H112" i="9"/>
  <c r="D21" i="53" s="1"/>
  <c r="B39" i="72" s="1"/>
  <c r="H111" i="9"/>
  <c r="D126" i="9" s="1"/>
  <c r="D127" i="9" s="1"/>
  <c r="D59" i="9"/>
  <c r="M55" i="9"/>
  <c r="D13" i="52"/>
  <c r="D12" i="52"/>
  <c r="AD3" i="71"/>
  <c r="J1" i="73"/>
  <c r="C13" i="12"/>
  <c r="H77" i="43"/>
  <c r="H76"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D13" i="71"/>
  <c r="U13" i="71" s="1"/>
  <c r="S13" i="71"/>
  <c r="T13" i="71"/>
  <c r="AB11" i="71"/>
  <c r="X9" i="71"/>
  <c r="X8" i="71"/>
  <c r="AA9" i="71"/>
  <c r="AA8" i="71"/>
  <c r="X12" i="71"/>
  <c r="Y8" i="71"/>
  <c r="Z8" i="71" s="1"/>
  <c r="AB9" i="71"/>
  <c r="AB8" i="71"/>
  <c r="S9" i="71"/>
  <c r="C94" i="9"/>
  <c r="F10" i="71"/>
  <c r="F9" i="71"/>
  <c r="F8" i="71" s="1"/>
  <c r="F7" i="71" s="1"/>
  <c r="F6" i="71" s="1"/>
  <c r="F5" i="71" s="1"/>
  <c r="Y9" i="71"/>
  <c r="Z9" i="71" s="1"/>
  <c r="AB3" i="71"/>
  <c r="X3" i="71"/>
  <c r="AF3" i="71"/>
  <c r="P22" i="43" s="1"/>
  <c r="P21" i="43"/>
  <c r="G20" i="43"/>
  <c r="E41" i="43" s="1"/>
  <c r="C41" i="43" s="1"/>
  <c r="F31" i="67"/>
  <c r="F31" i="15"/>
  <c r="M22" i="78"/>
  <c r="F13" i="67"/>
  <c r="C76" i="78"/>
  <c r="F40" i="78"/>
  <c r="F36" i="67"/>
  <c r="D2" i="33"/>
  <c r="J15" i="67"/>
  <c r="D2" i="34"/>
  <c r="B8" i="76"/>
  <c r="M26" i="67"/>
  <c r="L48" i="67"/>
  <c r="F26" i="78"/>
  <c r="E2" i="68"/>
  <c r="F9" i="15"/>
  <c r="AO9" i="1"/>
  <c r="L48" i="15"/>
  <c r="E10" i="76"/>
  <c r="F43" i="67"/>
  <c r="F26" i="15"/>
  <c r="F37" i="78"/>
  <c r="M9" i="78"/>
  <c r="F7" i="15"/>
  <c r="M29" i="15"/>
  <c r="L47" i="78"/>
  <c r="F6" i="73"/>
  <c r="B10" i="76"/>
  <c r="D35" i="9"/>
  <c r="F36" i="78"/>
  <c r="D2" i="36"/>
  <c r="F6" i="78"/>
  <c r="F20" i="31"/>
  <c r="M6" i="67"/>
  <c r="F26" i="67"/>
  <c r="E13" i="76"/>
  <c r="F16" i="78"/>
  <c r="B11" i="76"/>
  <c r="J15" i="78"/>
  <c r="M22" i="67"/>
  <c r="F6" i="67"/>
  <c r="D2" i="37"/>
  <c r="F4" i="73"/>
  <c r="F42" i="67"/>
  <c r="E8" i="76"/>
  <c r="E7" i="76"/>
  <c r="F38" i="67"/>
  <c r="E2" i="69"/>
  <c r="M27" i="78"/>
  <c r="AO11" i="1"/>
  <c r="M9" i="67"/>
  <c r="F40" i="67"/>
  <c r="F38" i="15"/>
  <c r="F8" i="67"/>
  <c r="M22" i="15"/>
  <c r="M24" i="78"/>
  <c r="M26" i="78"/>
  <c r="D3" i="73"/>
  <c r="F36" i="15"/>
  <c r="E12" i="76"/>
  <c r="M8" i="67"/>
  <c r="E9" i="76"/>
  <c r="F5" i="73"/>
  <c r="B9" i="76"/>
  <c r="B7" i="76"/>
  <c r="F16" i="15"/>
  <c r="D2" i="21"/>
  <c r="C76" i="67"/>
  <c r="F38" i="78"/>
  <c r="D34" i="9"/>
  <c r="M23" i="78"/>
  <c r="F8" i="78"/>
  <c r="F16" i="67"/>
  <c r="L47" i="67"/>
  <c r="F7" i="78"/>
  <c r="L47" i="15"/>
  <c r="M26" i="15"/>
  <c r="B13" i="76"/>
  <c r="F9" i="67"/>
  <c r="AO8" i="1"/>
  <c r="F37" i="67"/>
  <c r="M28" i="15"/>
  <c r="M28" i="78"/>
  <c r="M23" i="15"/>
  <c r="M24" i="67"/>
  <c r="AO13" i="1"/>
  <c r="M28" i="67"/>
  <c r="M8" i="15"/>
  <c r="E11" i="76"/>
  <c r="F9" i="78"/>
  <c r="F40" i="15"/>
  <c r="M8" i="78"/>
  <c r="F7" i="67"/>
  <c r="B12" i="76"/>
  <c r="D5" i="73"/>
  <c r="M27" i="67"/>
  <c r="F13" i="15"/>
  <c r="F42" i="15"/>
  <c r="F3" i="73"/>
  <c r="AO12" i="1"/>
  <c r="L48" i="78"/>
  <c r="M9" i="15"/>
  <c r="F43" i="15"/>
  <c r="F7" i="73"/>
  <c r="M23" i="67"/>
  <c r="AO10" i="1"/>
  <c r="M29" i="78"/>
  <c r="M29" i="67"/>
  <c r="M6" i="78"/>
  <c r="F13" i="78"/>
  <c r="F43" i="78"/>
  <c r="F42" i="78"/>
  <c r="D2" i="35"/>
  <c r="M27" i="15"/>
  <c r="F41" i="67"/>
  <c r="AZ510" i="3" l="1"/>
  <c r="AZ502" i="3"/>
  <c r="W17" i="37"/>
  <c r="AC17" i="37"/>
  <c r="AA23" i="37"/>
  <c r="AB19" i="40"/>
  <c r="U19" i="40"/>
  <c r="AA42" i="33"/>
  <c r="S42" i="33"/>
  <c r="AB17" i="21"/>
  <c r="U17" i="21"/>
  <c r="BP5" i="3"/>
  <c r="S27" i="40"/>
  <c r="AA27" i="40"/>
  <c r="AB25" i="36"/>
  <c r="U25" i="36"/>
  <c r="AA29" i="33"/>
  <c r="S29" i="33"/>
  <c r="F28" i="21"/>
  <c r="J28" i="21"/>
  <c r="AA28" i="40"/>
  <c r="S28" i="40"/>
  <c r="AC25" i="34"/>
  <c r="W25" i="34"/>
  <c r="AB32" i="35"/>
  <c r="U32" i="35"/>
  <c r="BS5" i="3"/>
  <c r="BL516" i="3"/>
  <c r="AZ516" i="3" s="1"/>
  <c r="F28" i="67"/>
  <c r="C28" i="67" s="1"/>
  <c r="M18" i="78"/>
  <c r="F32" i="78"/>
  <c r="F60" i="78" s="1"/>
  <c r="F28" i="78"/>
  <c r="C28" i="78" s="1"/>
  <c r="U35" i="37"/>
  <c r="AB35" i="37"/>
  <c r="U36" i="21"/>
  <c r="AB36" i="21"/>
  <c r="S13" i="21"/>
  <c r="U10" i="34"/>
  <c r="F30" i="69"/>
  <c r="C30" i="69" s="1"/>
  <c r="AB33" i="21"/>
  <c r="U33" i="21"/>
  <c r="AA12" i="40"/>
  <c r="BL513" i="3"/>
  <c r="AC30" i="34"/>
  <c r="W30" i="34"/>
  <c r="S26" i="21"/>
  <c r="AA26" i="21"/>
  <c r="AZ508" i="3"/>
  <c r="AA40" i="34"/>
  <c r="AA11" i="37"/>
  <c r="S11" i="37"/>
  <c r="AZ195" i="3"/>
  <c r="BL505" i="3"/>
  <c r="AZ505" i="3" s="1"/>
  <c r="BL515" i="3"/>
  <c r="AZ515" i="3" s="1"/>
  <c r="AC47" i="34"/>
  <c r="W47" i="34"/>
  <c r="AA30" i="34"/>
  <c r="S30" i="34"/>
  <c r="BA495" i="3"/>
  <c r="BF5" i="3"/>
  <c r="D68" i="39"/>
  <c r="D70" i="39" s="1"/>
  <c r="W37" i="21"/>
  <c r="AC37" i="21"/>
  <c r="AC13" i="33"/>
  <c r="AZ493" i="3"/>
  <c r="AA35" i="35"/>
  <c r="S35" i="35"/>
  <c r="AA29" i="34"/>
  <c r="S29" i="34"/>
  <c r="U37" i="37"/>
  <c r="AB37" i="37"/>
  <c r="S44" i="34"/>
  <c r="AA44" i="34"/>
  <c r="AZ524" i="3"/>
  <c r="AZ523" i="3"/>
  <c r="AC10" i="36"/>
  <c r="W10" i="36"/>
  <c r="W13" i="40"/>
  <c r="AC13" i="40"/>
  <c r="AB47" i="34"/>
  <c r="U47" i="34"/>
  <c r="AB32" i="36"/>
  <c r="U32" i="36"/>
  <c r="AB15" i="34"/>
  <c r="U15" i="34"/>
  <c r="H38" i="40"/>
  <c r="J38" i="40"/>
  <c r="F38" i="40"/>
  <c r="AZ566" i="3"/>
  <c r="AZ560" i="3"/>
  <c r="AZ552" i="3"/>
  <c r="AA8" i="34"/>
  <c r="S8" i="34"/>
  <c r="U9" i="35"/>
  <c r="W33" i="21"/>
  <c r="D120" i="9"/>
  <c r="AC23" i="33"/>
  <c r="W23" i="33"/>
  <c r="U9" i="37"/>
  <c r="AB9" i="37"/>
  <c r="U27" i="34"/>
  <c r="AB27" i="34"/>
  <c r="AA37" i="40"/>
  <c r="S37" i="40"/>
  <c r="AC29" i="36"/>
  <c r="W29" i="36"/>
  <c r="AC34" i="36"/>
  <c r="W34" i="36"/>
  <c r="W11" i="37"/>
  <c r="AC11" i="37"/>
  <c r="AA36" i="33"/>
  <c r="S9" i="37"/>
  <c r="AA9" i="37"/>
  <c r="S17" i="33"/>
  <c r="AB44" i="33"/>
  <c r="AC25" i="33"/>
  <c r="AB45" i="21"/>
  <c r="AA10" i="21"/>
  <c r="S10" i="21"/>
  <c r="S36" i="37"/>
  <c r="AA36" i="37"/>
  <c r="S25" i="35"/>
  <c r="AA25" i="35"/>
  <c r="BR5" i="3"/>
  <c r="G28" i="6" s="1"/>
  <c r="AA33" i="34"/>
  <c r="S33" i="34"/>
  <c r="AA44" i="33"/>
  <c r="S29" i="37"/>
  <c r="AA29" i="37"/>
  <c r="S11" i="35"/>
  <c r="AA11" i="35"/>
  <c r="U26" i="33"/>
  <c r="AB26" i="33"/>
  <c r="AA10" i="37"/>
  <c r="S10" i="37"/>
  <c r="J32" i="39"/>
  <c r="AC32" i="39" s="1"/>
  <c r="H107" i="39"/>
  <c r="I107" i="39" s="1"/>
  <c r="J107" i="39" s="1"/>
  <c r="K107" i="39" s="1"/>
  <c r="L107" i="39" s="1"/>
  <c r="M107" i="39" s="1"/>
  <c r="H32" i="39"/>
  <c r="U32" i="39" s="1"/>
  <c r="F32" i="39"/>
  <c r="AA32" i="39" s="1"/>
  <c r="AA20" i="36"/>
  <c r="S20" i="36"/>
  <c r="AA31" i="40"/>
  <c r="S31" i="40"/>
  <c r="AB14" i="39"/>
  <c r="U14" i="39"/>
  <c r="W23" i="37"/>
  <c r="AC23" i="37"/>
  <c r="W25" i="39"/>
  <c r="S31" i="37"/>
  <c r="AA31" i="37"/>
  <c r="AB23" i="37"/>
  <c r="U23" i="37"/>
  <c r="BL495" i="3"/>
  <c r="AC12" i="40"/>
  <c r="W11" i="35"/>
  <c r="AC11" i="35"/>
  <c r="AC31" i="33"/>
  <c r="W31" i="33"/>
  <c r="H28" i="21"/>
  <c r="AA19" i="34"/>
  <c r="S19" i="34"/>
  <c r="AA42" i="21"/>
  <c r="S42" i="21"/>
  <c r="C25" i="39"/>
  <c r="B77" i="43"/>
  <c r="B67" i="43"/>
  <c r="B56" i="43"/>
  <c r="U11" i="35"/>
  <c r="AB11" i="35"/>
  <c r="U12" i="33"/>
  <c r="AB12" i="33"/>
  <c r="S38" i="33"/>
  <c r="AA38" i="33"/>
  <c r="AC22" i="35"/>
  <c r="W22" i="35"/>
  <c r="H26" i="35"/>
  <c r="AZ351" i="3"/>
  <c r="AZ584" i="3"/>
  <c r="F31" i="33"/>
  <c r="H39" i="39"/>
  <c r="AB39" i="39" s="1"/>
  <c r="S19" i="33"/>
  <c r="J26" i="35"/>
  <c r="AC34" i="33"/>
  <c r="AZ364" i="3"/>
  <c r="AZ357" i="3"/>
  <c r="W12" i="37"/>
  <c r="U33" i="33"/>
  <c r="AA31" i="35"/>
  <c r="AZ391" i="3"/>
  <c r="U40" i="33"/>
  <c r="U22" i="36"/>
  <c r="J39" i="39"/>
  <c r="W39" i="39" s="1"/>
  <c r="AZ336" i="3"/>
  <c r="AZ345" i="3"/>
  <c r="BL503" i="3"/>
  <c r="AZ503" i="3" s="1"/>
  <c r="U31" i="34"/>
  <c r="AZ365" i="3"/>
  <c r="AZ204" i="3"/>
  <c r="AZ322" i="3"/>
  <c r="S22" i="31"/>
  <c r="R22" i="31" s="1"/>
  <c r="B21" i="31" s="1"/>
  <c r="BL551" i="3"/>
  <c r="AZ573" i="3"/>
  <c r="AZ563" i="3"/>
  <c r="AZ514" i="3"/>
  <c r="F14" i="39"/>
  <c r="C20" i="43"/>
  <c r="H73" i="43"/>
  <c r="AZ372" i="3"/>
  <c r="AZ380" i="3"/>
  <c r="AZ341" i="3"/>
  <c r="BL507" i="3"/>
  <c r="AZ507" i="3" s="1"/>
  <c r="BL553" i="3"/>
  <c r="H29" i="21"/>
  <c r="J29" i="21"/>
  <c r="BA548" i="3"/>
  <c r="BA547" i="3"/>
  <c r="AZ547" i="3" s="1"/>
  <c r="BA546" i="3"/>
  <c r="BL545" i="3"/>
  <c r="BA545" i="3"/>
  <c r="BA543" i="3"/>
  <c r="BL542" i="3"/>
  <c r="AZ542" i="3" s="1"/>
  <c r="BA541" i="3"/>
  <c r="AZ541" i="3" s="1"/>
  <c r="BL540" i="3"/>
  <c r="BA540" i="3"/>
  <c r="BL539" i="3"/>
  <c r="AZ539" i="3" s="1"/>
  <c r="BA538" i="3"/>
  <c r="AZ538" i="3" s="1"/>
  <c r="BL537" i="3"/>
  <c r="BA537" i="3"/>
  <c r="BA536" i="3"/>
  <c r="AZ536" i="3" s="1"/>
  <c r="BL534" i="3"/>
  <c r="BA534" i="3"/>
  <c r="BA532" i="3"/>
  <c r="BA530" i="3"/>
  <c r="AZ530" i="3" s="1"/>
  <c r="BL529" i="3"/>
  <c r="BA529" i="3"/>
  <c r="BA527" i="3"/>
  <c r="BL526" i="3"/>
  <c r="BA526" i="3"/>
  <c r="AZ526" i="3" s="1"/>
  <c r="AZ371" i="3"/>
  <c r="AZ355" i="3"/>
  <c r="AZ362" i="3"/>
  <c r="AZ511" i="3"/>
  <c r="AB46" i="34"/>
  <c r="H43" i="39"/>
  <c r="AB43" i="39" s="1"/>
  <c r="J46" i="34"/>
  <c r="BA586" i="3"/>
  <c r="W16" i="36"/>
  <c r="AC16" i="36"/>
  <c r="BA578" i="3"/>
  <c r="AZ578" i="3" s="1"/>
  <c r="BA557" i="3"/>
  <c r="AZ557" i="3" s="1"/>
  <c r="BL556" i="3"/>
  <c r="AZ556" i="3" s="1"/>
  <c r="AC11" i="34"/>
  <c r="U11" i="37"/>
  <c r="U10" i="37"/>
  <c r="H51" i="43"/>
  <c r="W10" i="33"/>
  <c r="S17" i="37"/>
  <c r="U40" i="21"/>
  <c r="H55" i="43"/>
  <c r="H78" i="43"/>
  <c r="U44" i="34"/>
  <c r="AZ377" i="3"/>
  <c r="AZ361" i="3"/>
  <c r="AZ115" i="3"/>
  <c r="W43" i="39"/>
  <c r="BL521" i="3"/>
  <c r="AZ521" i="3" s="1"/>
  <c r="S13" i="35"/>
  <c r="F46" i="34"/>
  <c r="AC8" i="36"/>
  <c r="W8" i="36"/>
  <c r="AC31" i="36"/>
  <c r="W31" i="36"/>
  <c r="AB30" i="37"/>
  <c r="U30" i="37"/>
  <c r="W9" i="40"/>
  <c r="AC9" i="40"/>
  <c r="S11" i="40"/>
  <c r="BL563" i="3"/>
  <c r="F43" i="39"/>
  <c r="W31" i="35"/>
  <c r="AC31" i="35"/>
  <c r="G576" i="3"/>
  <c r="C77" i="9"/>
  <c r="C74" i="9" s="1"/>
  <c r="BL398" i="3"/>
  <c r="AZ398" i="3" s="1"/>
  <c r="BL399" i="3"/>
  <c r="AZ399" i="3" s="1"/>
  <c r="BA414" i="3"/>
  <c r="BA432" i="3"/>
  <c r="BL482" i="3"/>
  <c r="BA317" i="3"/>
  <c r="BA219" i="3"/>
  <c r="BL265" i="3"/>
  <c r="BL267" i="3"/>
  <c r="BL49" i="3"/>
  <c r="BA400" i="3"/>
  <c r="BL409" i="3"/>
  <c r="G412" i="3"/>
  <c r="BA419" i="3"/>
  <c r="AZ419" i="3" s="1"/>
  <c r="G423" i="3"/>
  <c r="BL426" i="3"/>
  <c r="AZ426" i="3" s="1"/>
  <c r="BL427" i="3"/>
  <c r="BL433" i="3"/>
  <c r="BA437" i="3"/>
  <c r="BA453" i="3"/>
  <c r="BA455" i="3"/>
  <c r="BA458" i="3"/>
  <c r="G469" i="3"/>
  <c r="G473" i="3"/>
  <c r="G474" i="3"/>
  <c r="G475" i="3"/>
  <c r="G478" i="3"/>
  <c r="BA485" i="3"/>
  <c r="BA492" i="3"/>
  <c r="BL368" i="3"/>
  <c r="BA221" i="3"/>
  <c r="BA118" i="3"/>
  <c r="AZ118" i="3" s="1"/>
  <c r="BL48" i="3"/>
  <c r="BL14" i="3"/>
  <c r="AZ427" i="3"/>
  <c r="D39" i="71"/>
  <c r="C40" i="71"/>
  <c r="C49" i="71"/>
  <c r="D48" i="71"/>
  <c r="G566" i="3"/>
  <c r="BL564" i="3"/>
  <c r="AZ564" i="3" s="1"/>
  <c r="M20" i="15"/>
  <c r="M20" i="78"/>
  <c r="F34" i="78"/>
  <c r="F62" i="78" s="1"/>
  <c r="BA401" i="3"/>
  <c r="AZ401" i="3" s="1"/>
  <c r="BA405" i="3"/>
  <c r="AZ405" i="3" s="1"/>
  <c r="BL437" i="3"/>
  <c r="AZ448" i="3"/>
  <c r="BA452" i="3"/>
  <c r="BA461" i="3"/>
  <c r="AZ461" i="3" s="1"/>
  <c r="G465" i="3"/>
  <c r="BL308" i="3"/>
  <c r="AZ308" i="3" s="1"/>
  <c r="BL217" i="3"/>
  <c r="E16" i="71"/>
  <c r="E15" i="71" s="1"/>
  <c r="V17" i="71"/>
  <c r="BC5" i="3"/>
  <c r="BL414" i="3"/>
  <c r="BL415" i="3"/>
  <c r="BL416" i="3"/>
  <c r="BL420" i="3"/>
  <c r="BL421" i="3"/>
  <c r="BL423" i="3"/>
  <c r="BA307" i="3"/>
  <c r="AZ307" i="3" s="1"/>
  <c r="G349" i="3"/>
  <c r="BL365" i="3"/>
  <c r="BL213" i="3"/>
  <c r="BA230" i="3"/>
  <c r="AZ230" i="3" s="1"/>
  <c r="BA231" i="3"/>
  <c r="BA247" i="3"/>
  <c r="BA250" i="3"/>
  <c r="BL261" i="3"/>
  <c r="BA583" i="3"/>
  <c r="AZ583" i="3" s="1"/>
  <c r="BL577" i="3"/>
  <c r="AZ577" i="3" s="1"/>
  <c r="G577" i="3"/>
  <c r="BA576" i="3"/>
  <c r="AZ576" i="3" s="1"/>
  <c r="BL575" i="3"/>
  <c r="AZ575" i="3" s="1"/>
  <c r="BA574" i="3"/>
  <c r="BA573" i="3"/>
  <c r="BL572" i="3"/>
  <c r="BA572" i="3"/>
  <c r="BA571" i="3"/>
  <c r="AZ571" i="3" s="1"/>
  <c r="BL569" i="3"/>
  <c r="AZ569" i="3" s="1"/>
  <c r="BA568" i="3"/>
  <c r="AZ568" i="3" s="1"/>
  <c r="BL567" i="3"/>
  <c r="BA567" i="3"/>
  <c r="BL400" i="3"/>
  <c r="G403" i="3"/>
  <c r="G407" i="3"/>
  <c r="G408" i="3"/>
  <c r="BL411" i="3"/>
  <c r="BL412" i="3"/>
  <c r="BA418" i="3"/>
  <c r="AZ418" i="3" s="1"/>
  <c r="G434" i="3"/>
  <c r="G438" i="3"/>
  <c r="BA447" i="3"/>
  <c r="AZ447" i="3" s="1"/>
  <c r="G459" i="3"/>
  <c r="G461" i="3"/>
  <c r="G462" i="3"/>
  <c r="BL472" i="3"/>
  <c r="BL473" i="3"/>
  <c r="AZ473" i="3" s="1"/>
  <c r="BA482" i="3"/>
  <c r="G486" i="3"/>
  <c r="G329" i="3"/>
  <c r="BA353" i="3"/>
  <c r="G374" i="3"/>
  <c r="BL383" i="3"/>
  <c r="AZ383" i="3" s="1"/>
  <c r="BL225" i="3"/>
  <c r="AZ225" i="3" s="1"/>
  <c r="BA229" i="3"/>
  <c r="BL242" i="3"/>
  <c r="BL243" i="3"/>
  <c r="BA245" i="3"/>
  <c r="AZ245" i="3" s="1"/>
  <c r="BL245" i="3"/>
  <c r="BA246" i="3"/>
  <c r="BL246" i="3"/>
  <c r="G301" i="3"/>
  <c r="BA166" i="3"/>
  <c r="AZ166" i="3" s="1"/>
  <c r="BL193" i="3"/>
  <c r="AZ193" i="3" s="1"/>
  <c r="BL194" i="3"/>
  <c r="BA33" i="3"/>
  <c r="AZ33" i="3" s="1"/>
  <c r="BA404" i="3"/>
  <c r="BL410" i="3"/>
  <c r="BA412" i="3"/>
  <c r="AZ412" i="3" s="1"/>
  <c r="BA423" i="3"/>
  <c r="BA425" i="3"/>
  <c r="BA436" i="3"/>
  <c r="BL440" i="3"/>
  <c r="BL464" i="3"/>
  <c r="BL468" i="3"/>
  <c r="BA475" i="3"/>
  <c r="BA486" i="3"/>
  <c r="BL333" i="3"/>
  <c r="AZ333" i="3" s="1"/>
  <c r="BL350" i="3"/>
  <c r="BA352" i="3"/>
  <c r="AZ352" i="3" s="1"/>
  <c r="BL363" i="3"/>
  <c r="AZ363" i="3" s="1"/>
  <c r="BL214" i="3"/>
  <c r="BL224" i="3"/>
  <c r="BL241" i="3"/>
  <c r="BA278" i="3"/>
  <c r="AZ278" i="3" s="1"/>
  <c r="BL134" i="3"/>
  <c r="BA153" i="3"/>
  <c r="BL587" i="3"/>
  <c r="BL585" i="3"/>
  <c r="AZ585" i="3" s="1"/>
  <c r="BL16" i="3"/>
  <c r="AZ16" i="3" s="1"/>
  <c r="BA411" i="3"/>
  <c r="AZ411" i="3" s="1"/>
  <c r="BA421" i="3"/>
  <c r="AZ421" i="3" s="1"/>
  <c r="BA424" i="3"/>
  <c r="AZ424" i="3" s="1"/>
  <c r="BA431" i="3"/>
  <c r="AZ431" i="3" s="1"/>
  <c r="G436" i="3"/>
  <c r="BA443" i="3"/>
  <c r="BA444" i="3"/>
  <c r="BL452" i="3"/>
  <c r="G454" i="3"/>
  <c r="BL463" i="3"/>
  <c r="BA468" i="3"/>
  <c r="BA472" i="3"/>
  <c r="AZ472" i="3" s="1"/>
  <c r="G484" i="3"/>
  <c r="G327" i="3"/>
  <c r="BL330" i="3"/>
  <c r="AZ330" i="3" s="1"/>
  <c r="BA335" i="3"/>
  <c r="AZ335" i="3" s="1"/>
  <c r="G358" i="3"/>
  <c r="BL381" i="3"/>
  <c r="AZ381" i="3" s="1"/>
  <c r="G384" i="3"/>
  <c r="BL210" i="3"/>
  <c r="BL223" i="3"/>
  <c r="BA260" i="3"/>
  <c r="AZ260" i="3" s="1"/>
  <c r="BL272" i="3"/>
  <c r="BL276" i="3"/>
  <c r="BA277" i="3"/>
  <c r="AZ277" i="3" s="1"/>
  <c r="BL302" i="3"/>
  <c r="BA150" i="3"/>
  <c r="G14" i="3"/>
  <c r="G400" i="3"/>
  <c r="G401" i="3"/>
  <c r="BA420" i="3"/>
  <c r="BA440" i="3"/>
  <c r="AZ440" i="3" s="1"/>
  <c r="G453" i="3"/>
  <c r="BA463" i="3"/>
  <c r="BA464" i="3"/>
  <c r="BA465" i="3"/>
  <c r="AZ465" i="3" s="1"/>
  <c r="BA471" i="3"/>
  <c r="BL478" i="3"/>
  <c r="BL481" i="3"/>
  <c r="G483" i="3"/>
  <c r="BL486" i="3"/>
  <c r="BA488" i="3"/>
  <c r="BA332" i="3"/>
  <c r="BA354" i="3"/>
  <c r="BA388" i="3"/>
  <c r="AZ388" i="3" s="1"/>
  <c r="G395" i="3"/>
  <c r="BL232" i="3"/>
  <c r="BL259" i="3"/>
  <c r="BA288" i="3"/>
  <c r="BL294" i="3"/>
  <c r="BL127" i="3"/>
  <c r="AZ127" i="3" s="1"/>
  <c r="BA149" i="3"/>
  <c r="BA180" i="3"/>
  <c r="AZ180" i="3" s="1"/>
  <c r="O55" i="71"/>
  <c r="D55" i="71"/>
  <c r="O54" i="71"/>
  <c r="U8" i="35"/>
  <c r="W28" i="35"/>
  <c r="G578" i="3"/>
  <c r="G562" i="3"/>
  <c r="BL402" i="3"/>
  <c r="BL406" i="3"/>
  <c r="BA409" i="3"/>
  <c r="BA415" i="3"/>
  <c r="AZ415" i="3" s="1"/>
  <c r="BL424" i="3"/>
  <c r="G427" i="3"/>
  <c r="G430" i="3"/>
  <c r="BL434" i="3"/>
  <c r="BL436" i="3"/>
  <c r="BA439" i="3"/>
  <c r="G449" i="3"/>
  <c r="BL457" i="3"/>
  <c r="AZ457" i="3" s="1"/>
  <c r="BL459" i="3"/>
  <c r="BL460" i="3"/>
  <c r="BL462" i="3"/>
  <c r="BL466" i="3"/>
  <c r="BA467" i="3"/>
  <c r="BL470" i="3"/>
  <c r="BA478" i="3"/>
  <c r="G482" i="3"/>
  <c r="BL485" i="3"/>
  <c r="BA487" i="3"/>
  <c r="BA490" i="3"/>
  <c r="AZ490" i="3" s="1"/>
  <c r="BL314" i="3"/>
  <c r="AZ314" i="3" s="1"/>
  <c r="BL328" i="3"/>
  <c r="AZ328" i="3" s="1"/>
  <c r="G369" i="3"/>
  <c r="BL386" i="3"/>
  <c r="BA210" i="3"/>
  <c r="BA211" i="3"/>
  <c r="G250" i="3"/>
  <c r="BL253" i="3"/>
  <c r="BL255" i="3"/>
  <c r="BA258" i="3"/>
  <c r="BA273" i="3"/>
  <c r="AZ273" i="3" s="1"/>
  <c r="BA282" i="3"/>
  <c r="BL288" i="3"/>
  <c r="BA291" i="3"/>
  <c r="G297" i="3"/>
  <c r="BA128" i="3"/>
  <c r="AZ128" i="3" s="1"/>
  <c r="BA148" i="3"/>
  <c r="AZ148" i="3" s="1"/>
  <c r="AZ62" i="3"/>
  <c r="BA587" i="3"/>
  <c r="BL401" i="3"/>
  <c r="BL404" i="3"/>
  <c r="BL405" i="3"/>
  <c r="BA408" i="3"/>
  <c r="BL432" i="3"/>
  <c r="BL439" i="3"/>
  <c r="BA445" i="3"/>
  <c r="BL456" i="3"/>
  <c r="BA460" i="3"/>
  <c r="BA481" i="3"/>
  <c r="BL312" i="3"/>
  <c r="AZ312" i="3" s="1"/>
  <c r="BL396" i="3"/>
  <c r="AZ396" i="3" s="1"/>
  <c r="BL237" i="3"/>
  <c r="BL299" i="3"/>
  <c r="AZ299" i="3" s="1"/>
  <c r="BA202" i="3"/>
  <c r="G585" i="3"/>
  <c r="AB9" i="40"/>
  <c r="BA402" i="3"/>
  <c r="AZ402" i="3" s="1"/>
  <c r="BA406" i="3"/>
  <c r="BA407" i="3"/>
  <c r="AZ407" i="3" s="1"/>
  <c r="BA410" i="3"/>
  <c r="AZ410" i="3" s="1"/>
  <c r="G417" i="3"/>
  <c r="G425" i="3"/>
  <c r="BL431" i="3"/>
  <c r="BA434" i="3"/>
  <c r="BL444" i="3"/>
  <c r="G446" i="3"/>
  <c r="G450" i="3"/>
  <c r="G451" i="3"/>
  <c r="BL453" i="3"/>
  <c r="BA456" i="3"/>
  <c r="AZ456" i="3" s="1"/>
  <c r="BA459" i="3"/>
  <c r="BA462" i="3"/>
  <c r="AZ462" i="3" s="1"/>
  <c r="BA474" i="3"/>
  <c r="AZ474" i="3" s="1"/>
  <c r="G480" i="3"/>
  <c r="G323" i="3"/>
  <c r="BL220" i="3"/>
  <c r="G230" i="3"/>
  <c r="BA253" i="3"/>
  <c r="AZ253" i="3" s="1"/>
  <c r="BL270" i="3"/>
  <c r="BL284" i="3"/>
  <c r="BA287" i="3"/>
  <c r="AZ287" i="3" s="1"/>
  <c r="G295" i="3"/>
  <c r="BA161" i="3"/>
  <c r="BL21" i="3"/>
  <c r="BL205" i="3"/>
  <c r="G34" i="3"/>
  <c r="BA39" i="3"/>
  <c r="BA40" i="3"/>
  <c r="AZ40" i="3" s="1"/>
  <c r="BL52" i="3"/>
  <c r="BL72" i="3"/>
  <c r="BL74" i="3"/>
  <c r="BL75" i="3"/>
  <c r="BA76" i="3"/>
  <c r="AZ76" i="3" s="1"/>
  <c r="BA85" i="3"/>
  <c r="AZ85" i="3" s="1"/>
  <c r="E100" i="43"/>
  <c r="S25" i="40"/>
  <c r="Y3" i="71"/>
  <c r="Z3" i="71" s="1"/>
  <c r="Y27" i="71"/>
  <c r="Z27" i="71" s="1"/>
  <c r="E36" i="71"/>
  <c r="E37" i="71" s="1"/>
  <c r="U37" i="71" s="1"/>
  <c r="E48" i="71"/>
  <c r="E49" i="71" s="1"/>
  <c r="U49" i="71" s="1"/>
  <c r="G219" i="3"/>
  <c r="BL226" i="3"/>
  <c r="BL231" i="3"/>
  <c r="G242" i="3"/>
  <c r="G244" i="3"/>
  <c r="G246" i="3"/>
  <c r="BL251" i="3"/>
  <c r="BL252" i="3"/>
  <c r="BA261" i="3"/>
  <c r="BA263" i="3"/>
  <c r="AZ263" i="3" s="1"/>
  <c r="G275" i="3"/>
  <c r="G277" i="3"/>
  <c r="BL282" i="3"/>
  <c r="G293" i="3"/>
  <c r="G135" i="3"/>
  <c r="G136" i="3"/>
  <c r="BA152" i="3"/>
  <c r="AZ152" i="3" s="1"/>
  <c r="G158" i="3"/>
  <c r="BL171" i="3"/>
  <c r="AZ171" i="3" s="1"/>
  <c r="G178" i="3"/>
  <c r="BA186" i="3"/>
  <c r="G196" i="3"/>
  <c r="BL203" i="3"/>
  <c r="AZ203" i="3" s="1"/>
  <c r="BA204" i="3"/>
  <c r="G29" i="3"/>
  <c r="BL38" i="3"/>
  <c r="G65" i="3"/>
  <c r="BA75" i="3"/>
  <c r="AZ75" i="3" s="1"/>
  <c r="G87" i="3"/>
  <c r="BL96" i="3"/>
  <c r="BL97" i="3"/>
  <c r="BL99" i="3"/>
  <c r="BL100" i="3"/>
  <c r="BA101" i="3"/>
  <c r="AZ101" i="3" s="1"/>
  <c r="BA102" i="3"/>
  <c r="AZ102" i="3" s="1"/>
  <c r="BA103" i="3"/>
  <c r="AZ103" i="3" s="1"/>
  <c r="C29" i="39"/>
  <c r="AA3" i="71"/>
  <c r="AA17" i="71"/>
  <c r="X22" i="71"/>
  <c r="BL250" i="3"/>
  <c r="BA252" i="3"/>
  <c r="BA256" i="3"/>
  <c r="BL256" i="3"/>
  <c r="BL268" i="3"/>
  <c r="BA284" i="3"/>
  <c r="AZ284" i="3" s="1"/>
  <c r="BA285" i="3"/>
  <c r="BL301" i="3"/>
  <c r="BL115" i="3"/>
  <c r="BL138" i="3"/>
  <c r="BA144" i="3"/>
  <c r="AZ144" i="3" s="1"/>
  <c r="BA165" i="3"/>
  <c r="BL170" i="3"/>
  <c r="BL183" i="3"/>
  <c r="AZ183" i="3" s="1"/>
  <c r="BA184" i="3"/>
  <c r="AZ184" i="3" s="1"/>
  <c r="BL197" i="3"/>
  <c r="BL198" i="3"/>
  <c r="BL207" i="3"/>
  <c r="BA27" i="3"/>
  <c r="BL45" i="3"/>
  <c r="BA69" i="3"/>
  <c r="BL70" i="3"/>
  <c r="BA81" i="3"/>
  <c r="BL90" i="3"/>
  <c r="BA94" i="3"/>
  <c r="AZ94" i="3" s="1"/>
  <c r="BA100" i="3"/>
  <c r="AZ100" i="3" s="1"/>
  <c r="C75" i="71"/>
  <c r="D75" i="71" s="1"/>
  <c r="E60" i="71"/>
  <c r="E59" i="71" s="1"/>
  <c r="AB19" i="71"/>
  <c r="Y22" i="71"/>
  <c r="Z22" i="71" s="1"/>
  <c r="AB27" i="71"/>
  <c r="BA385" i="3"/>
  <c r="BL385" i="3"/>
  <c r="BL395" i="3"/>
  <c r="BL397" i="3"/>
  <c r="BA208" i="3"/>
  <c r="BL208" i="3"/>
  <c r="BL221" i="3"/>
  <c r="BA225" i="3"/>
  <c r="BA227" i="3"/>
  <c r="AZ227" i="3" s="1"/>
  <c r="BL227" i="3"/>
  <c r="BA228" i="3"/>
  <c r="AZ228" i="3" s="1"/>
  <c r="BL228" i="3"/>
  <c r="BL233" i="3"/>
  <c r="G240" i="3"/>
  <c r="G243" i="3"/>
  <c r="BA251" i="3"/>
  <c r="AZ251" i="3" s="1"/>
  <c r="BA268" i="3"/>
  <c r="G270" i="3"/>
  <c r="BL279" i="3"/>
  <c r="BL280" i="3"/>
  <c r="BL281" i="3"/>
  <c r="BL296" i="3"/>
  <c r="BL297" i="3"/>
  <c r="AZ297" i="3" s="1"/>
  <c r="BL300" i="3"/>
  <c r="BA113" i="3"/>
  <c r="BA117" i="3"/>
  <c r="G128" i="3"/>
  <c r="BA140" i="3"/>
  <c r="AZ140" i="3" s="1"/>
  <c r="BL141" i="3"/>
  <c r="BA164" i="3"/>
  <c r="AZ164" i="3" s="1"/>
  <c r="BA188" i="3"/>
  <c r="AZ188" i="3" s="1"/>
  <c r="BA200" i="3"/>
  <c r="AZ200" i="3" s="1"/>
  <c r="BA201" i="3"/>
  <c r="BL33" i="3"/>
  <c r="BL35" i="3"/>
  <c r="BA45" i="3"/>
  <c r="AZ45" i="3" s="1"/>
  <c r="BL68" i="3"/>
  <c r="BL69" i="3"/>
  <c r="BA74" i="3"/>
  <c r="BA96" i="3"/>
  <c r="AZ96" i="3" s="1"/>
  <c r="BL104" i="3"/>
  <c r="BL106" i="3"/>
  <c r="G9" i="1"/>
  <c r="AC21" i="21"/>
  <c r="W21" i="37"/>
  <c r="B66" i="43"/>
  <c r="AA22" i="71"/>
  <c r="F36" i="71"/>
  <c r="F37" i="71" s="1"/>
  <c r="V37" i="71" s="1"/>
  <c r="BL393" i="3"/>
  <c r="AZ393" i="3" s="1"/>
  <c r="BA395" i="3"/>
  <c r="BA397" i="3"/>
  <c r="BL219" i="3"/>
  <c r="BA224" i="3"/>
  <c r="AZ224" i="3" s="1"/>
  <c r="BA233" i="3"/>
  <c r="AZ233" i="3" s="1"/>
  <c r="BL244" i="3"/>
  <c r="BL247" i="3"/>
  <c r="BL248" i="3"/>
  <c r="BA257" i="3"/>
  <c r="BL275" i="3"/>
  <c r="BA301" i="3"/>
  <c r="AZ301" i="3" s="1"/>
  <c r="G126" i="3"/>
  <c r="BA162" i="3"/>
  <c r="G176" i="3"/>
  <c r="BA182" i="3"/>
  <c r="BL195" i="3"/>
  <c r="G63" i="3"/>
  <c r="G83" i="3"/>
  <c r="BA86" i="3"/>
  <c r="BL87" i="3"/>
  <c r="BA89" i="3"/>
  <c r="BL92" i="3"/>
  <c r="BA99" i="3"/>
  <c r="BA106" i="3"/>
  <c r="B55" i="43"/>
  <c r="D64" i="71"/>
  <c r="X17" i="71"/>
  <c r="BA368" i="3"/>
  <c r="AZ368" i="3" s="1"/>
  <c r="BA209" i="3"/>
  <c r="G214" i="3"/>
  <c r="BL218" i="3"/>
  <c r="BA220" i="3"/>
  <c r="BL222" i="3"/>
  <c r="G267" i="3"/>
  <c r="BA279" i="3"/>
  <c r="BL283" i="3"/>
  <c r="AZ283" i="3" s="1"/>
  <c r="G124" i="3"/>
  <c r="BL130" i="3"/>
  <c r="BL137" i="3"/>
  <c r="BA181" i="3"/>
  <c r="G190" i="3"/>
  <c r="G18" i="3"/>
  <c r="BL27" i="3"/>
  <c r="BA32" i="3"/>
  <c r="G43" i="3"/>
  <c r="BL64" i="3"/>
  <c r="BA68" i="3"/>
  <c r="G79" i="3"/>
  <c r="BA92" i="3"/>
  <c r="J29" i="39"/>
  <c r="AC29" i="39" s="1"/>
  <c r="T17" i="71"/>
  <c r="AB12" i="43"/>
  <c r="BA30" i="3"/>
  <c r="AZ30" i="3" s="1"/>
  <c r="BA31" i="3"/>
  <c r="BL57" i="3"/>
  <c r="BA72" i="3"/>
  <c r="BL84" i="3"/>
  <c r="BA97" i="3"/>
  <c r="G387" i="3"/>
  <c r="G212" i="3"/>
  <c r="BL216" i="3"/>
  <c r="BA223" i="3"/>
  <c r="AZ223" i="3" s="1"/>
  <c r="BA232" i="3"/>
  <c r="AZ232" i="3" s="1"/>
  <c r="G233" i="3"/>
  <c r="BA242" i="3"/>
  <c r="AZ242" i="3" s="1"/>
  <c r="G258" i="3"/>
  <c r="BA271" i="3"/>
  <c r="BA272" i="3"/>
  <c r="AZ272" i="3" s="1"/>
  <c r="BL273" i="3"/>
  <c r="G285" i="3"/>
  <c r="G288" i="3"/>
  <c r="BA294" i="3"/>
  <c r="G119" i="3"/>
  <c r="BL125" i="3"/>
  <c r="G142" i="3"/>
  <c r="BL175" i="3"/>
  <c r="AZ175" i="3" s="1"/>
  <c r="G187" i="3"/>
  <c r="BA193" i="3"/>
  <c r="BA20" i="3"/>
  <c r="BL22" i="3"/>
  <c r="BL25" i="3"/>
  <c r="BL26" i="3"/>
  <c r="BL30" i="3"/>
  <c r="G42" i="3"/>
  <c r="BL51" i="3"/>
  <c r="BL55" i="3"/>
  <c r="AZ55" i="3" s="1"/>
  <c r="BL60" i="3"/>
  <c r="BL61" i="3"/>
  <c r="BA64" i="3"/>
  <c r="AZ64" i="3" s="1"/>
  <c r="BA66" i="3"/>
  <c r="BA67" i="3"/>
  <c r="AZ67" i="3" s="1"/>
  <c r="G76" i="3"/>
  <c r="G78" i="3"/>
  <c r="BL80" i="3"/>
  <c r="BA84" i="3"/>
  <c r="BL91" i="3"/>
  <c r="G108" i="3"/>
  <c r="BL112" i="3"/>
  <c r="AZ112" i="3" s="1"/>
  <c r="C72" i="71"/>
  <c r="B20" i="71"/>
  <c r="AA23" i="71"/>
  <c r="X26" i="71"/>
  <c r="B41" i="71"/>
  <c r="S41" i="71" s="1"/>
  <c r="C12" i="71"/>
  <c r="G168" i="3"/>
  <c r="G202" i="3"/>
  <c r="G204" i="3"/>
  <c r="BL19" i="3"/>
  <c r="BL20" i="3"/>
  <c r="BA26" i="3"/>
  <c r="AZ26" i="3" s="1"/>
  <c r="BA36" i="3"/>
  <c r="AZ36" i="3" s="1"/>
  <c r="G37" i="3"/>
  <c r="BL53" i="3"/>
  <c r="BA60" i="3"/>
  <c r="BL65" i="3"/>
  <c r="BA90" i="3"/>
  <c r="G101" i="3"/>
  <c r="G102" i="3"/>
  <c r="S21" i="21"/>
  <c r="F29" i="39"/>
  <c r="AA29" i="39" s="1"/>
  <c r="O56" i="71"/>
  <c r="D69" i="71"/>
  <c r="Q56" i="71"/>
  <c r="F32" i="71"/>
  <c r="F33" i="71" s="1"/>
  <c r="V33" i="71" s="1"/>
  <c r="AB16" i="71"/>
  <c r="K56" i="9"/>
  <c r="BL143" i="3"/>
  <c r="AZ143" i="3" s="1"/>
  <c r="BA146" i="3"/>
  <c r="BL173" i="3"/>
  <c r="BL174" i="3"/>
  <c r="BA192" i="3"/>
  <c r="AZ192" i="3" s="1"/>
  <c r="BL206" i="3"/>
  <c r="BA21" i="3"/>
  <c r="AZ21" i="3" s="1"/>
  <c r="BA22" i="3"/>
  <c r="BA41" i="3"/>
  <c r="AZ41" i="3" s="1"/>
  <c r="BA48" i="3"/>
  <c r="AZ48" i="3" s="1"/>
  <c r="BA49" i="3"/>
  <c r="AZ49" i="3" s="1"/>
  <c r="BA52" i="3"/>
  <c r="AZ52" i="3" s="1"/>
  <c r="BA65" i="3"/>
  <c r="BA77" i="3"/>
  <c r="AZ77" i="3" s="1"/>
  <c r="BA80" i="3"/>
  <c r="AZ80" i="3" s="1"/>
  <c r="BA87" i="3"/>
  <c r="BL110" i="3"/>
  <c r="BA111" i="3"/>
  <c r="AZ111" i="3" s="1"/>
  <c r="BA112" i="3"/>
  <c r="P27" i="6"/>
  <c r="AA18" i="71"/>
  <c r="X23" i="71"/>
  <c r="B49" i="71"/>
  <c r="S49" i="71" s="1"/>
  <c r="N56" i="9"/>
  <c r="G396" i="3"/>
  <c r="G208" i="3"/>
  <c r="G209" i="3"/>
  <c r="BA215" i="3"/>
  <c r="G225" i="3"/>
  <c r="G226" i="3"/>
  <c r="G228" i="3"/>
  <c r="BL235" i="3"/>
  <c r="BA236" i="3"/>
  <c r="AZ236" i="3" s="1"/>
  <c r="BA240" i="3"/>
  <c r="G255" i="3"/>
  <c r="BL260" i="3"/>
  <c r="BA262" i="3"/>
  <c r="BA265" i="3"/>
  <c r="AZ265" i="3" s="1"/>
  <c r="BA266" i="3"/>
  <c r="AZ266" i="3" s="1"/>
  <c r="G283" i="3"/>
  <c r="BL285" i="3"/>
  <c r="BA289" i="3"/>
  <c r="BL290" i="3"/>
  <c r="BA292" i="3"/>
  <c r="AZ292" i="3" s="1"/>
  <c r="G299" i="3"/>
  <c r="BL121" i="3"/>
  <c r="AZ121" i="3" s="1"/>
  <c r="BL129" i="3"/>
  <c r="G138" i="3"/>
  <c r="BA145" i="3"/>
  <c r="BL151" i="3"/>
  <c r="AZ151" i="3" s="1"/>
  <c r="BA154" i="3"/>
  <c r="BA173" i="3"/>
  <c r="AZ173" i="3" s="1"/>
  <c r="BA174" i="3"/>
  <c r="AZ174" i="3" s="1"/>
  <c r="G182" i="3"/>
  <c r="G200" i="3"/>
  <c r="BL18" i="3"/>
  <c r="BA19" i="3"/>
  <c r="AZ19" i="3" s="1"/>
  <c r="BA29" i="3"/>
  <c r="G35" i="3"/>
  <c r="BL41" i="3"/>
  <c r="BA46" i="3"/>
  <c r="BA50" i="3"/>
  <c r="AZ50" i="3" s="1"/>
  <c r="BL50" i="3"/>
  <c r="BL59" i="3"/>
  <c r="AZ59" i="3" s="1"/>
  <c r="BL76" i="3"/>
  <c r="BL77" i="3"/>
  <c r="BL79" i="3"/>
  <c r="BL82" i="3"/>
  <c r="AZ82" i="3" s="1"/>
  <c r="G96" i="3"/>
  <c r="G99" i="3"/>
  <c r="BL109" i="3"/>
  <c r="BA110" i="3"/>
  <c r="AZ110" i="3" s="1"/>
  <c r="E59" i="43"/>
  <c r="B57" i="43" s="1"/>
  <c r="C68" i="71"/>
  <c r="D51" i="71"/>
  <c r="X14" i="71"/>
  <c r="Y24" i="71"/>
  <c r="Z24" i="71" s="1"/>
  <c r="AB26" i="71"/>
  <c r="B36" i="71"/>
  <c r="B37" i="71" s="1"/>
  <c r="S37" i="71" s="1"/>
  <c r="F52" i="71"/>
  <c r="F53" i="71" s="1"/>
  <c r="V53" i="71" s="1"/>
  <c r="Y16" i="71"/>
  <c r="Z16" i="71" s="1"/>
  <c r="W41" i="39"/>
  <c r="U9" i="39"/>
  <c r="E22" i="49"/>
  <c r="E14" i="49"/>
  <c r="E21" i="49"/>
  <c r="B8" i="49"/>
  <c r="B6" i="49"/>
  <c r="B10" i="49"/>
  <c r="E13" i="49"/>
  <c r="B14" i="49"/>
  <c r="B9" i="49"/>
  <c r="B4" i="49"/>
  <c r="E11" i="49"/>
  <c r="E8" i="49"/>
  <c r="B11" i="49"/>
  <c r="E9" i="49"/>
  <c r="B22" i="49"/>
  <c r="E4" i="49"/>
  <c r="E6" i="49"/>
  <c r="B13" i="49"/>
  <c r="E10" i="49"/>
  <c r="E7" i="49"/>
  <c r="AB27" i="39"/>
  <c r="W27" i="39"/>
  <c r="AA25" i="39"/>
  <c r="U25" i="39"/>
  <c r="AA23" i="39"/>
  <c r="AB23" i="39"/>
  <c r="AC21" i="39"/>
  <c r="S21" i="39"/>
  <c r="AC17" i="39"/>
  <c r="AB17" i="39"/>
  <c r="AB41" i="39"/>
  <c r="AA41" i="39"/>
  <c r="S40" i="39"/>
  <c r="AB40" i="39"/>
  <c r="W40" i="39"/>
  <c r="AC39" i="39"/>
  <c r="S39" i="39"/>
  <c r="AB32" i="39"/>
  <c r="S32" i="39"/>
  <c r="AC11" i="39"/>
  <c r="AB37" i="39"/>
  <c r="U37" i="39"/>
  <c r="AA36" i="39"/>
  <c r="S36" i="39"/>
  <c r="AB35" i="39"/>
  <c r="U35" i="39"/>
  <c r="H36" i="39"/>
  <c r="W35" i="39"/>
  <c r="F44" i="39"/>
  <c r="S44" i="39" s="1"/>
  <c r="W36" i="39"/>
  <c r="J44" i="39"/>
  <c r="J37" i="39"/>
  <c r="U43" i="39"/>
  <c r="F35" i="39"/>
  <c r="AA19" i="39"/>
  <c r="U19" i="39"/>
  <c r="AC15" i="39"/>
  <c r="AC14" i="39"/>
  <c r="S15" i="39"/>
  <c r="S12" i="39"/>
  <c r="U12" i="39"/>
  <c r="U15" i="39"/>
  <c r="F66" i="78"/>
  <c r="L58" i="78"/>
  <c r="N59" i="78"/>
  <c r="M59" i="78"/>
  <c r="L59" i="78"/>
  <c r="F64" i="78"/>
  <c r="F68" i="78"/>
  <c r="F65" i="78"/>
  <c r="F71" i="78"/>
  <c r="C27" i="78"/>
  <c r="F50" i="78"/>
  <c r="M7" i="78"/>
  <c r="J6" i="78" s="1"/>
  <c r="L56" i="78"/>
  <c r="L57" i="78"/>
  <c r="J57" i="78"/>
  <c r="J55" i="78" s="1"/>
  <c r="J58" i="78" s="1"/>
  <c r="Q50" i="78" s="1"/>
  <c r="I54" i="78"/>
  <c r="J53" i="78"/>
  <c r="L60" i="78"/>
  <c r="F51" i="78"/>
  <c r="Q71" i="78"/>
  <c r="C6" i="78"/>
  <c r="G17" i="43"/>
  <c r="C16" i="43" s="1"/>
  <c r="B4" i="62"/>
  <c r="B71" i="72" s="1"/>
  <c r="F34" i="15"/>
  <c r="F62" i="15" s="1"/>
  <c r="M20" i="67"/>
  <c r="F34" i="67"/>
  <c r="F62" i="67" s="1"/>
  <c r="F28" i="15"/>
  <c r="F32" i="15"/>
  <c r="F60" i="15" s="1"/>
  <c r="F53" i="9"/>
  <c r="M18" i="67"/>
  <c r="F54" i="9"/>
  <c r="F52" i="9"/>
  <c r="D68" i="9"/>
  <c r="F31" i="12"/>
  <c r="C31" i="12" s="1"/>
  <c r="C48" i="69"/>
  <c r="C40" i="68"/>
  <c r="C40" i="11"/>
  <c r="F3" i="35"/>
  <c r="BB5" i="3"/>
  <c r="E8" i="6" s="1"/>
  <c r="AQ13" i="1"/>
  <c r="H22" i="43"/>
  <c r="S2" i="43"/>
  <c r="AF11" i="43"/>
  <c r="AF13" i="43" s="1"/>
  <c r="Y11" i="43"/>
  <c r="Y13" i="43" s="1"/>
  <c r="J22" i="43"/>
  <c r="L101" i="43"/>
  <c r="L104" i="43" s="1"/>
  <c r="AD11" i="43"/>
  <c r="AD13" i="43" s="1"/>
  <c r="G22" i="43"/>
  <c r="AI11" i="43"/>
  <c r="AI13" i="43" s="1"/>
  <c r="S6" i="43"/>
  <c r="AG11" i="43"/>
  <c r="C23" i="43"/>
  <c r="C21" i="43" s="1"/>
  <c r="N104" i="46"/>
  <c r="H101" i="43"/>
  <c r="H109" i="43" s="1"/>
  <c r="AB11" i="43"/>
  <c r="AB13" i="43" s="1"/>
  <c r="F101" i="43"/>
  <c r="F107" i="43" s="1"/>
  <c r="D101" i="43"/>
  <c r="D103" i="43" s="1"/>
  <c r="Z11" i="43"/>
  <c r="Z13" i="43" s="1"/>
  <c r="F22" i="43"/>
  <c r="B113" i="43"/>
  <c r="D116" i="43" s="1"/>
  <c r="E116" i="43" s="1"/>
  <c r="F116" i="43" s="1"/>
  <c r="G116" i="43" s="1"/>
  <c r="H116" i="43" s="1"/>
  <c r="I101" i="43"/>
  <c r="I103" i="43" s="1"/>
  <c r="Z7" i="43"/>
  <c r="K101" i="43"/>
  <c r="K103" i="43" s="1"/>
  <c r="E101" i="43"/>
  <c r="E105" i="43" s="1"/>
  <c r="S5" i="43"/>
  <c r="N101" i="43"/>
  <c r="E22" i="43"/>
  <c r="AE11" i="43"/>
  <c r="AE13" i="43" s="1"/>
  <c r="S4" i="43"/>
  <c r="M101" i="43"/>
  <c r="M102" i="43" s="1"/>
  <c r="G101" i="43"/>
  <c r="G105" i="43" s="1"/>
  <c r="AJ11" i="43"/>
  <c r="AJ13" i="43" s="1"/>
  <c r="AC11" i="43"/>
  <c r="S3" i="43"/>
  <c r="C101" i="43"/>
  <c r="C103" i="43" s="1"/>
  <c r="AH11" i="43"/>
  <c r="AH13" i="43" s="1"/>
  <c r="AA11" i="43"/>
  <c r="S7" i="43"/>
  <c r="J101" i="43"/>
  <c r="J106" i="43" s="1"/>
  <c r="T13" i="1"/>
  <c r="BT5" i="3"/>
  <c r="AR8" i="1"/>
  <c r="T9" i="1"/>
  <c r="BJ5" i="3"/>
  <c r="BO5" i="3"/>
  <c r="AR11" i="1"/>
  <c r="AQ9" i="1"/>
  <c r="L27" i="6"/>
  <c r="T11" i="1"/>
  <c r="T10" i="1"/>
  <c r="AR10" i="1"/>
  <c r="D102" i="43"/>
  <c r="H16" i="1"/>
  <c r="BA14" i="3"/>
  <c r="AZ14" i="3" s="1"/>
  <c r="Q16" i="1"/>
  <c r="F27" i="68" s="1"/>
  <c r="C36" i="69"/>
  <c r="O10" i="1"/>
  <c r="P10" i="1" s="1"/>
  <c r="M7" i="1"/>
  <c r="T12" i="1"/>
  <c r="BA13" i="3"/>
  <c r="AZ13" i="3" s="1"/>
  <c r="AQ12" i="1"/>
  <c r="D105" i="43"/>
  <c r="D104" i="43"/>
  <c r="T8" i="1"/>
  <c r="P12" i="1"/>
  <c r="A15" i="62"/>
  <c r="B61" i="72" s="1"/>
  <c r="G13" i="1"/>
  <c r="G16" i="1" s="1"/>
  <c r="J10" i="40" s="1"/>
  <c r="M59" i="34"/>
  <c r="N59" i="34" s="1"/>
  <c r="O59" i="34" s="1"/>
  <c r="C36" i="68"/>
  <c r="D63" i="40"/>
  <c r="E63" i="40" s="1"/>
  <c r="C36" i="11"/>
  <c r="E68" i="39"/>
  <c r="F68" i="39" s="1"/>
  <c r="C27" i="67"/>
  <c r="B13" i="70"/>
  <c r="F71" i="67"/>
  <c r="F68" i="67"/>
  <c r="B11" i="70"/>
  <c r="F66" i="15"/>
  <c r="C27" i="15"/>
  <c r="M7" i="67"/>
  <c r="J6" i="67" s="1"/>
  <c r="F50" i="67"/>
  <c r="L56" i="67"/>
  <c r="I54" i="67"/>
  <c r="J53" i="67"/>
  <c r="J57" i="67"/>
  <c r="J55" i="67" s="1"/>
  <c r="J58" i="67" s="1"/>
  <c r="Q50" i="67" s="1"/>
  <c r="K1" i="73"/>
  <c r="B10" i="70"/>
  <c r="C6" i="67"/>
  <c r="I1" i="73"/>
  <c r="B39" i="1" s="1"/>
  <c r="F65" i="67"/>
  <c r="B12" i="70"/>
  <c r="F64" i="15"/>
  <c r="B9" i="70"/>
  <c r="N59" i="67"/>
  <c r="L59" i="67"/>
  <c r="M59" i="67"/>
  <c r="L58" i="67"/>
  <c r="F64" i="67"/>
  <c r="F51" i="67"/>
  <c r="F50" i="15"/>
  <c r="M7" i="15"/>
  <c r="F71" i="15"/>
  <c r="F69" i="67"/>
  <c r="F66" i="67"/>
  <c r="N59" i="15"/>
  <c r="M59" i="15"/>
  <c r="L59" i="15"/>
  <c r="L58" i="15"/>
  <c r="B8" i="70"/>
  <c r="Q71" i="67"/>
  <c r="F70" i="67"/>
  <c r="F68" i="15"/>
  <c r="B20" i="31"/>
  <c r="J53" i="15"/>
  <c r="L56" i="15" s="1"/>
  <c r="J57" i="15"/>
  <c r="J55" i="15" s="1"/>
  <c r="J58" i="15" s="1"/>
  <c r="Q50" i="15" s="1"/>
  <c r="I54" i="15"/>
  <c r="D5" i="43"/>
  <c r="C5" i="43"/>
  <c r="I58" i="21"/>
  <c r="J58" i="21" s="1"/>
  <c r="K58" i="21" s="1"/>
  <c r="L58" i="21" s="1"/>
  <c r="M58" i="21" s="1"/>
  <c r="N58" i="21" s="1"/>
  <c r="O58" i="21" s="1"/>
  <c r="H7" i="21"/>
  <c r="P25" i="43"/>
  <c r="H52" i="37"/>
  <c r="I52" i="37" s="1"/>
  <c r="J52" i="37" s="1"/>
  <c r="K52" i="37" s="1"/>
  <c r="L52" i="37" s="1"/>
  <c r="M52" i="37" s="1"/>
  <c r="N52" i="37" s="1"/>
  <c r="O52" i="37" s="1"/>
  <c r="P24" i="43"/>
  <c r="B66" i="40" s="1"/>
  <c r="P23" i="43"/>
  <c r="B71" i="39" s="1"/>
  <c r="H14" i="74"/>
  <c r="B7" i="74" s="1"/>
  <c r="D125" i="9"/>
  <c r="D11" i="52" s="1"/>
  <c r="W23" i="21"/>
  <c r="F46" i="36"/>
  <c r="J7" i="21"/>
  <c r="J7" i="34"/>
  <c r="H7" i="35"/>
  <c r="F7" i="35"/>
  <c r="J7" i="35"/>
  <c r="AA43" i="33"/>
  <c r="S43" i="33"/>
  <c r="AB23" i="21"/>
  <c r="D9" i="11"/>
  <c r="C9" i="11" s="1"/>
  <c r="D19" i="12"/>
  <c r="C19" i="12" s="1"/>
  <c r="D9" i="69"/>
  <c r="D19" i="53"/>
  <c r="AB17" i="33"/>
  <c r="D65" i="40"/>
  <c r="AB19" i="33"/>
  <c r="W19" i="37"/>
  <c r="E58" i="33"/>
  <c r="I14" i="74"/>
  <c r="B8" i="74" s="1"/>
  <c r="B34" i="72"/>
  <c r="D17" i="53"/>
  <c r="B36" i="72" s="1"/>
  <c r="S23" i="33"/>
  <c r="U9" i="21"/>
  <c r="W17" i="21"/>
  <c r="C7" i="43"/>
  <c r="O9" i="1"/>
  <c r="P9" i="1" s="1"/>
  <c r="U34" i="33"/>
  <c r="AB34" i="33"/>
  <c r="U20" i="36"/>
  <c r="AB20" i="36"/>
  <c r="H53" i="43"/>
  <c r="H56" i="43"/>
  <c r="H50" i="43"/>
  <c r="U31" i="37"/>
  <c r="AB31" i="37"/>
  <c r="AZ580" i="3"/>
  <c r="F32" i="67"/>
  <c r="F60" i="67" s="1"/>
  <c r="F30" i="68"/>
  <c r="F30" i="11"/>
  <c r="M18" i="15"/>
  <c r="U27" i="36"/>
  <c r="AB27" i="36"/>
  <c r="C23" i="12"/>
  <c r="AA11" i="39"/>
  <c r="D9" i="53"/>
  <c r="B25" i="72" s="1"/>
  <c r="B24" i="72"/>
  <c r="AA39" i="33"/>
  <c r="S39" i="33"/>
  <c r="BL497" i="3"/>
  <c r="AZ497" i="3" s="1"/>
  <c r="BQ5" i="3"/>
  <c r="F28" i="6" s="1"/>
  <c r="AZ535" i="3"/>
  <c r="AZ546" i="3"/>
  <c r="AZ532" i="3"/>
  <c r="AZ527" i="3"/>
  <c r="S41" i="34"/>
  <c r="AA41" i="34"/>
  <c r="P11" i="1"/>
  <c r="U35" i="34"/>
  <c r="AB35" i="34"/>
  <c r="AB19" i="37"/>
  <c r="U19" i="37"/>
  <c r="C28" i="15"/>
  <c r="U20" i="35"/>
  <c r="AB20" i="35"/>
  <c r="AA33" i="40"/>
  <c r="S33" i="40"/>
  <c r="AC11" i="40"/>
  <c r="W11" i="40"/>
  <c r="AB32" i="33"/>
  <c r="U32" i="33"/>
  <c r="U34" i="21"/>
  <c r="AB34" i="21"/>
  <c r="J9" i="33"/>
  <c r="H9" i="33"/>
  <c r="F9" i="33"/>
  <c r="BE5" i="3"/>
  <c r="AZ581" i="3"/>
  <c r="W33" i="37"/>
  <c r="AC33" i="37"/>
  <c r="AA40" i="21"/>
  <c r="S40" i="21"/>
  <c r="BG5" i="3"/>
  <c r="AA14" i="33"/>
  <c r="H13" i="21"/>
  <c r="J13" i="21"/>
  <c r="W38" i="34"/>
  <c r="AC38" i="34"/>
  <c r="AZ558" i="3"/>
  <c r="AA45" i="34"/>
  <c r="S32" i="37"/>
  <c r="AA32" i="40"/>
  <c r="U43" i="33"/>
  <c r="S45" i="33"/>
  <c r="AA45" i="33"/>
  <c r="AB23" i="40"/>
  <c r="U23" i="40"/>
  <c r="F13" i="39"/>
  <c r="J13" i="39"/>
  <c r="H13" i="39"/>
  <c r="AB34" i="40"/>
  <c r="U34" i="40"/>
  <c r="W39" i="34"/>
  <c r="BN5" i="3"/>
  <c r="G29" i="6" s="1"/>
  <c r="AZ553" i="3"/>
  <c r="S8" i="36"/>
  <c r="AA8" i="36"/>
  <c r="AA31" i="21"/>
  <c r="W28" i="34"/>
  <c r="AC28" i="34"/>
  <c r="AA28" i="34"/>
  <c r="S28" i="34"/>
  <c r="H38" i="37"/>
  <c r="J38" i="37"/>
  <c r="AZ548" i="3"/>
  <c r="AZ545" i="3"/>
  <c r="AZ543" i="3"/>
  <c r="AZ537" i="3"/>
  <c r="AZ534" i="3"/>
  <c r="BI5" i="3"/>
  <c r="BM5" i="3"/>
  <c r="BL531" i="3"/>
  <c r="AZ531" i="3" s="1"/>
  <c r="G531" i="3"/>
  <c r="H5" i="3"/>
  <c r="AZ529" i="3"/>
  <c r="BK5" i="3"/>
  <c r="BA528" i="3"/>
  <c r="AZ528" i="3" s="1"/>
  <c r="AC5" i="3"/>
  <c r="AB35" i="33"/>
  <c r="U35" i="33"/>
  <c r="S9" i="34"/>
  <c r="AA9" i="34"/>
  <c r="J13" i="36"/>
  <c r="F13" i="36"/>
  <c r="H13" i="36"/>
  <c r="AZ574" i="3"/>
  <c r="AZ572" i="3"/>
  <c r="AZ495" i="3"/>
  <c r="F30" i="33"/>
  <c r="J30" i="33"/>
  <c r="H30" i="33"/>
  <c r="H36" i="35"/>
  <c r="F36" i="35"/>
  <c r="J36" i="35"/>
  <c r="J25" i="37"/>
  <c r="F25" i="37"/>
  <c r="H25" i="37"/>
  <c r="S35" i="33"/>
  <c r="BD5" i="3"/>
  <c r="AZ525" i="3"/>
  <c r="AA14" i="40"/>
  <c r="S14" i="40"/>
  <c r="AB8" i="33"/>
  <c r="AC44" i="34"/>
  <c r="AZ499" i="3"/>
  <c r="S10" i="36"/>
  <c r="AA10" i="36"/>
  <c r="W19" i="39"/>
  <c r="U35" i="21"/>
  <c r="BH5" i="3"/>
  <c r="AZ379" i="3"/>
  <c r="AZ304" i="3"/>
  <c r="AZ582" i="3"/>
  <c r="AC11" i="36"/>
  <c r="AB12" i="35"/>
  <c r="U12" i="35"/>
  <c r="H28" i="37"/>
  <c r="J28" i="37"/>
  <c r="F27" i="37"/>
  <c r="U23" i="34"/>
  <c r="AB23" i="34"/>
  <c r="H14" i="34"/>
  <c r="J14" i="34"/>
  <c r="W40" i="40"/>
  <c r="AZ471" i="3"/>
  <c r="H9" i="36"/>
  <c r="F9" i="36"/>
  <c r="AC8" i="34"/>
  <c r="W8" i="34"/>
  <c r="J39" i="37"/>
  <c r="F39" i="37"/>
  <c r="H39" i="37"/>
  <c r="W23" i="39"/>
  <c r="H11" i="36"/>
  <c r="H34" i="35"/>
  <c r="F34" i="35"/>
  <c r="H26" i="37"/>
  <c r="F26" i="37"/>
  <c r="AC8" i="39"/>
  <c r="BL544" i="3"/>
  <c r="AZ544" i="3" s="1"/>
  <c r="W28" i="36"/>
  <c r="AC28" i="36"/>
  <c r="H12" i="36"/>
  <c r="F12" i="36"/>
  <c r="J24" i="36"/>
  <c r="F24" i="36"/>
  <c r="W31" i="34"/>
  <c r="AA15" i="34"/>
  <c r="S15" i="34"/>
  <c r="AC39" i="33"/>
  <c r="J34" i="35"/>
  <c r="U8" i="36"/>
  <c r="H34" i="36"/>
  <c r="F34" i="36"/>
  <c r="J31" i="39"/>
  <c r="F31" i="39"/>
  <c r="AB27" i="37"/>
  <c r="AA14" i="37"/>
  <c r="BL586" i="3"/>
  <c r="AZ586" i="3" s="1"/>
  <c r="H45" i="39"/>
  <c r="F45" i="39"/>
  <c r="AZ513" i="3"/>
  <c r="AB30" i="21"/>
  <c r="AA27" i="35"/>
  <c r="H24" i="36"/>
  <c r="W45" i="39"/>
  <c r="AC45" i="39"/>
  <c r="G587" i="3"/>
  <c r="J12" i="34"/>
  <c r="H12" i="34"/>
  <c r="F12" i="34"/>
  <c r="J9" i="36"/>
  <c r="AA44" i="39"/>
  <c r="F40" i="40"/>
  <c r="AC32" i="40"/>
  <c r="W32" i="40"/>
  <c r="J27" i="37"/>
  <c r="G586" i="3"/>
  <c r="H40" i="40"/>
  <c r="G552" i="3"/>
  <c r="BA551" i="3"/>
  <c r="AZ551" i="3" s="1"/>
  <c r="G526" i="3"/>
  <c r="G570" i="3"/>
  <c r="AZ478" i="3"/>
  <c r="AZ445" i="3"/>
  <c r="AZ460" i="3"/>
  <c r="AZ481" i="3"/>
  <c r="AZ406" i="3"/>
  <c r="AZ434" i="3"/>
  <c r="AZ459" i="3"/>
  <c r="BL550" i="3"/>
  <c r="AZ550" i="3" s="1"/>
  <c r="AZ414" i="3"/>
  <c r="AZ432" i="3"/>
  <c r="AZ400" i="3"/>
  <c r="AZ453" i="3"/>
  <c r="AZ485" i="3"/>
  <c r="O8" i="1"/>
  <c r="P8" i="1" s="1"/>
  <c r="AZ452" i="3"/>
  <c r="AZ404" i="3"/>
  <c r="AZ423" i="3"/>
  <c r="AZ436" i="3"/>
  <c r="AZ486" i="3"/>
  <c r="BA466" i="3"/>
  <c r="AZ466" i="3" s="1"/>
  <c r="BL475" i="3"/>
  <c r="AZ475" i="3" s="1"/>
  <c r="G491" i="3"/>
  <c r="BA315" i="3"/>
  <c r="AZ315" i="3" s="1"/>
  <c r="G347" i="3"/>
  <c r="BL353" i="3"/>
  <c r="AZ353" i="3" s="1"/>
  <c r="BL354" i="3"/>
  <c r="AZ354" i="3" s="1"/>
  <c r="BA374" i="3"/>
  <c r="AZ374" i="3" s="1"/>
  <c r="BL375" i="3"/>
  <c r="AZ375" i="3" s="1"/>
  <c r="BA386" i="3"/>
  <c r="AZ386" i="3" s="1"/>
  <c r="BL212" i="3"/>
  <c r="BA235" i="3"/>
  <c r="AZ235" i="3" s="1"/>
  <c r="BA237" i="3"/>
  <c r="AZ237" i="3" s="1"/>
  <c r="BL238" i="3"/>
  <c r="BL258" i="3"/>
  <c r="AZ258" i="3" s="1"/>
  <c r="AZ262" i="3"/>
  <c r="BA267" i="3"/>
  <c r="AZ267" i="3" s="1"/>
  <c r="G282" i="3"/>
  <c r="BA125" i="3"/>
  <c r="AZ125" i="3" s="1"/>
  <c r="AZ145" i="3"/>
  <c r="BA416" i="3"/>
  <c r="G431" i="3"/>
  <c r="G444" i="3"/>
  <c r="G452" i="3"/>
  <c r="BL476" i="3"/>
  <c r="AZ476" i="3" s="1"/>
  <c r="G481" i="3"/>
  <c r="BL487" i="3"/>
  <c r="AZ487" i="3" s="1"/>
  <c r="BL488" i="3"/>
  <c r="AZ488" i="3" s="1"/>
  <c r="BL332" i="3"/>
  <c r="AZ332" i="3" s="1"/>
  <c r="G345" i="3"/>
  <c r="AZ210" i="3"/>
  <c r="AZ211" i="3"/>
  <c r="BA212" i="3"/>
  <c r="AZ212" i="3" s="1"/>
  <c r="BA234" i="3"/>
  <c r="BA238" i="3"/>
  <c r="BL257" i="3"/>
  <c r="AZ257" i="3" s="1"/>
  <c r="AZ153" i="3"/>
  <c r="AZ422" i="3"/>
  <c r="AZ395" i="3"/>
  <c r="AZ397" i="3"/>
  <c r="AZ231" i="3"/>
  <c r="G410" i="3"/>
  <c r="BL429" i="3"/>
  <c r="BL442" i="3"/>
  <c r="BL450" i="3"/>
  <c r="BA331" i="3"/>
  <c r="AZ331" i="3" s="1"/>
  <c r="BA350" i="3"/>
  <c r="AZ350" i="3" s="1"/>
  <c r="BL367" i="3"/>
  <c r="AZ252" i="3"/>
  <c r="BA255" i="3"/>
  <c r="AZ255" i="3" s="1"/>
  <c r="BL408" i="3"/>
  <c r="AZ408" i="3" s="1"/>
  <c r="BA413" i="3"/>
  <c r="AZ413" i="3" s="1"/>
  <c r="BL430" i="3"/>
  <c r="AZ430" i="3" s="1"/>
  <c r="BA442" i="3"/>
  <c r="AZ442" i="3" s="1"/>
  <c r="BL443" i="3"/>
  <c r="AZ443" i="3" s="1"/>
  <c r="BA450" i="3"/>
  <c r="BL451" i="3"/>
  <c r="AZ451" i="3" s="1"/>
  <c r="BL458" i="3"/>
  <c r="AZ458" i="3" s="1"/>
  <c r="BL479" i="3"/>
  <c r="BL480" i="3"/>
  <c r="G485" i="3"/>
  <c r="BL492" i="3"/>
  <c r="AZ492" i="3" s="1"/>
  <c r="BA349" i="3"/>
  <c r="AZ349" i="3" s="1"/>
  <c r="BA367" i="3"/>
  <c r="AZ219" i="3"/>
  <c r="BA222" i="3"/>
  <c r="AZ222" i="3" s="1"/>
  <c r="AZ113" i="3"/>
  <c r="BA429" i="3"/>
  <c r="BL471" i="3"/>
  <c r="BA303" i="3"/>
  <c r="AZ303" i="3" s="1"/>
  <c r="BL324" i="3"/>
  <c r="AZ324" i="3" s="1"/>
  <c r="BA366" i="3"/>
  <c r="AZ366" i="3" s="1"/>
  <c r="BA218" i="3"/>
  <c r="AZ218" i="3" s="1"/>
  <c r="BA116" i="3"/>
  <c r="AZ116" i="3" s="1"/>
  <c r="BA479" i="3"/>
  <c r="BA480" i="3"/>
  <c r="BA491" i="3"/>
  <c r="AZ491" i="3" s="1"/>
  <c r="BA323" i="3"/>
  <c r="AZ323" i="3" s="1"/>
  <c r="BA348" i="3"/>
  <c r="AZ348" i="3" s="1"/>
  <c r="BA392" i="3"/>
  <c r="AZ392" i="3" s="1"/>
  <c r="BL215" i="3"/>
  <c r="AZ215" i="3" s="1"/>
  <c r="BA226" i="3"/>
  <c r="AZ226" i="3" s="1"/>
  <c r="BL240" i="3"/>
  <c r="AZ240" i="3" s="1"/>
  <c r="AZ247" i="3"/>
  <c r="BA249" i="3"/>
  <c r="BL271" i="3"/>
  <c r="AZ271" i="3" s="1"/>
  <c r="G289" i="3"/>
  <c r="BL292" i="3"/>
  <c r="BL438" i="3"/>
  <c r="BA470" i="3"/>
  <c r="AZ470" i="3" s="1"/>
  <c r="AZ221" i="3"/>
  <c r="BA275" i="3"/>
  <c r="AZ275" i="3" s="1"/>
  <c r="BL425" i="3"/>
  <c r="AZ425" i="3" s="1"/>
  <c r="G457" i="3"/>
  <c r="G477" i="3"/>
  <c r="BL483" i="3"/>
  <c r="BL484" i="3"/>
  <c r="G489" i="3"/>
  <c r="BL316" i="3"/>
  <c r="BL317" i="3"/>
  <c r="AZ317" i="3" s="1"/>
  <c r="BL340" i="3"/>
  <c r="AZ340" i="3" s="1"/>
  <c r="BL359" i="3"/>
  <c r="AZ359" i="3" s="1"/>
  <c r="BA214" i="3"/>
  <c r="AZ214" i="3" s="1"/>
  <c r="BA216" i="3"/>
  <c r="AZ216" i="3" s="1"/>
  <c r="BA217" i="3"/>
  <c r="AZ217" i="3" s="1"/>
  <c r="BA241" i="3"/>
  <c r="AZ241" i="3" s="1"/>
  <c r="BA243" i="3"/>
  <c r="AZ243" i="3" s="1"/>
  <c r="BA248" i="3"/>
  <c r="AZ248" i="3" s="1"/>
  <c r="BA280" i="3"/>
  <c r="AZ280" i="3" s="1"/>
  <c r="AZ294" i="3"/>
  <c r="BA438" i="3"/>
  <c r="BL446" i="3"/>
  <c r="BL454" i="3"/>
  <c r="BL467" i="3"/>
  <c r="AZ467" i="3" s="1"/>
  <c r="BA319" i="3"/>
  <c r="AZ319" i="3" s="1"/>
  <c r="BA213" i="3"/>
  <c r="AZ213" i="3" s="1"/>
  <c r="BA239" i="3"/>
  <c r="AZ239" i="3" s="1"/>
  <c r="BA244" i="3"/>
  <c r="AZ244" i="3" s="1"/>
  <c r="BL269" i="3"/>
  <c r="BA270" i="3"/>
  <c r="AZ270" i="3" s="1"/>
  <c r="BA433" i="3"/>
  <c r="AZ433" i="3" s="1"/>
  <c r="BA446" i="3"/>
  <c r="BL447" i="3"/>
  <c r="BA454" i="3"/>
  <c r="BL455" i="3"/>
  <c r="AZ455" i="3" s="1"/>
  <c r="BA483" i="3"/>
  <c r="AZ483" i="3" s="1"/>
  <c r="BA484" i="3"/>
  <c r="AZ484" i="3" s="1"/>
  <c r="BA316" i="3"/>
  <c r="BA339" i="3"/>
  <c r="AZ339" i="3" s="1"/>
  <c r="BA358" i="3"/>
  <c r="AZ358" i="3" s="1"/>
  <c r="BL209" i="3"/>
  <c r="AZ282" i="3"/>
  <c r="BA259" i="3"/>
  <c r="G262" i="3"/>
  <c r="G291" i="3"/>
  <c r="BA298" i="3"/>
  <c r="BL154" i="3"/>
  <c r="AZ154" i="3" s="1"/>
  <c r="BL155" i="3"/>
  <c r="AZ155" i="3" s="1"/>
  <c r="BA157" i="3"/>
  <c r="AZ157" i="3" s="1"/>
  <c r="BA158" i="3"/>
  <c r="AZ158" i="3" s="1"/>
  <c r="BA160" i="3"/>
  <c r="AZ160" i="3" s="1"/>
  <c r="BL162" i="3"/>
  <c r="AZ162" i="3" s="1"/>
  <c r="BA170" i="3"/>
  <c r="BL181" i="3"/>
  <c r="AZ181" i="3" s="1"/>
  <c r="BL182" i="3"/>
  <c r="AZ25" i="3"/>
  <c r="BL28" i="3"/>
  <c r="BA34" i="3"/>
  <c r="BA78" i="3"/>
  <c r="AZ78" i="3" s="1"/>
  <c r="BL105" i="3"/>
  <c r="X19" i="71"/>
  <c r="X20" i="71"/>
  <c r="B21" i="71"/>
  <c r="S21" i="71" s="1"/>
  <c r="X16" i="71"/>
  <c r="BA254" i="3"/>
  <c r="AZ254" i="3" s="1"/>
  <c r="BL274" i="3"/>
  <c r="BA156" i="3"/>
  <c r="AZ156" i="3" s="1"/>
  <c r="BA176" i="3"/>
  <c r="AZ176" i="3" s="1"/>
  <c r="BL189" i="3"/>
  <c r="BA197" i="3"/>
  <c r="AZ197" i="3" s="1"/>
  <c r="BA18" i="3"/>
  <c r="AZ22" i="3"/>
  <c r="BA42" i="3"/>
  <c r="AZ42" i="3" s="1"/>
  <c r="BA73" i="3"/>
  <c r="AZ81" i="3"/>
  <c r="BL249" i="3"/>
  <c r="BA281" i="3"/>
  <c r="AZ281" i="3" s="1"/>
  <c r="BL289" i="3"/>
  <c r="AZ289" i="3" s="1"/>
  <c r="BA300" i="3"/>
  <c r="AZ300" i="3" s="1"/>
  <c r="BL113" i="3"/>
  <c r="BL117" i="3"/>
  <c r="AZ117" i="3" s="1"/>
  <c r="G130" i="3"/>
  <c r="BL178" i="3"/>
  <c r="BA189" i="3"/>
  <c r="AZ189" i="3" s="1"/>
  <c r="BA196" i="3"/>
  <c r="AZ196" i="3" s="1"/>
  <c r="BL201" i="3"/>
  <c r="BL202" i="3"/>
  <c r="AZ202" i="3" s="1"/>
  <c r="BA206" i="3"/>
  <c r="AZ206" i="3" s="1"/>
  <c r="BA207" i="3"/>
  <c r="AZ207" i="3" s="1"/>
  <c r="BA24" i="3"/>
  <c r="BL46" i="3"/>
  <c r="BL54" i="3"/>
  <c r="AZ68" i="3"/>
  <c r="BA71" i="3"/>
  <c r="BA274" i="3"/>
  <c r="AZ274" i="3" s="1"/>
  <c r="BA302" i="3"/>
  <c r="AZ302" i="3" s="1"/>
  <c r="BA205" i="3"/>
  <c r="AZ205" i="3" s="1"/>
  <c r="AZ54" i="3"/>
  <c r="BL291" i="3"/>
  <c r="AZ291" i="3" s="1"/>
  <c r="BL199" i="3"/>
  <c r="AZ199" i="3" s="1"/>
  <c r="AZ60" i="3"/>
  <c r="BA70" i="3"/>
  <c r="AZ70" i="3" s="1"/>
  <c r="AZ92" i="3"/>
  <c r="C24" i="71"/>
  <c r="D23" i="71"/>
  <c r="BL239" i="3"/>
  <c r="BL123" i="3"/>
  <c r="AZ123" i="3" s="1"/>
  <c r="BL131" i="3"/>
  <c r="AZ131" i="3" s="1"/>
  <c r="G163" i="3"/>
  <c r="BA177" i="3"/>
  <c r="AZ177" i="3" s="1"/>
  <c r="BL179" i="3"/>
  <c r="AZ179" i="3" s="1"/>
  <c r="AZ201" i="3"/>
  <c r="AZ46" i="3"/>
  <c r="BA269" i="3"/>
  <c r="G272" i="3"/>
  <c r="BA276" i="3"/>
  <c r="G286" i="3"/>
  <c r="BA290" i="3"/>
  <c r="AZ290" i="3" s="1"/>
  <c r="BL293" i="3"/>
  <c r="BA114" i="3"/>
  <c r="AZ114" i="3" s="1"/>
  <c r="BA124" i="3"/>
  <c r="AZ124" i="3" s="1"/>
  <c r="BA126" i="3"/>
  <c r="AZ126" i="3" s="1"/>
  <c r="BL133" i="3"/>
  <c r="AZ133" i="3" s="1"/>
  <c r="BL135" i="3"/>
  <c r="AZ135" i="3" s="1"/>
  <c r="G146" i="3"/>
  <c r="G150" i="3"/>
  <c r="BA198" i="3"/>
  <c r="AZ198" i="3" s="1"/>
  <c r="BL36" i="3"/>
  <c r="BL43" i="3"/>
  <c r="BA51" i="3"/>
  <c r="AZ51" i="3" s="1"/>
  <c r="BA57" i="3"/>
  <c r="AZ57" i="3" s="1"/>
  <c r="AZ65" i="3"/>
  <c r="BL234" i="3"/>
  <c r="BA120" i="3"/>
  <c r="AZ120" i="3" s="1"/>
  <c r="BL122" i="3"/>
  <c r="BA129" i="3"/>
  <c r="BA130" i="3"/>
  <c r="AZ130" i="3" s="1"/>
  <c r="BL139" i="3"/>
  <c r="AZ139" i="3" s="1"/>
  <c r="BL169" i="3"/>
  <c r="BL191" i="3"/>
  <c r="AZ191" i="3" s="1"/>
  <c r="BA37" i="3"/>
  <c r="BA43" i="3"/>
  <c r="AZ43" i="3" s="1"/>
  <c r="AZ90" i="3"/>
  <c r="BL264" i="3"/>
  <c r="BA293" i="3"/>
  <c r="BA122" i="3"/>
  <c r="BA134" i="3"/>
  <c r="AZ134" i="3" s="1"/>
  <c r="BL163" i="3"/>
  <c r="AZ163" i="3" s="1"/>
  <c r="BL165" i="3"/>
  <c r="AZ165" i="3" s="1"/>
  <c r="BA172" i="3"/>
  <c r="AZ172" i="3" s="1"/>
  <c r="BA178" i="3"/>
  <c r="BA185" i="3"/>
  <c r="AZ185" i="3" s="1"/>
  <c r="BL31" i="3"/>
  <c r="AZ31" i="3" s="1"/>
  <c r="BL32" i="3"/>
  <c r="AZ32" i="3" s="1"/>
  <c r="AZ87" i="3"/>
  <c r="BL229" i="3"/>
  <c r="AZ229" i="3" s="1"/>
  <c r="G281" i="3"/>
  <c r="BL295" i="3"/>
  <c r="BA137" i="3"/>
  <c r="AZ137" i="3" s="1"/>
  <c r="BA138" i="3"/>
  <c r="AZ138" i="3" s="1"/>
  <c r="BL147" i="3"/>
  <c r="AZ147" i="3" s="1"/>
  <c r="BA169" i="3"/>
  <c r="AZ169" i="3" s="1"/>
  <c r="BA35" i="3"/>
  <c r="AZ35" i="3" s="1"/>
  <c r="BA44" i="3"/>
  <c r="BA79" i="3"/>
  <c r="AZ79" i="3" s="1"/>
  <c r="BA264" i="3"/>
  <c r="G274" i="3"/>
  <c r="BL286" i="3"/>
  <c r="AZ286" i="3" s="1"/>
  <c r="BA295" i="3"/>
  <c r="BA296" i="3"/>
  <c r="AZ296" i="3" s="1"/>
  <c r="BL298" i="3"/>
  <c r="G116" i="3"/>
  <c r="BA141" i="3"/>
  <c r="AZ141" i="3" s="1"/>
  <c r="BA142" i="3"/>
  <c r="AZ142" i="3" s="1"/>
  <c r="BL146" i="3"/>
  <c r="AZ146" i="3" s="1"/>
  <c r="BL149" i="3"/>
  <c r="AZ149" i="3" s="1"/>
  <c r="BL150" i="3"/>
  <c r="AZ150" i="3" s="1"/>
  <c r="BL159" i="3"/>
  <c r="AZ159" i="3" s="1"/>
  <c r="BL161" i="3"/>
  <c r="AZ161" i="3" s="1"/>
  <c r="BA168" i="3"/>
  <c r="AZ168" i="3" s="1"/>
  <c r="BL187" i="3"/>
  <c r="AZ187" i="3" s="1"/>
  <c r="BA190" i="3"/>
  <c r="AZ190" i="3" s="1"/>
  <c r="BA38" i="3"/>
  <c r="AZ38" i="3" s="1"/>
  <c r="BL47" i="3"/>
  <c r="AZ47" i="3" s="1"/>
  <c r="BA53" i="3"/>
  <c r="BA83" i="3"/>
  <c r="BL93" i="3"/>
  <c r="BA107" i="3"/>
  <c r="BA109" i="3"/>
  <c r="X5" i="71"/>
  <c r="Y12" i="71"/>
  <c r="Z12" i="71" s="1"/>
  <c r="X7" i="71"/>
  <c r="Y5" i="71"/>
  <c r="Z5" i="71" s="1"/>
  <c r="G206" i="3"/>
  <c r="G36" i="3"/>
  <c r="G51" i="3"/>
  <c r="BA61" i="3"/>
  <c r="AZ61" i="3" s="1"/>
  <c r="G80" i="3"/>
  <c r="BL86" i="3"/>
  <c r="AZ86" i="3" s="1"/>
  <c r="BA93" i="3"/>
  <c r="AZ93" i="3" s="1"/>
  <c r="S18" i="35"/>
  <c r="Y15" i="71"/>
  <c r="Z15" i="71" s="1"/>
  <c r="Y18" i="71"/>
  <c r="Z18" i="71" s="1"/>
  <c r="C21" i="71"/>
  <c r="Y17" i="71"/>
  <c r="Z17" i="71" s="1"/>
  <c r="Y10" i="71"/>
  <c r="Z10" i="71" s="1"/>
  <c r="Y20" i="71"/>
  <c r="Z20" i="71" s="1"/>
  <c r="Y14" i="71"/>
  <c r="Z14" i="71" s="1"/>
  <c r="C44" i="71"/>
  <c r="D43" i="71"/>
  <c r="T29" i="71"/>
  <c r="D29" i="71"/>
  <c r="C15" i="71"/>
  <c r="D15" i="71" s="1"/>
  <c r="D16" i="71"/>
  <c r="C32" i="71"/>
  <c r="D31" i="71"/>
  <c r="Y11" i="71"/>
  <c r="Z11" i="71" s="1"/>
  <c r="Y6" i="71"/>
  <c r="Z6" i="71" s="1"/>
  <c r="AB5" i="71"/>
  <c r="BA194" i="3"/>
  <c r="AZ194" i="3" s="1"/>
  <c r="BL34" i="3"/>
  <c r="BL42" i="3"/>
  <c r="BL63" i="3"/>
  <c r="BL78" i="3"/>
  <c r="G91" i="3"/>
  <c r="I15" i="66"/>
  <c r="D1" i="66" s="1"/>
  <c r="E10" i="66" s="1"/>
  <c r="AC18" i="36"/>
  <c r="W18" i="36"/>
  <c r="X11" i="71"/>
  <c r="BA56" i="3"/>
  <c r="AZ56" i="3" s="1"/>
  <c r="BL89" i="3"/>
  <c r="AZ89" i="3" s="1"/>
  <c r="BA95" i="3"/>
  <c r="AZ95" i="3" s="1"/>
  <c r="C53" i="71"/>
  <c r="D52" i="71"/>
  <c r="AA5" i="71"/>
  <c r="BL186" i="3"/>
  <c r="AZ186" i="3" s="1"/>
  <c r="G31" i="3"/>
  <c r="BA63" i="3"/>
  <c r="AZ63" i="3" s="1"/>
  <c r="BL71" i="3"/>
  <c r="BA88" i="3"/>
  <c r="AZ88" i="3" s="1"/>
  <c r="D22" i="67"/>
  <c r="D23" i="67"/>
  <c r="AB21" i="33"/>
  <c r="AA11" i="71"/>
  <c r="AA10" i="71"/>
  <c r="AB7" i="71"/>
  <c r="BA28" i="3"/>
  <c r="AZ28" i="3" s="1"/>
  <c r="BL29" i="3"/>
  <c r="AZ29" i="3" s="1"/>
  <c r="G39" i="3"/>
  <c r="BL44" i="3"/>
  <c r="G54" i="3"/>
  <c r="BL58" i="3"/>
  <c r="G75" i="3"/>
  <c r="G100" i="3"/>
  <c r="BA104" i="3"/>
  <c r="AZ104" i="3" s="1"/>
  <c r="G109" i="3"/>
  <c r="C36" i="71"/>
  <c r="D36" i="71" s="1"/>
  <c r="AB18" i="71"/>
  <c r="F19" i="71"/>
  <c r="F20" i="71" s="1"/>
  <c r="F21" i="71" s="1"/>
  <c r="V21" i="71" s="1"/>
  <c r="AA21" i="71"/>
  <c r="X15" i="71"/>
  <c r="AA6" i="71"/>
  <c r="BL81" i="3"/>
  <c r="BL98" i="3"/>
  <c r="BA105" i="3"/>
  <c r="AC21" i="33"/>
  <c r="AB21" i="21"/>
  <c r="U21" i="21"/>
  <c r="Y13" i="71"/>
  <c r="Z13" i="71" s="1"/>
  <c r="AA12" i="71"/>
  <c r="AB10" i="71"/>
  <c r="X6" i="71"/>
  <c r="BL37" i="3"/>
  <c r="BA58" i="3"/>
  <c r="BL73" i="3"/>
  <c r="AZ98" i="3"/>
  <c r="AB21" i="34"/>
  <c r="U21" i="34"/>
  <c r="BA23" i="3"/>
  <c r="AZ23" i="3" s="1"/>
  <c r="BL24" i="3"/>
  <c r="G41" i="3"/>
  <c r="G49" i="3"/>
  <c r="BL66" i="3"/>
  <c r="AZ66" i="3" s="1"/>
  <c r="BL83" i="3"/>
  <c r="G86" i="3"/>
  <c r="BA91" i="3"/>
  <c r="AZ91" i="3" s="1"/>
  <c r="G103" i="3"/>
  <c r="BL107" i="3"/>
  <c r="Y19" i="71"/>
  <c r="Z19" i="71" s="1"/>
  <c r="AB14" i="71"/>
  <c r="BL39" i="3"/>
  <c r="AZ39" i="3" s="1"/>
  <c r="BL108" i="3"/>
  <c r="AZ108" i="3" s="1"/>
  <c r="W29" i="39"/>
  <c r="S21" i="34"/>
  <c r="AA21" i="34"/>
  <c r="AB17" i="71"/>
  <c r="F17" i="71"/>
  <c r="F16" i="71" s="1"/>
  <c r="F15" i="71" s="1"/>
  <c r="B23" i="71"/>
  <c r="B24" i="71" s="1"/>
  <c r="B25" i="71" s="1"/>
  <c r="S25" i="71" s="1"/>
  <c r="X21" i="71"/>
  <c r="AB12" i="71"/>
  <c r="AJ10" i="43"/>
  <c r="P74" i="15"/>
  <c r="S29" i="39"/>
  <c r="AA15" i="71"/>
  <c r="E64" i="71"/>
  <c r="E63" i="71" s="1"/>
  <c r="X18" i="71"/>
  <c r="V57" i="71"/>
  <c r="B60" i="71"/>
  <c r="B59" i="71" s="1"/>
  <c r="S65" i="71"/>
  <c r="AA12" i="43"/>
  <c r="AG12" i="43"/>
  <c r="P61" i="67"/>
  <c r="Y7" i="71"/>
  <c r="Z7" i="71" s="1"/>
  <c r="AA7" i="71"/>
  <c r="AA24" i="71"/>
  <c r="AB23" i="71"/>
  <c r="F27" i="71"/>
  <c r="F28" i="71" s="1"/>
  <c r="F29" i="71" s="1"/>
  <c r="V29" i="71" s="1"/>
  <c r="D47" i="71"/>
  <c r="B17" i="71"/>
  <c r="X24" i="71"/>
  <c r="AA19" i="71"/>
  <c r="AA26" i="71"/>
  <c r="AC12" i="43"/>
  <c r="AA13" i="71"/>
  <c r="AB25" i="71"/>
  <c r="X13" i="71"/>
  <c r="X10" i="71"/>
  <c r="Q57" i="71"/>
  <c r="E12" i="71"/>
  <c r="E11" i="71" s="1"/>
  <c r="E10" i="71" s="1"/>
  <c r="E9" i="71" s="1"/>
  <c r="AB22" i="71"/>
  <c r="Y21" i="71"/>
  <c r="Z21" i="71" s="1"/>
  <c r="AB13" i="71"/>
  <c r="AB6" i="71"/>
  <c r="W21" i="34"/>
  <c r="E56" i="71"/>
  <c r="U57" i="71"/>
  <c r="F59" i="15"/>
  <c r="M17" i="15"/>
  <c r="M17" i="67"/>
  <c r="F59" i="67"/>
  <c r="D7" i="73"/>
  <c r="D4" i="73"/>
  <c r="J15" i="15"/>
  <c r="F37" i="15"/>
  <c r="D6" i="73"/>
  <c r="M6" i="15"/>
  <c r="M24" i="15"/>
  <c r="F6" i="15"/>
  <c r="C16" i="15"/>
  <c r="C16" i="67"/>
  <c r="G1" i="73"/>
  <c r="F8" i="15"/>
  <c r="C16" i="78"/>
  <c r="C14" i="67"/>
  <c r="C76" i="15"/>
  <c r="C17" i="67"/>
  <c r="Q71" i="15" l="1"/>
  <c r="F51" i="15"/>
  <c r="C49" i="15" s="1"/>
  <c r="C6" i="15"/>
  <c r="C32" i="15" s="1"/>
  <c r="F65" i="15"/>
  <c r="E20" i="43"/>
  <c r="N28" i="43" s="1"/>
  <c r="O7" i="1"/>
  <c r="P7" i="1" s="1"/>
  <c r="D72" i="71"/>
  <c r="C71" i="71"/>
  <c r="D71" i="71" s="1"/>
  <c r="AZ439" i="3"/>
  <c r="AZ463" i="3"/>
  <c r="AZ122" i="3"/>
  <c r="AZ74" i="3"/>
  <c r="S31" i="33"/>
  <c r="AA31" i="33"/>
  <c r="W28" i="21"/>
  <c r="AC28" i="21"/>
  <c r="AZ71" i="3"/>
  <c r="AZ69" i="3"/>
  <c r="AA28" i="21"/>
  <c r="S28" i="21"/>
  <c r="AZ416" i="3"/>
  <c r="AZ106" i="3"/>
  <c r="AZ385" i="3"/>
  <c r="AZ220" i="3"/>
  <c r="AZ420" i="3"/>
  <c r="AZ444" i="3"/>
  <c r="AZ276" i="3"/>
  <c r="AZ84" i="3"/>
  <c r="AZ279" i="3"/>
  <c r="AZ99" i="3"/>
  <c r="AZ27" i="3"/>
  <c r="AZ285" i="3"/>
  <c r="AZ587" i="3"/>
  <c r="AZ246" i="3"/>
  <c r="AZ482" i="3"/>
  <c r="AA43" i="39"/>
  <c r="S43" i="39"/>
  <c r="S14" i="39"/>
  <c r="AA14" i="39"/>
  <c r="AZ109" i="3"/>
  <c r="AZ480" i="3"/>
  <c r="AZ97" i="3"/>
  <c r="AZ437" i="3"/>
  <c r="AZ269" i="3"/>
  <c r="AZ182" i="3"/>
  <c r="AZ259" i="3"/>
  <c r="AZ261" i="3"/>
  <c r="S46" i="34"/>
  <c r="AA46" i="34"/>
  <c r="U26" i="35"/>
  <c r="AB26" i="35"/>
  <c r="AZ53" i="3"/>
  <c r="H7" i="34"/>
  <c r="W32" i="39"/>
  <c r="D68" i="71"/>
  <c r="C67" i="71"/>
  <c r="D67" i="71" s="1"/>
  <c r="C11" i="71"/>
  <c r="D12" i="71"/>
  <c r="AZ72" i="3"/>
  <c r="AZ409" i="3"/>
  <c r="AC29" i="21"/>
  <c r="W29" i="21"/>
  <c r="D6" i="52"/>
  <c r="D121" i="9"/>
  <c r="D7" i="52" s="1"/>
  <c r="K120" i="9"/>
  <c r="A18" i="62" s="1"/>
  <c r="B64" i="72" s="1"/>
  <c r="S38" i="40"/>
  <c r="AA38" i="40"/>
  <c r="AZ264" i="3"/>
  <c r="AZ129" i="3"/>
  <c r="AZ170" i="3"/>
  <c r="AZ209" i="3"/>
  <c r="F7" i="37"/>
  <c r="S7" i="37" s="1"/>
  <c r="AZ20" i="3"/>
  <c r="AZ256" i="3"/>
  <c r="AZ567" i="3"/>
  <c r="D49" i="71"/>
  <c r="T49" i="71"/>
  <c r="AB29" i="21"/>
  <c r="U29" i="21"/>
  <c r="AC26" i="35"/>
  <c r="W26" i="35"/>
  <c r="AC38" i="40"/>
  <c r="W38" i="40"/>
  <c r="G30" i="6"/>
  <c r="G31" i="6" s="1"/>
  <c r="U39" i="39"/>
  <c r="AZ288" i="3"/>
  <c r="C41" i="71"/>
  <c r="D40" i="71"/>
  <c r="AZ540" i="3"/>
  <c r="AB38" i="40"/>
  <c r="U38" i="40"/>
  <c r="AC46" i="34"/>
  <c r="W46" i="34"/>
  <c r="AZ450" i="3"/>
  <c r="J6" i="15"/>
  <c r="J18" i="15" s="1"/>
  <c r="AZ268" i="3"/>
  <c r="AZ208" i="3"/>
  <c r="AZ464" i="3"/>
  <c r="AZ468" i="3"/>
  <c r="AZ250" i="3"/>
  <c r="AB28" i="21"/>
  <c r="U28" i="21"/>
  <c r="AC37" i="39"/>
  <c r="W37" i="39"/>
  <c r="AC44" i="39"/>
  <c r="W44" i="39"/>
  <c r="U36" i="39"/>
  <c r="AB36" i="39"/>
  <c r="AA35" i="39"/>
  <c r="S35" i="39"/>
  <c r="C49" i="78"/>
  <c r="J18" i="78"/>
  <c r="M11" i="78"/>
  <c r="J10" i="78" s="1"/>
  <c r="J5" i="78" s="1"/>
  <c r="F11" i="78"/>
  <c r="C53" i="78" s="1"/>
  <c r="C33" i="78"/>
  <c r="C32" i="78"/>
  <c r="Q74" i="78"/>
  <c r="Q61" i="78"/>
  <c r="Q57" i="78"/>
  <c r="Q66" i="78"/>
  <c r="F1" i="78"/>
  <c r="Q52" i="78"/>
  <c r="Q60" i="78"/>
  <c r="Q73" i="78"/>
  <c r="H105" i="43"/>
  <c r="F109" i="43"/>
  <c r="L107" i="43"/>
  <c r="M104" i="43"/>
  <c r="F105" i="43"/>
  <c r="D109" i="43"/>
  <c r="F103" i="43"/>
  <c r="D106" i="43"/>
  <c r="D107" i="43"/>
  <c r="M103" i="43"/>
  <c r="M109" i="43"/>
  <c r="AC13" i="43"/>
  <c r="L103" i="43"/>
  <c r="L106" i="43"/>
  <c r="I107" i="43"/>
  <c r="I117" i="43"/>
  <c r="J117" i="43" s="1"/>
  <c r="K117" i="43" s="1"/>
  <c r="L117" i="43" s="1"/>
  <c r="M117" i="43" s="1"/>
  <c r="G107" i="43"/>
  <c r="I116" i="43"/>
  <c r="J116" i="43" s="1"/>
  <c r="K116" i="43" s="1"/>
  <c r="L116" i="43" s="1"/>
  <c r="M116" i="43" s="1"/>
  <c r="H104" i="43"/>
  <c r="H103" i="43"/>
  <c r="J107" i="43"/>
  <c r="H106" i="43"/>
  <c r="M106" i="43"/>
  <c r="M107" i="43"/>
  <c r="M105" i="43"/>
  <c r="G109" i="43"/>
  <c r="B118" i="43"/>
  <c r="C118" i="43" s="1"/>
  <c r="C102" i="43"/>
  <c r="I106" i="43"/>
  <c r="F27" i="6"/>
  <c r="E56" i="39"/>
  <c r="E51" i="40"/>
  <c r="C105" i="43"/>
  <c r="C107" i="43"/>
  <c r="D117" i="43"/>
  <c r="E117" i="43" s="1"/>
  <c r="F117" i="43" s="1"/>
  <c r="G117" i="43" s="1"/>
  <c r="H117" i="43" s="1"/>
  <c r="G103" i="43"/>
  <c r="B116" i="43"/>
  <c r="C116" i="43" s="1"/>
  <c r="AG13" i="43"/>
  <c r="I115" i="43"/>
  <c r="J115" i="43" s="1"/>
  <c r="K115" i="43" s="1"/>
  <c r="L115" i="43" s="1"/>
  <c r="M115" i="43" s="1"/>
  <c r="G102" i="43"/>
  <c r="C104" i="43"/>
  <c r="J105" i="43"/>
  <c r="I118" i="43"/>
  <c r="J118" i="43" s="1"/>
  <c r="K118" i="43" s="1"/>
  <c r="L118" i="43" s="1"/>
  <c r="M118" i="43" s="1"/>
  <c r="H102" i="43"/>
  <c r="J109" i="43"/>
  <c r="B115" i="43"/>
  <c r="C115" i="43" s="1"/>
  <c r="H107" i="43"/>
  <c r="D22" i="43"/>
  <c r="C106" i="43"/>
  <c r="C109" i="43"/>
  <c r="B117" i="43"/>
  <c r="C117" i="43" s="1"/>
  <c r="D115" i="43"/>
  <c r="E115" i="43" s="1"/>
  <c r="F115" i="43" s="1"/>
  <c r="G115" i="43" s="1"/>
  <c r="H115" i="43" s="1"/>
  <c r="F27" i="69"/>
  <c r="C47" i="69" s="1"/>
  <c r="D45" i="69" s="1"/>
  <c r="F28" i="12"/>
  <c r="C29" i="12" s="1"/>
  <c r="D28" i="12" s="1"/>
  <c r="E102" i="43"/>
  <c r="E106" i="43"/>
  <c r="E109" i="43"/>
  <c r="F102" i="43"/>
  <c r="G106" i="43"/>
  <c r="K109" i="43"/>
  <c r="K104" i="43"/>
  <c r="K107" i="43"/>
  <c r="K102" i="43"/>
  <c r="K106" i="43"/>
  <c r="K105" i="43"/>
  <c r="E107" i="43"/>
  <c r="I109" i="43"/>
  <c r="I105" i="43"/>
  <c r="D118" i="43"/>
  <c r="E118" i="43" s="1"/>
  <c r="F118" i="43" s="1"/>
  <c r="G118" i="43"/>
  <c r="H118" i="43" s="1"/>
  <c r="I102" i="43"/>
  <c r="AA13" i="43"/>
  <c r="F104" i="43"/>
  <c r="G104" i="43"/>
  <c r="L109" i="43"/>
  <c r="L102" i="43"/>
  <c r="L105" i="43"/>
  <c r="F106" i="43"/>
  <c r="I104" i="43"/>
  <c r="E103" i="43"/>
  <c r="J104" i="43"/>
  <c r="J102" i="43"/>
  <c r="J103" i="43"/>
  <c r="F27" i="11"/>
  <c r="C29" i="11" s="1"/>
  <c r="D27" i="11" s="1"/>
  <c r="E104" i="43"/>
  <c r="N102" i="43"/>
  <c r="N103" i="43"/>
  <c r="N105" i="43"/>
  <c r="N104" i="43"/>
  <c r="N106" i="43"/>
  <c r="N107" i="43"/>
  <c r="N109" i="43"/>
  <c r="F29" i="6"/>
  <c r="F30" i="6" s="1"/>
  <c r="F31" i="6" s="1"/>
  <c r="E13" i="6"/>
  <c r="E58" i="40" s="1"/>
  <c r="H10" i="39"/>
  <c r="U10" i="39" s="1"/>
  <c r="H10" i="40"/>
  <c r="U10" i="40" s="1"/>
  <c r="J10" i="39"/>
  <c r="AC10" i="39" s="1"/>
  <c r="F10" i="40"/>
  <c r="AA10" i="40" s="1"/>
  <c r="F10" i="39"/>
  <c r="AA10" i="39" s="1"/>
  <c r="C49" i="67"/>
  <c r="F63" i="40"/>
  <c r="E65" i="40"/>
  <c r="F7" i="21"/>
  <c r="AA7" i="21" s="1"/>
  <c r="R48" i="21" s="1"/>
  <c r="AC10" i="40"/>
  <c r="W10" i="40"/>
  <c r="E70" i="39"/>
  <c r="F7" i="34"/>
  <c r="B40" i="1"/>
  <c r="F24" i="78" s="1"/>
  <c r="C24" i="78" s="1"/>
  <c r="C15" i="67"/>
  <c r="C18" i="67"/>
  <c r="AC13" i="21"/>
  <c r="W13" i="21"/>
  <c r="AB7" i="35"/>
  <c r="T38" i="35" s="1"/>
  <c r="G38" i="35" s="1"/>
  <c r="U7" i="35"/>
  <c r="G46" i="36"/>
  <c r="H46" i="36" s="1"/>
  <c r="I46" i="36" s="1"/>
  <c r="J46" i="36" s="1"/>
  <c r="K46" i="36" s="1"/>
  <c r="L46" i="36" s="1"/>
  <c r="M46" i="36" s="1"/>
  <c r="N46" i="36" s="1"/>
  <c r="O46" i="36" s="1"/>
  <c r="Q60" i="15"/>
  <c r="Q73" i="15"/>
  <c r="P56" i="71"/>
  <c r="E55" i="71"/>
  <c r="AZ295" i="3"/>
  <c r="AZ293" i="3"/>
  <c r="AZ73" i="3"/>
  <c r="AZ316" i="3"/>
  <c r="U12" i="34"/>
  <c r="AB12" i="34"/>
  <c r="AA24" i="36"/>
  <c r="S24" i="36"/>
  <c r="U11" i="36"/>
  <c r="AB11" i="36"/>
  <c r="AB14" i="34"/>
  <c r="U14" i="34"/>
  <c r="AB13" i="21"/>
  <c r="U13" i="21"/>
  <c r="AB9" i="33"/>
  <c r="U9" i="33"/>
  <c r="E10" i="6"/>
  <c r="B38" i="72"/>
  <c r="D20" i="53"/>
  <c r="B40" i="72" s="1"/>
  <c r="G68" i="39"/>
  <c r="F70" i="39"/>
  <c r="Q74" i="15"/>
  <c r="Q61" i="15"/>
  <c r="Q61" i="67"/>
  <c r="Q74" i="67"/>
  <c r="S9" i="33"/>
  <c r="AA9" i="33"/>
  <c r="E12" i="6"/>
  <c r="AZ58" i="3"/>
  <c r="D32" i="71"/>
  <c r="C33" i="71"/>
  <c r="D21" i="71"/>
  <c r="T21" i="71"/>
  <c r="AZ429" i="3"/>
  <c r="W12" i="34"/>
  <c r="AC12" i="34"/>
  <c r="AC24" i="36"/>
  <c r="W24" i="36"/>
  <c r="AC9" i="33"/>
  <c r="W9" i="33"/>
  <c r="E28" i="6"/>
  <c r="C9" i="69"/>
  <c r="AC7" i="34"/>
  <c r="V49" i="34" s="1"/>
  <c r="I49" i="34" s="1"/>
  <c r="W7" i="34"/>
  <c r="J7" i="37"/>
  <c r="AA31" i="39"/>
  <c r="S31" i="39"/>
  <c r="AA12" i="36"/>
  <c r="S12" i="36"/>
  <c r="U39" i="37"/>
  <c r="AB39" i="37"/>
  <c r="U25" i="37"/>
  <c r="AB25" i="37"/>
  <c r="C48" i="11"/>
  <c r="C30" i="11"/>
  <c r="E11" i="6"/>
  <c r="W7" i="21"/>
  <c r="AC7" i="21"/>
  <c r="V48" i="21" s="1"/>
  <c r="I48" i="21" s="1"/>
  <c r="H7" i="37"/>
  <c r="W14" i="34"/>
  <c r="AC14" i="34"/>
  <c r="W31" i="39"/>
  <c r="AC31" i="39"/>
  <c r="AB12" i="36"/>
  <c r="U12" i="36"/>
  <c r="AA39" i="37"/>
  <c r="S39" i="37"/>
  <c r="AA27" i="37"/>
  <c r="S27" i="37"/>
  <c r="AA25" i="37"/>
  <c r="S25" i="37"/>
  <c r="AC38" i="37"/>
  <c r="W38" i="37"/>
  <c r="C48" i="68"/>
  <c r="C30" i="68"/>
  <c r="U7" i="34"/>
  <c r="AB7" i="34"/>
  <c r="T49" i="34" s="1"/>
  <c r="G49" i="34" s="1"/>
  <c r="J18" i="67"/>
  <c r="AZ37" i="3"/>
  <c r="AZ34" i="3"/>
  <c r="AZ298" i="3"/>
  <c r="AZ454" i="3"/>
  <c r="S34" i="36"/>
  <c r="AA34" i="36"/>
  <c r="AC39" i="37"/>
  <c r="W39" i="37"/>
  <c r="AC28" i="37"/>
  <c r="W28" i="37"/>
  <c r="AC25" i="37"/>
  <c r="W25" i="37"/>
  <c r="AB13" i="36"/>
  <c r="U13" i="36"/>
  <c r="AB38" i="37"/>
  <c r="U38" i="37"/>
  <c r="C47" i="68"/>
  <c r="D45" i="68" s="1"/>
  <c r="C29" i="68"/>
  <c r="D27" i="68" s="1"/>
  <c r="AB34" i="35"/>
  <c r="U34" i="35"/>
  <c r="AZ18" i="3"/>
  <c r="BA5" i="3"/>
  <c r="B16" i="71"/>
  <c r="B15" i="71" s="1"/>
  <c r="S17" i="71"/>
  <c r="AZ107" i="3"/>
  <c r="AZ44" i="3"/>
  <c r="C25" i="71"/>
  <c r="D24" i="71"/>
  <c r="AZ438" i="3"/>
  <c r="AZ479" i="3"/>
  <c r="AZ367" i="3"/>
  <c r="AZ238" i="3"/>
  <c r="AC27" i="37"/>
  <c r="W27" i="37"/>
  <c r="AB24" i="36"/>
  <c r="U24" i="36"/>
  <c r="AB34" i="36"/>
  <c r="U34" i="36"/>
  <c r="U28" i="37"/>
  <c r="AB28" i="37"/>
  <c r="W36" i="35"/>
  <c r="AC36" i="35"/>
  <c r="S13" i="36"/>
  <c r="AA13" i="36"/>
  <c r="F1" i="15"/>
  <c r="Q52" i="15"/>
  <c r="AB40" i="40"/>
  <c r="U40" i="40"/>
  <c r="E8" i="71"/>
  <c r="E7" i="71" s="1"/>
  <c r="E6" i="71" s="1"/>
  <c r="E5" i="71" s="1"/>
  <c r="V9" i="71"/>
  <c r="AZ178" i="3"/>
  <c r="AZ446" i="3"/>
  <c r="AZ234" i="3"/>
  <c r="S36" i="35"/>
  <c r="AA36" i="35"/>
  <c r="AC13" i="36"/>
  <c r="W13" i="36"/>
  <c r="U13" i="39"/>
  <c r="AB13" i="39"/>
  <c r="AB7" i="21"/>
  <c r="T48" i="21" s="1"/>
  <c r="G48" i="21" s="1"/>
  <c r="U7" i="21"/>
  <c r="BL5" i="3"/>
  <c r="T53" i="71"/>
  <c r="D53" i="71"/>
  <c r="AZ83" i="3"/>
  <c r="AZ249" i="3"/>
  <c r="AC34" i="35"/>
  <c r="W34" i="35"/>
  <c r="AA9" i="36"/>
  <c r="S9" i="36"/>
  <c r="AB36" i="35"/>
  <c r="U36" i="35"/>
  <c r="E29" i="6"/>
  <c r="K15" i="1" s="1"/>
  <c r="W13" i="39"/>
  <c r="AC13" i="39"/>
  <c r="C45" i="71"/>
  <c r="D44" i="71"/>
  <c r="AZ24" i="3"/>
  <c r="AA40" i="40"/>
  <c r="S40" i="40"/>
  <c r="AA26" i="37"/>
  <c r="S26" i="37"/>
  <c r="AB9" i="36"/>
  <c r="U9" i="36"/>
  <c r="AB30" i="33"/>
  <c r="U30" i="33"/>
  <c r="AA13" i="39"/>
  <c r="S13" i="39"/>
  <c r="G5" i="3"/>
  <c r="B3" i="3" s="1"/>
  <c r="E282" i="3" s="1"/>
  <c r="F11" i="67"/>
  <c r="M11" i="67"/>
  <c r="J10" i="67" s="1"/>
  <c r="J5" i="67" s="1"/>
  <c r="M11" i="15"/>
  <c r="F11" i="15"/>
  <c r="S45" i="39"/>
  <c r="AA45" i="39"/>
  <c r="AB26" i="37"/>
  <c r="U26" i="37"/>
  <c r="W30" i="33"/>
  <c r="AC30" i="33"/>
  <c r="E14" i="6"/>
  <c r="F58" i="33"/>
  <c r="W7" i="35"/>
  <c r="AC7" i="35"/>
  <c r="V38" i="35" s="1"/>
  <c r="I38" i="35" s="1"/>
  <c r="H7" i="36"/>
  <c r="T10" i="43"/>
  <c r="V10" i="43" s="1"/>
  <c r="T16" i="43"/>
  <c r="V16" i="43" s="1"/>
  <c r="T5" i="43"/>
  <c r="V5" i="43" s="1"/>
  <c r="T4" i="43"/>
  <c r="V4" i="43" s="1"/>
  <c r="T15" i="43"/>
  <c r="V15" i="43" s="1"/>
  <c r="T14" i="43"/>
  <c r="V14" i="43" s="1"/>
  <c r="C29" i="43"/>
  <c r="T2" i="43"/>
  <c r="V2" i="43" s="1"/>
  <c r="T9" i="43"/>
  <c r="V9" i="43" s="1"/>
  <c r="T7" i="43"/>
  <c r="V7" i="43" s="1"/>
  <c r="T3" i="43"/>
  <c r="V3" i="43" s="1"/>
  <c r="T8" i="43"/>
  <c r="V8" i="43" s="1"/>
  <c r="T12" i="43"/>
  <c r="V12" i="43" s="1"/>
  <c r="T6" i="43"/>
  <c r="V6" i="43" s="1"/>
  <c r="T13" i="43"/>
  <c r="V13" i="43" s="1"/>
  <c r="T11" i="43"/>
  <c r="V11" i="43" s="1"/>
  <c r="Q52" i="67"/>
  <c r="F1" i="67"/>
  <c r="AA12" i="34"/>
  <c r="S12" i="34"/>
  <c r="AZ105" i="3"/>
  <c r="AC9" i="36"/>
  <c r="W9" i="36"/>
  <c r="U45" i="39"/>
  <c r="AB45" i="39"/>
  <c r="S34" i="35"/>
  <c r="AA34" i="35"/>
  <c r="S30" i="33"/>
  <c r="AA30" i="33"/>
  <c r="E15" i="6"/>
  <c r="S7" i="35"/>
  <c r="AA7" i="35"/>
  <c r="R38" i="35" s="1"/>
  <c r="J7" i="36"/>
  <c r="C38" i="43"/>
  <c r="C35" i="43"/>
  <c r="C39" i="43"/>
  <c r="C37" i="43"/>
  <c r="C34" i="43"/>
  <c r="C33" i="43"/>
  <c r="C36" i="43"/>
  <c r="Q60" i="67"/>
  <c r="Q73" i="67"/>
  <c r="C32" i="67"/>
  <c r="AE6" i="1"/>
  <c r="F41" i="15"/>
  <c r="AE7" i="1"/>
  <c r="F41" i="78" s="1"/>
  <c r="M28" i="43" l="1"/>
  <c r="P28" i="43"/>
  <c r="O28" i="43"/>
  <c r="J10" i="15"/>
  <c r="J5" i="15" s="1"/>
  <c r="J26" i="15" s="1"/>
  <c r="J29" i="15" s="1"/>
  <c r="AA7" i="37"/>
  <c r="R42" i="37" s="1"/>
  <c r="D11" i="71"/>
  <c r="C10" i="71"/>
  <c r="T41" i="71"/>
  <c r="D41" i="71"/>
  <c r="F7" i="36"/>
  <c r="C48" i="78"/>
  <c r="C66" i="78" s="1"/>
  <c r="C10" i="78"/>
  <c r="C5" i="78" s="1"/>
  <c r="C38" i="78" s="1"/>
  <c r="F69" i="78"/>
  <c r="J24" i="78"/>
  <c r="J26" i="78"/>
  <c r="J29" i="78" s="1"/>
  <c r="F69" i="15"/>
  <c r="E27" i="6"/>
  <c r="C47" i="11"/>
  <c r="D45" i="11" s="1"/>
  <c r="E36" i="3"/>
  <c r="D113" i="43"/>
  <c r="C29" i="69"/>
  <c r="D27" i="69" s="1"/>
  <c r="E63" i="39"/>
  <c r="AB10" i="39"/>
  <c r="W10" i="39"/>
  <c r="AB10" i="40"/>
  <c r="S10" i="39"/>
  <c r="S10" i="40"/>
  <c r="C19" i="67"/>
  <c r="C20" i="67" s="1"/>
  <c r="C26" i="67" s="1"/>
  <c r="S7" i="21"/>
  <c r="S7" i="34"/>
  <c r="AA7" i="34"/>
  <c r="R49" i="34" s="1"/>
  <c r="F65" i="40"/>
  <c r="G63" i="40"/>
  <c r="J26" i="67"/>
  <c r="J29" i="67" s="1"/>
  <c r="J24" i="67"/>
  <c r="E150" i="3"/>
  <c r="E444" i="3"/>
  <c r="G53" i="34"/>
  <c r="H53" i="34" s="1"/>
  <c r="G54" i="34"/>
  <c r="H54" i="34" s="1"/>
  <c r="U7" i="37"/>
  <c r="AB7" i="37"/>
  <c r="T42" i="37" s="1"/>
  <c r="G42" i="37" s="1"/>
  <c r="E30" i="6"/>
  <c r="K14" i="1"/>
  <c r="T33" i="71"/>
  <c r="D33" i="71"/>
  <c r="E103" i="3"/>
  <c r="W7" i="36"/>
  <c r="AC7" i="36"/>
  <c r="V36" i="36" s="1"/>
  <c r="I36" i="36" s="1"/>
  <c r="E345" i="3"/>
  <c r="C53" i="15"/>
  <c r="C48" i="15" s="1"/>
  <c r="C10" i="15"/>
  <c r="C5" i="15" s="1"/>
  <c r="R39" i="35"/>
  <c r="E38" i="35"/>
  <c r="I43" i="35" s="1"/>
  <c r="J43" i="35" s="1"/>
  <c r="E457" i="3"/>
  <c r="E49" i="3"/>
  <c r="E410" i="3"/>
  <c r="E586" i="3"/>
  <c r="P55" i="71"/>
  <c r="P54" i="71"/>
  <c r="E452" i="3"/>
  <c r="E42" i="37"/>
  <c r="R43" i="37"/>
  <c r="E16" i="6"/>
  <c r="E65" i="39"/>
  <c r="E60" i="40"/>
  <c r="E75" i="3"/>
  <c r="I42" i="35"/>
  <c r="J42" i="35" s="1"/>
  <c r="E116" i="3"/>
  <c r="C53" i="67"/>
  <c r="C48" i="67" s="1"/>
  <c r="C10" i="67"/>
  <c r="C5" i="67" s="1"/>
  <c r="G53" i="21"/>
  <c r="H53" i="21" s="1"/>
  <c r="G52" i="21"/>
  <c r="H52" i="21" s="1"/>
  <c r="E431" i="3"/>
  <c r="AZ5" i="3"/>
  <c r="I52" i="21"/>
  <c r="J52" i="21" s="1"/>
  <c r="E57" i="40"/>
  <c r="E62" i="39"/>
  <c r="E526" i="3"/>
  <c r="AB7" i="36"/>
  <c r="T36" i="36" s="1"/>
  <c r="G36" i="36" s="1"/>
  <c r="U7" i="36"/>
  <c r="E485" i="3"/>
  <c r="E31" i="3"/>
  <c r="E289" i="3"/>
  <c r="E552" i="3"/>
  <c r="E53" i="3"/>
  <c r="E530" i="3"/>
  <c r="E508" i="3"/>
  <c r="E329" i="3"/>
  <c r="E567" i="3"/>
  <c r="E352" i="3"/>
  <c r="E261" i="3"/>
  <c r="E565" i="3"/>
  <c r="E361" i="3"/>
  <c r="E217" i="3"/>
  <c r="E553" i="3"/>
  <c r="E322" i="3"/>
  <c r="E583" i="3"/>
  <c r="E399" i="3"/>
  <c r="E246" i="3"/>
  <c r="E514" i="3"/>
  <c r="E551" i="3"/>
  <c r="AB6" i="3"/>
  <c r="E320" i="3"/>
  <c r="E215" i="3"/>
  <c r="E77" i="3"/>
  <c r="E167" i="3"/>
  <c r="E525" i="3"/>
  <c r="E564" i="3"/>
  <c r="E528" i="3"/>
  <c r="E539" i="3"/>
  <c r="E143" i="3"/>
  <c r="E353" i="3"/>
  <c r="AR6" i="3"/>
  <c r="AK6" i="3"/>
  <c r="E387" i="3"/>
  <c r="E263" i="3"/>
  <c r="E169" i="3"/>
  <c r="E148" i="3"/>
  <c r="E212" i="3"/>
  <c r="E193" i="3"/>
  <c r="E330" i="3"/>
  <c r="Z6" i="3"/>
  <c r="E543" i="3"/>
  <c r="E456" i="3"/>
  <c r="E507" i="3"/>
  <c r="E408" i="3"/>
  <c r="E490" i="3"/>
  <c r="E556" i="3"/>
  <c r="J6" i="3"/>
  <c r="E494" i="3"/>
  <c r="E483" i="3"/>
  <c r="E420" i="3"/>
  <c r="E40" i="3"/>
  <c r="E178" i="3"/>
  <c r="E139" i="3"/>
  <c r="E242" i="3"/>
  <c r="E243" i="3"/>
  <c r="E346" i="3"/>
  <c r="E356" i="3"/>
  <c r="L6" i="3"/>
  <c r="E94" i="3"/>
  <c r="E428" i="3"/>
  <c r="E18" i="3"/>
  <c r="E129" i="3"/>
  <c r="E220" i="3"/>
  <c r="E324" i="3"/>
  <c r="E522" i="3"/>
  <c r="E34" i="3"/>
  <c r="E232" i="3"/>
  <c r="AF6" i="3"/>
  <c r="E113" i="3"/>
  <c r="E308" i="3"/>
  <c r="E83" i="3"/>
  <c r="E445" i="3"/>
  <c r="O6" i="3"/>
  <c r="E461" i="3"/>
  <c r="E124" i="3"/>
  <c r="E390" i="3"/>
  <c r="I6" i="3"/>
  <c r="V6" i="3"/>
  <c r="E350" i="3"/>
  <c r="E231" i="3"/>
  <c r="E136" i="3"/>
  <c r="E228" i="3"/>
  <c r="E277" i="3"/>
  <c r="E164" i="3"/>
  <c r="E379" i="3"/>
  <c r="E534" i="3"/>
  <c r="E502" i="3"/>
  <c r="E464" i="3"/>
  <c r="E541" i="3"/>
  <c r="E416" i="3"/>
  <c r="E255" i="3"/>
  <c r="E566" i="3"/>
  <c r="E554" i="3"/>
  <c r="E413" i="3"/>
  <c r="E436" i="3"/>
  <c r="E56" i="3"/>
  <c r="E57" i="3"/>
  <c r="E152" i="3"/>
  <c r="E155" i="3"/>
  <c r="E258" i="3"/>
  <c r="E259" i="3"/>
  <c r="E363" i="3"/>
  <c r="E375" i="3"/>
  <c r="E544" i="3"/>
  <c r="E110" i="3"/>
  <c r="E462" i="3"/>
  <c r="E47" i="3"/>
  <c r="E138" i="3"/>
  <c r="E248" i="3"/>
  <c r="E307" i="3"/>
  <c r="E584" i="3"/>
  <c r="E48" i="3"/>
  <c r="E250" i="3"/>
  <c r="Y6" i="3"/>
  <c r="E154" i="3"/>
  <c r="E323" i="3"/>
  <c r="E69" i="3"/>
  <c r="E563" i="3"/>
  <c r="E426" i="3"/>
  <c r="E237" i="3"/>
  <c r="E501" i="3"/>
  <c r="E17" i="3"/>
  <c r="E125" i="3"/>
  <c r="E395" i="3"/>
  <c r="N6" i="3"/>
  <c r="E114" i="3"/>
  <c r="E343" i="3"/>
  <c r="E550" i="3"/>
  <c r="AA6" i="3"/>
  <c r="E337" i="3"/>
  <c r="E293" i="3"/>
  <c r="E533" i="3"/>
  <c r="E402" i="3"/>
  <c r="E380" i="3"/>
  <c r="E134" i="3"/>
  <c r="E181" i="3"/>
  <c r="E149" i="3"/>
  <c r="E224" i="3"/>
  <c r="E107" i="3"/>
  <c r="E576" i="3"/>
  <c r="R6" i="3"/>
  <c r="E421" i="3"/>
  <c r="E466" i="3"/>
  <c r="E398" i="3"/>
  <c r="E449" i="3"/>
  <c r="E374" i="3"/>
  <c r="AP6" i="3"/>
  <c r="E582" i="3"/>
  <c r="E435" i="3"/>
  <c r="E520" i="3"/>
  <c r="E479" i="3"/>
  <c r="E90" i="3"/>
  <c r="E95" i="3"/>
  <c r="E187" i="3"/>
  <c r="E192" i="3"/>
  <c r="E297" i="3"/>
  <c r="E292" i="3"/>
  <c r="E378" i="3"/>
  <c r="E389" i="3"/>
  <c r="E58" i="3"/>
  <c r="E59" i="3"/>
  <c r="E521" i="3"/>
  <c r="E98" i="3"/>
  <c r="E195" i="3"/>
  <c r="E209" i="3"/>
  <c r="E386" i="3"/>
  <c r="E66" i="3"/>
  <c r="E87" i="3"/>
  <c r="E284" i="3"/>
  <c r="E179" i="3"/>
  <c r="E373" i="3"/>
  <c r="E175" i="3"/>
  <c r="E183" i="3"/>
  <c r="E503" i="3"/>
  <c r="E319" i="3"/>
  <c r="E172" i="3"/>
  <c r="E535" i="3"/>
  <c r="E239" i="3"/>
  <c r="X6" i="3"/>
  <c r="E227" i="3"/>
  <c r="S6" i="3"/>
  <c r="E536" i="3"/>
  <c r="E407" i="3"/>
  <c r="E303" i="3"/>
  <c r="E216" i="3"/>
  <c r="E236" i="3"/>
  <c r="E180" i="3"/>
  <c r="E85" i="3"/>
  <c r="E177" i="3"/>
  <c r="E313" i="3"/>
  <c r="E585" i="3"/>
  <c r="T6" i="3"/>
  <c r="E427" i="3"/>
  <c r="E469" i="3"/>
  <c r="E422" i="3"/>
  <c r="E451" i="3"/>
  <c r="E304" i="3"/>
  <c r="E213" i="3"/>
  <c r="E328" i="3"/>
  <c r="E388" i="3"/>
  <c r="E569" i="3"/>
  <c r="E285" i="3"/>
  <c r="E270" i="3"/>
  <c r="E511" i="3"/>
  <c r="M6" i="3"/>
  <c r="E423" i="3"/>
  <c r="E321" i="3"/>
  <c r="E196" i="3"/>
  <c r="E254" i="3"/>
  <c r="E157" i="3"/>
  <c r="E45" i="3"/>
  <c r="E145" i="3"/>
  <c r="E327" i="3"/>
  <c r="E493" i="3"/>
  <c r="E442" i="3"/>
  <c r="E487" i="3"/>
  <c r="E430" i="3"/>
  <c r="E459" i="3"/>
  <c r="I3" i="6"/>
  <c r="E500" i="3"/>
  <c r="E517" i="3"/>
  <c r="E460" i="3"/>
  <c r="E417" i="3"/>
  <c r="E37" i="3"/>
  <c r="E131" i="3"/>
  <c r="E132" i="3"/>
  <c r="E240" i="3"/>
  <c r="E241" i="3"/>
  <c r="E348" i="3"/>
  <c r="E349" i="3"/>
  <c r="E504" i="3"/>
  <c r="E76" i="3"/>
  <c r="E540" i="3"/>
  <c r="E446" i="3"/>
  <c r="E65" i="3"/>
  <c r="E266" i="3"/>
  <c r="E354" i="3"/>
  <c r="E24" i="3"/>
  <c r="E127" i="3"/>
  <c r="E341" i="3"/>
  <c r="E19" i="3"/>
  <c r="E222" i="3"/>
  <c r="E82" i="3"/>
  <c r="E366" i="3"/>
  <c r="E302" i="3"/>
  <c r="E510" i="3"/>
  <c r="E229" i="3"/>
  <c r="E397" i="3"/>
  <c r="E559" i="3"/>
  <c r="E439" i="3"/>
  <c r="E296" i="3"/>
  <c r="E189" i="3"/>
  <c r="E188" i="3"/>
  <c r="E117" i="3"/>
  <c r="E252" i="3"/>
  <c r="E369" i="3"/>
  <c r="E499" i="3"/>
  <c r="E560" i="3"/>
  <c r="E458" i="3"/>
  <c r="E438" i="3"/>
  <c r="E465" i="3"/>
  <c r="E562" i="3"/>
  <c r="AE6" i="3"/>
  <c r="E537" i="3"/>
  <c r="E468" i="3"/>
  <c r="E433" i="3"/>
  <c r="E55" i="3"/>
  <c r="E256" i="3"/>
  <c r="E257" i="3"/>
  <c r="E315" i="3"/>
  <c r="E318" i="3"/>
  <c r="E580" i="3"/>
  <c r="E93" i="3"/>
  <c r="E409" i="3"/>
  <c r="E455" i="3"/>
  <c r="E194" i="3"/>
  <c r="E299" i="3"/>
  <c r="E392" i="3"/>
  <c r="E147" i="3"/>
  <c r="E364" i="3"/>
  <c r="E62" i="3"/>
  <c r="E265" i="3"/>
  <c r="E101" i="3"/>
  <c r="E396" i="3"/>
  <c r="AN6" i="3"/>
  <c r="E306" i="3"/>
  <c r="E185" i="3"/>
  <c r="E271" i="3"/>
  <c r="E393" i="3"/>
  <c r="E529" i="3"/>
  <c r="E527" i="3"/>
  <c r="E288" i="3"/>
  <c r="E497" i="3"/>
  <c r="E450" i="3"/>
  <c r="E447" i="3"/>
  <c r="E70" i="3"/>
  <c r="E126" i="3"/>
  <c r="E357" i="3"/>
  <c r="AL6" i="3"/>
  <c r="E64" i="3"/>
  <c r="E200" i="3"/>
  <c r="E310" i="3"/>
  <c r="E50" i="3"/>
  <c r="E287" i="3"/>
  <c r="E280" i="3"/>
  <c r="E523" i="3"/>
  <c r="E382" i="3"/>
  <c r="E156" i="3"/>
  <c r="E238" i="3"/>
  <c r="E575" i="3"/>
  <c r="AO6" i="3"/>
  <c r="P6" i="3"/>
  <c r="E547" i="3"/>
  <c r="E463" i="3"/>
  <c r="E73" i="3"/>
  <c r="E119" i="3"/>
  <c r="E214" i="3"/>
  <c r="E377" i="3"/>
  <c r="AM6" i="3"/>
  <c r="E480" i="3"/>
  <c r="E96" i="3"/>
  <c r="E234" i="3"/>
  <c r="E342" i="3"/>
  <c r="E123" i="3"/>
  <c r="E68" i="3"/>
  <c r="E283" i="3"/>
  <c r="E247" i="3"/>
  <c r="AI6" i="3"/>
  <c r="E368" i="3"/>
  <c r="E99" i="3"/>
  <c r="E253" i="3"/>
  <c r="E519" i="3"/>
  <c r="E405" i="3"/>
  <c r="E512" i="3"/>
  <c r="E360" i="3"/>
  <c r="E571" i="3"/>
  <c r="E475" i="3"/>
  <c r="E92" i="3"/>
  <c r="E166" i="3"/>
  <c r="E210" i="3"/>
  <c r="E391" i="3"/>
  <c r="E488" i="3"/>
  <c r="E38" i="3"/>
  <c r="E267" i="3"/>
  <c r="E492" i="3"/>
  <c r="E144" i="3"/>
  <c r="E102" i="3"/>
  <c r="E365" i="3"/>
  <c r="E509" i="3"/>
  <c r="E205" i="3"/>
  <c r="E561" i="3"/>
  <c r="E335" i="3"/>
  <c r="E61" i="3"/>
  <c r="E204" i="3"/>
  <c r="AD6" i="3"/>
  <c r="E437" i="3"/>
  <c r="E406" i="3"/>
  <c r="E344" i="3"/>
  <c r="E581" i="3"/>
  <c r="E476" i="3"/>
  <c r="E28" i="3"/>
  <c r="E108" i="3"/>
  <c r="E171" i="3"/>
  <c r="E226" i="3"/>
  <c r="E394" i="3"/>
  <c r="E30" i="3"/>
  <c r="E441" i="3"/>
  <c r="E46" i="3"/>
  <c r="E275" i="3"/>
  <c r="AQ6" i="3"/>
  <c r="E20" i="3"/>
  <c r="E309" i="3"/>
  <c r="E278" i="3"/>
  <c r="E516" i="3"/>
  <c r="E201" i="3"/>
  <c r="E311" i="3"/>
  <c r="E506" i="3"/>
  <c r="E294" i="3"/>
  <c r="E135" i="3"/>
  <c r="E197" i="3"/>
  <c r="K6" i="3"/>
  <c r="E411" i="3"/>
  <c r="E414" i="3"/>
  <c r="E367" i="3"/>
  <c r="E13" i="3"/>
  <c r="E471" i="3"/>
  <c r="E26" i="3"/>
  <c r="E111" i="3"/>
  <c r="E186" i="3"/>
  <c r="E273" i="3"/>
  <c r="E317" i="3"/>
  <c r="E42" i="3"/>
  <c r="E473" i="3"/>
  <c r="E78" i="3"/>
  <c r="E219" i="3"/>
  <c r="E23" i="3"/>
  <c r="E184" i="3"/>
  <c r="E63" i="3"/>
  <c r="E326" i="3"/>
  <c r="E415" i="3"/>
  <c r="E545" i="3"/>
  <c r="E165" i="3"/>
  <c r="E314" i="3"/>
  <c r="E578" i="3"/>
  <c r="E244" i="3"/>
  <c r="E290" i="3"/>
  <c r="E199" i="3"/>
  <c r="E532" i="3"/>
  <c r="E448" i="3"/>
  <c r="E400" i="3"/>
  <c r="E376" i="3"/>
  <c r="E577" i="3"/>
  <c r="E71" i="3"/>
  <c r="E121" i="3"/>
  <c r="E202" i="3"/>
  <c r="E333" i="3"/>
  <c r="E74" i="3"/>
  <c r="E484" i="3"/>
  <c r="E249" i="3"/>
  <c r="E35" i="3"/>
  <c r="E524" i="3"/>
  <c r="E268" i="3"/>
  <c r="E555" i="3"/>
  <c r="E97" i="3"/>
  <c r="E358" i="3"/>
  <c r="E538" i="3"/>
  <c r="E301" i="3"/>
  <c r="E269" i="3"/>
  <c r="E173" i="3"/>
  <c r="E542" i="3"/>
  <c r="E472" i="3"/>
  <c r="E424" i="3"/>
  <c r="E558" i="3"/>
  <c r="AS6" i="3"/>
  <c r="E470" i="3"/>
  <c r="E72" i="3"/>
  <c r="E115" i="3"/>
  <c r="E208" i="3"/>
  <c r="E334" i="3"/>
  <c r="E44" i="3"/>
  <c r="E482" i="3"/>
  <c r="E170" i="3"/>
  <c r="E235" i="3"/>
  <c r="E52" i="3"/>
  <c r="E233" i="3"/>
  <c r="E81" i="3"/>
  <c r="E513" i="3"/>
  <c r="E260" i="3"/>
  <c r="E579" i="3"/>
  <c r="E151" i="3"/>
  <c r="E385" i="3"/>
  <c r="E549" i="3"/>
  <c r="E298" i="3"/>
  <c r="E221" i="3"/>
  <c r="E141" i="3"/>
  <c r="Q6" i="3"/>
  <c r="E478" i="3"/>
  <c r="E432" i="3"/>
  <c r="E498" i="3"/>
  <c r="E496" i="3"/>
  <c r="E88" i="3"/>
  <c r="E162" i="3"/>
  <c r="E211" i="3"/>
  <c r="E276" i="3"/>
  <c r="E362" i="3"/>
  <c r="E60" i="3"/>
  <c r="E15" i="3"/>
  <c r="E160" i="3"/>
  <c r="E300" i="3"/>
  <c r="E84" i="3"/>
  <c r="E251" i="3"/>
  <c r="E176" i="3"/>
  <c r="E22" i="3"/>
  <c r="AJ6" i="3"/>
  <c r="E574" i="3"/>
  <c r="E128" i="3"/>
  <c r="E568" i="3"/>
  <c r="E418" i="3"/>
  <c r="E230" i="3"/>
  <c r="E161" i="3"/>
  <c r="E140" i="3"/>
  <c r="E133" i="3"/>
  <c r="U6" i="3"/>
  <c r="E486" i="3"/>
  <c r="E440" i="3"/>
  <c r="E505" i="3"/>
  <c r="E546" i="3"/>
  <c r="E104" i="3"/>
  <c r="E168" i="3"/>
  <c r="E225" i="3"/>
  <c r="E351" i="3"/>
  <c r="E384" i="3"/>
  <c r="E425" i="3"/>
  <c r="E190" i="3"/>
  <c r="E339" i="3"/>
  <c r="E340" i="3"/>
  <c r="E118" i="3"/>
  <c r="E21" i="3"/>
  <c r="E495" i="3"/>
  <c r="E434" i="3"/>
  <c r="E245" i="3"/>
  <c r="E122" i="3"/>
  <c r="E120" i="3"/>
  <c r="E105" i="3"/>
  <c r="E573" i="3"/>
  <c r="E474" i="3"/>
  <c r="AH6" i="3"/>
  <c r="E429" i="3"/>
  <c r="E401" i="3"/>
  <c r="E106" i="3"/>
  <c r="E182" i="3"/>
  <c r="E316" i="3"/>
  <c r="E372" i="3"/>
  <c r="E32" i="3"/>
  <c r="E412" i="3"/>
  <c r="E137" i="3"/>
  <c r="E371" i="3"/>
  <c r="E67" i="3"/>
  <c r="E355" i="3"/>
  <c r="E158" i="3"/>
  <c r="E359" i="3"/>
  <c r="E518" i="3"/>
  <c r="E453" i="3"/>
  <c r="E207" i="3"/>
  <c r="E403" i="3"/>
  <c r="E14" i="3"/>
  <c r="E370" i="3"/>
  <c r="E223" i="3"/>
  <c r="E419" i="3"/>
  <c r="E572" i="3"/>
  <c r="E381" i="3"/>
  <c r="E404" i="3"/>
  <c r="E29" i="3"/>
  <c r="E218" i="3"/>
  <c r="E312" i="3"/>
  <c r="E454" i="3"/>
  <c r="E43" i="3"/>
  <c r="E264" i="3"/>
  <c r="E338" i="3"/>
  <c r="AG6" i="3"/>
  <c r="E27" i="3"/>
  <c r="E467" i="3"/>
  <c r="E159" i="3"/>
  <c r="E515" i="3"/>
  <c r="E25" i="3"/>
  <c r="E79" i="3"/>
  <c r="E191" i="3"/>
  <c r="E198" i="3"/>
  <c r="E142" i="3"/>
  <c r="E89" i="3"/>
  <c r="E548" i="3"/>
  <c r="E203" i="3"/>
  <c r="E174" i="3"/>
  <c r="E443" i="3"/>
  <c r="E279" i="3"/>
  <c r="E383" i="3"/>
  <c r="E295" i="3"/>
  <c r="E325" i="3"/>
  <c r="W6" i="3"/>
  <c r="E332" i="3"/>
  <c r="E112" i="3"/>
  <c r="E557" i="3"/>
  <c r="E336" i="3"/>
  <c r="E331" i="3"/>
  <c r="E33" i="3"/>
  <c r="E153" i="3"/>
  <c r="E16" i="3"/>
  <c r="E305" i="3"/>
  <c r="E109" i="3"/>
  <c r="E489" i="3"/>
  <c r="E274" i="3"/>
  <c r="E291" i="3"/>
  <c r="E39" i="3"/>
  <c r="E130" i="3"/>
  <c r="E61" i="39"/>
  <c r="E56" i="40"/>
  <c r="E477" i="3"/>
  <c r="E51" i="3"/>
  <c r="G36" i="43"/>
  <c r="I36" i="43" s="1"/>
  <c r="E36" i="43"/>
  <c r="E587" i="3"/>
  <c r="E146" i="3"/>
  <c r="E34" i="43"/>
  <c r="G34" i="43"/>
  <c r="I34" i="43" s="1"/>
  <c r="E29" i="43"/>
  <c r="C30" i="43"/>
  <c r="E30" i="43" s="1"/>
  <c r="E59" i="40"/>
  <c r="E64" i="39"/>
  <c r="E86" i="3"/>
  <c r="E491" i="3"/>
  <c r="E262" i="3"/>
  <c r="E286" i="3"/>
  <c r="S7" i="36"/>
  <c r="AA7" i="36"/>
  <c r="R36" i="36" s="1"/>
  <c r="E80" i="3"/>
  <c r="E33" i="43"/>
  <c r="G33" i="43"/>
  <c r="I33" i="43" s="1"/>
  <c r="AC7" i="37"/>
  <c r="V42" i="37" s="1"/>
  <c r="I42" i="37" s="1"/>
  <c r="W7" i="37"/>
  <c r="E163" i="3"/>
  <c r="E37" i="43"/>
  <c r="G37" i="43"/>
  <c r="I37" i="43" s="1"/>
  <c r="T45" i="71"/>
  <c r="D45" i="71"/>
  <c r="E481" i="3"/>
  <c r="E272" i="3"/>
  <c r="T25" i="71"/>
  <c r="D25" i="71"/>
  <c r="E347" i="3"/>
  <c r="E48" i="21"/>
  <c r="I53" i="21" s="1"/>
  <c r="J53" i="21" s="1"/>
  <c r="R49" i="21"/>
  <c r="E570" i="3"/>
  <c r="E91" i="3"/>
  <c r="I53" i="34"/>
  <c r="J53" i="34" s="1"/>
  <c r="E281" i="3"/>
  <c r="G39" i="43"/>
  <c r="I39" i="43" s="1"/>
  <c r="E39" i="43"/>
  <c r="G35" i="43"/>
  <c r="I35" i="43" s="1"/>
  <c r="E35" i="43"/>
  <c r="E206" i="3"/>
  <c r="E41" i="3"/>
  <c r="G42" i="35"/>
  <c r="H42" i="35" s="1"/>
  <c r="G43" i="35"/>
  <c r="H43" i="35" s="1"/>
  <c r="E100" i="3"/>
  <c r="G58" i="33"/>
  <c r="G38" i="43"/>
  <c r="I38" i="43" s="1"/>
  <c r="E38" i="43"/>
  <c r="E531" i="3"/>
  <c r="G70" i="39"/>
  <c r="H68" i="39"/>
  <c r="E54" i="3"/>
  <c r="F25" i="12"/>
  <c r="C26" i="12" s="1"/>
  <c r="D25" i="12" s="1"/>
  <c r="F24" i="15"/>
  <c r="C24" i="15" s="1"/>
  <c r="F22" i="69"/>
  <c r="F22" i="11"/>
  <c r="F24" i="67"/>
  <c r="C24" i="67" s="1"/>
  <c r="F22" i="68"/>
  <c r="J24" i="15" l="1"/>
  <c r="D10" i="71"/>
  <c r="C9" i="71"/>
  <c r="K24" i="6"/>
  <c r="M24" i="6" s="1"/>
  <c r="I24" i="6" s="1"/>
  <c r="S24" i="6" s="1"/>
  <c r="B29" i="1"/>
  <c r="C8" i="68" s="1"/>
  <c r="D3" i="39"/>
  <c r="C60" i="78"/>
  <c r="K22" i="6"/>
  <c r="M22" i="6" s="1"/>
  <c r="I22" i="6" s="1"/>
  <c r="S22" i="6" s="1"/>
  <c r="K21" i="6"/>
  <c r="M21" i="6" s="1"/>
  <c r="I21" i="6" s="1"/>
  <c r="S21" i="6" s="1"/>
  <c r="K19" i="6"/>
  <c r="S6" i="1" s="1"/>
  <c r="K23" i="6"/>
  <c r="M23" i="6" s="1"/>
  <c r="I23" i="6" s="1"/>
  <c r="S23" i="6" s="1"/>
  <c r="K25" i="6"/>
  <c r="M25" i="6" s="1"/>
  <c r="I25" i="6" s="1"/>
  <c r="S25" i="6" s="1"/>
  <c r="K20" i="6"/>
  <c r="K26" i="6"/>
  <c r="M26" i="6" s="1"/>
  <c r="I26" i="6" s="1"/>
  <c r="S26" i="6" s="1"/>
  <c r="E31" i="6"/>
  <c r="H6" i="3"/>
  <c r="AC6" i="3"/>
  <c r="E66" i="39"/>
  <c r="H63" i="40"/>
  <c r="G65" i="40"/>
  <c r="R50" i="34"/>
  <c r="E49" i="34"/>
  <c r="C26" i="43"/>
  <c r="B2" i="43" s="1"/>
  <c r="C23" i="67"/>
  <c r="C29" i="67" s="1"/>
  <c r="C49" i="21"/>
  <c r="C48" i="21"/>
  <c r="G47" i="37"/>
  <c r="H47" i="37" s="1"/>
  <c r="G46" i="37"/>
  <c r="H46" i="37" s="1"/>
  <c r="E52" i="21"/>
  <c r="F52" i="21" s="1"/>
  <c r="E53" i="21"/>
  <c r="F53" i="21" s="1"/>
  <c r="I46" i="37"/>
  <c r="J46" i="37" s="1"/>
  <c r="I47" i="37"/>
  <c r="J47" i="37" s="1"/>
  <c r="C27" i="43"/>
  <c r="C42" i="37"/>
  <c r="C43" i="37"/>
  <c r="C60" i="15"/>
  <c r="C66" i="15"/>
  <c r="C44" i="11"/>
  <c r="D41" i="11" s="1"/>
  <c r="C26" i="11"/>
  <c r="D22" i="11" s="1"/>
  <c r="C23" i="11"/>
  <c r="E46" i="37"/>
  <c r="F46" i="37" s="1"/>
  <c r="E47" i="37"/>
  <c r="F47" i="37" s="1"/>
  <c r="E42" i="35"/>
  <c r="F42" i="35" s="1"/>
  <c r="E43" i="35"/>
  <c r="F43" i="35" s="1"/>
  <c r="C38" i="35"/>
  <c r="C39" i="35"/>
  <c r="B2" i="35" s="1"/>
  <c r="B3" i="35" s="1"/>
  <c r="C38" i="67"/>
  <c r="C26" i="69"/>
  <c r="D22" i="69" s="1"/>
  <c r="C44" i="69"/>
  <c r="D41" i="69" s="1"/>
  <c r="H58" i="33"/>
  <c r="E36" i="36"/>
  <c r="I41" i="36" s="1"/>
  <c r="J41" i="36" s="1"/>
  <c r="R37" i="36"/>
  <c r="C66" i="67"/>
  <c r="C60" i="67"/>
  <c r="E3" i="6"/>
  <c r="AY6" i="3"/>
  <c r="G40" i="36"/>
  <c r="H40" i="36" s="1"/>
  <c r="G41" i="36"/>
  <c r="H41" i="36" s="1"/>
  <c r="C38" i="15"/>
  <c r="I68" i="39"/>
  <c r="H70" i="39"/>
  <c r="M14" i="1"/>
  <c r="C34" i="69"/>
  <c r="K16" i="1"/>
  <c r="C44" i="68"/>
  <c r="D41" i="68" s="1"/>
  <c r="C26" i="68"/>
  <c r="D22" i="68" s="1"/>
  <c r="I40" i="36"/>
  <c r="J40" i="36" s="1"/>
  <c r="E6" i="76"/>
  <c r="C17" i="15"/>
  <c r="B6" i="76"/>
  <c r="E6" i="3" l="1"/>
  <c r="D9" i="71"/>
  <c r="U9" i="71" s="1"/>
  <c r="T9" i="71"/>
  <c r="C8" i="71"/>
  <c r="M20" i="6"/>
  <c r="I20" i="6" s="1"/>
  <c r="S20" i="6" s="1"/>
  <c r="S7" i="1"/>
  <c r="AQ6" i="1"/>
  <c r="E6" i="70"/>
  <c r="M19" i="6"/>
  <c r="I19" i="6" s="1"/>
  <c r="S16" i="1"/>
  <c r="T6" i="1"/>
  <c r="AR6" i="1"/>
  <c r="K27" i="6"/>
  <c r="E54" i="34"/>
  <c r="F54" i="34" s="1"/>
  <c r="E53" i="34"/>
  <c r="F53" i="34" s="1"/>
  <c r="I54" i="34"/>
  <c r="J54" i="34" s="1"/>
  <c r="C50" i="34"/>
  <c r="C49" i="34"/>
  <c r="I63" i="40"/>
  <c r="H65" i="40"/>
  <c r="E2" i="76"/>
  <c r="B2" i="76"/>
  <c r="C33" i="67"/>
  <c r="C13" i="67"/>
  <c r="Q49" i="67"/>
  <c r="C36" i="67"/>
  <c r="J19" i="67"/>
  <c r="C57" i="67"/>
  <c r="J14" i="67"/>
  <c r="J59" i="67"/>
  <c r="J60" i="67" s="1"/>
  <c r="I58" i="33"/>
  <c r="C38" i="69"/>
  <c r="C35" i="69"/>
  <c r="O14" i="1"/>
  <c r="O16" i="1" s="1"/>
  <c r="M16" i="1"/>
  <c r="E6" i="6"/>
  <c r="M18" i="9"/>
  <c r="B118" i="9" s="1"/>
  <c r="D19" i="11"/>
  <c r="C19" i="11" s="1"/>
  <c r="D3" i="21"/>
  <c r="B2" i="21" s="1"/>
  <c r="B3" i="21" s="1"/>
  <c r="C17" i="4"/>
  <c r="B4" i="52" s="1"/>
  <c r="B43" i="72" s="1"/>
  <c r="D37" i="11"/>
  <c r="C37" i="11" s="1"/>
  <c r="L18" i="9"/>
  <c r="D14" i="12"/>
  <c r="D3" i="37"/>
  <c r="B2" i="37" s="1"/>
  <c r="B3" i="37" s="1"/>
  <c r="D3" i="33"/>
  <c r="D3" i="34"/>
  <c r="B3" i="43"/>
  <c r="AY18" i="3"/>
  <c r="AY132" i="3"/>
  <c r="AY163" i="3"/>
  <c r="AY147" i="3"/>
  <c r="AY387" i="3"/>
  <c r="AY486" i="3"/>
  <c r="AY526" i="3"/>
  <c r="AY244" i="3"/>
  <c r="AY311" i="3"/>
  <c r="AY404" i="3"/>
  <c r="AY574" i="3"/>
  <c r="AY89" i="3"/>
  <c r="AY68" i="3"/>
  <c r="AY182" i="3"/>
  <c r="AY157" i="3"/>
  <c r="AY302" i="3"/>
  <c r="AY254" i="3"/>
  <c r="AY389" i="3"/>
  <c r="BI6" i="3"/>
  <c r="AY40" i="3"/>
  <c r="AY130" i="3"/>
  <c r="AY226" i="3"/>
  <c r="AY325" i="3"/>
  <c r="AY467" i="3"/>
  <c r="AY422" i="3"/>
  <c r="AY525" i="3"/>
  <c r="AY527" i="3"/>
  <c r="AY508" i="3"/>
  <c r="AY112" i="3"/>
  <c r="AY205" i="3"/>
  <c r="AY298" i="3"/>
  <c r="AY385" i="3"/>
  <c r="AY336" i="3"/>
  <c r="AY461" i="3"/>
  <c r="AY431" i="3"/>
  <c r="AY564" i="3"/>
  <c r="AY530" i="3"/>
  <c r="AY110" i="3"/>
  <c r="AY203" i="3"/>
  <c r="AY296" i="3"/>
  <c r="AY383" i="3"/>
  <c r="AY23" i="3"/>
  <c r="AY115" i="3"/>
  <c r="AY131" i="3"/>
  <c r="AY297" i="3"/>
  <c r="AY371" i="3"/>
  <c r="AY470" i="3"/>
  <c r="AY106" i="3"/>
  <c r="AY228" i="3"/>
  <c r="AY342" i="3"/>
  <c r="AY433" i="3"/>
  <c r="AY569" i="3"/>
  <c r="AY108" i="3"/>
  <c r="AY60" i="3"/>
  <c r="AY201" i="3"/>
  <c r="AY149" i="3"/>
  <c r="AY294" i="3"/>
  <c r="AY246" i="3"/>
  <c r="AY381" i="3"/>
  <c r="BJ6" i="3"/>
  <c r="AY24" i="3"/>
  <c r="AY114" i="3"/>
  <c r="AY210" i="3"/>
  <c r="AY317" i="3"/>
  <c r="AY488" i="3"/>
  <c r="AY414" i="3"/>
  <c r="BM6" i="3"/>
  <c r="AY546" i="3"/>
  <c r="AY584" i="3"/>
  <c r="AY96" i="3"/>
  <c r="AY189" i="3"/>
  <c r="AY282" i="3"/>
  <c r="AY369" i="3"/>
  <c r="AY328" i="3"/>
  <c r="AY453" i="3"/>
  <c r="AY423" i="3"/>
  <c r="D3" i="6"/>
  <c r="BR6" i="3"/>
  <c r="AY94" i="3"/>
  <c r="AY187" i="3"/>
  <c r="AY280" i="3"/>
  <c r="AY376" i="3"/>
  <c r="AY466" i="3"/>
  <c r="AY517" i="3"/>
  <c r="AY86" i="3"/>
  <c r="AY179" i="3"/>
  <c r="AY273" i="3"/>
  <c r="AY367" i="3"/>
  <c r="AY459" i="3"/>
  <c r="BC6" i="3"/>
  <c r="AY83" i="3"/>
  <c r="AY176" i="3"/>
  <c r="AY59" i="3"/>
  <c r="AY276" i="3"/>
  <c r="AY268" i="3"/>
  <c r="AY335" i="3"/>
  <c r="AY428" i="3"/>
  <c r="AY180" i="3"/>
  <c r="AY395" i="3"/>
  <c r="AY465" i="3"/>
  <c r="AY513" i="3"/>
  <c r="AY541" i="3"/>
  <c r="AY77" i="3"/>
  <c r="AY28" i="3"/>
  <c r="AY170" i="3"/>
  <c r="AY118" i="3"/>
  <c r="AY263" i="3"/>
  <c r="AY214" i="3"/>
  <c r="AY357" i="3"/>
  <c r="AY104" i="3"/>
  <c r="AY197" i="3"/>
  <c r="AY290" i="3"/>
  <c r="AY377" i="3"/>
  <c r="AY332" i="3"/>
  <c r="AY457" i="3"/>
  <c r="AY427" i="3"/>
  <c r="AY561" i="3"/>
  <c r="AY510" i="3"/>
  <c r="AY514" i="3"/>
  <c r="AY80" i="3"/>
  <c r="AY169" i="3"/>
  <c r="AY266" i="3"/>
  <c r="AY345" i="3"/>
  <c r="AY487" i="3"/>
  <c r="AY442" i="3"/>
  <c r="AY579" i="3"/>
  <c r="AY502" i="3"/>
  <c r="AY531" i="3"/>
  <c r="AY78" i="3"/>
  <c r="AY167" i="3"/>
  <c r="AY264" i="3"/>
  <c r="AY331" i="3"/>
  <c r="AY424" i="3"/>
  <c r="AY512" i="3"/>
  <c r="AY70" i="3"/>
  <c r="AY159" i="3"/>
  <c r="AY256" i="3"/>
  <c r="AY323" i="3"/>
  <c r="AY416" i="3"/>
  <c r="AY504" i="3"/>
  <c r="AY66" i="3"/>
  <c r="AY155" i="3"/>
  <c r="AY188" i="3"/>
  <c r="AY58" i="3"/>
  <c r="AY225" i="3"/>
  <c r="AY318" i="3"/>
  <c r="AY409" i="3"/>
  <c r="AY245" i="3"/>
  <c r="AY358" i="3"/>
  <c r="AY452" i="3"/>
  <c r="BK6" i="3"/>
  <c r="AY553" i="3"/>
  <c r="AY45" i="3"/>
  <c r="AY206" i="3"/>
  <c r="AY138" i="3"/>
  <c r="AY299" i="3"/>
  <c r="AY231" i="3"/>
  <c r="AY392" i="3"/>
  <c r="AY554" i="3"/>
  <c r="AY41" i="3"/>
  <c r="AY177" i="3"/>
  <c r="AY274" i="3"/>
  <c r="AY349" i="3"/>
  <c r="AY491" i="3"/>
  <c r="AY446" i="3"/>
  <c r="AY581" i="3"/>
  <c r="BF6" i="3"/>
  <c r="AY16" i="3"/>
  <c r="AY519" i="3"/>
  <c r="AY37" i="3"/>
  <c r="AY129" i="3"/>
  <c r="AY223" i="3"/>
  <c r="AY313" i="3"/>
  <c r="AY484" i="3"/>
  <c r="AY410" i="3"/>
  <c r="AY499" i="3"/>
  <c r="AY509" i="3"/>
  <c r="BA6" i="3"/>
  <c r="AY35" i="3"/>
  <c r="AY127" i="3"/>
  <c r="AY221" i="3"/>
  <c r="AY314" i="3"/>
  <c r="AY405" i="3"/>
  <c r="AY587" i="3"/>
  <c r="AY27" i="3"/>
  <c r="AY119" i="3"/>
  <c r="AY213" i="3"/>
  <c r="AY306" i="3"/>
  <c r="AY550" i="3"/>
  <c r="AY498" i="3"/>
  <c r="AY50" i="3"/>
  <c r="AY139" i="3"/>
  <c r="AY183" i="3"/>
  <c r="AY204" i="3"/>
  <c r="AY209" i="3"/>
  <c r="AY489" i="3"/>
  <c r="AY497" i="3"/>
  <c r="AY229" i="3"/>
  <c r="AY343" i="3"/>
  <c r="AY436" i="3"/>
  <c r="AY573" i="3"/>
  <c r="AY105" i="3"/>
  <c r="AY84" i="3"/>
  <c r="AY198" i="3"/>
  <c r="AY173" i="3"/>
  <c r="AY291" i="3"/>
  <c r="AY270" i="3"/>
  <c r="AY384" i="3"/>
  <c r="AY507" i="3"/>
  <c r="AY72" i="3"/>
  <c r="AY161" i="3"/>
  <c r="AY258" i="3"/>
  <c r="AY341" i="3"/>
  <c r="AY483" i="3"/>
  <c r="AY438" i="3"/>
  <c r="AY503" i="3"/>
  <c r="AY536" i="3"/>
  <c r="AY543" i="3"/>
  <c r="AY523" i="3"/>
  <c r="AY21" i="3"/>
  <c r="AY113" i="3"/>
  <c r="AY396" i="3"/>
  <c r="AY305" i="3"/>
  <c r="AY476" i="3"/>
  <c r="AY402" i="3"/>
  <c r="AY538" i="3"/>
  <c r="AY551" i="3"/>
  <c r="AY493" i="3"/>
  <c r="AY19" i="3"/>
  <c r="AY301" i="3"/>
  <c r="AY394" i="3"/>
  <c r="AY485" i="3"/>
  <c r="AY500" i="3"/>
  <c r="AY107" i="3"/>
  <c r="AY200" i="3"/>
  <c r="AY293" i="3"/>
  <c r="AY386" i="3"/>
  <c r="AY477" i="3"/>
  <c r="AY521" i="3"/>
  <c r="AY51" i="3"/>
  <c r="AY90" i="3"/>
  <c r="AY284" i="3"/>
  <c r="AY334" i="3"/>
  <c r="AY116" i="3"/>
  <c r="AY310" i="3"/>
  <c r="AY544" i="3"/>
  <c r="AY61" i="3"/>
  <c r="AY178" i="3"/>
  <c r="AY286" i="3"/>
  <c r="AY211" i="3"/>
  <c r="AY88" i="3"/>
  <c r="AY295" i="3"/>
  <c r="AY333" i="3"/>
  <c r="AY462" i="3"/>
  <c r="AY516" i="3"/>
  <c r="AY532" i="3"/>
  <c r="AY32" i="3"/>
  <c r="AY250" i="3"/>
  <c r="AY312" i="3"/>
  <c r="AY439" i="3"/>
  <c r="AY565" i="3"/>
  <c r="AY47" i="3"/>
  <c r="AY265" i="3"/>
  <c r="AY330" i="3"/>
  <c r="AY560" i="3"/>
  <c r="AY22" i="3"/>
  <c r="AY241" i="3"/>
  <c r="AY322" i="3"/>
  <c r="AY511" i="3"/>
  <c r="AY82" i="3"/>
  <c r="AY74" i="3"/>
  <c r="AY253" i="3"/>
  <c r="AY473" i="3"/>
  <c r="AY300" i="3"/>
  <c r="AY481" i="3"/>
  <c r="AY540" i="3"/>
  <c r="AY53" i="3"/>
  <c r="AY162" i="3"/>
  <c r="AY278" i="3"/>
  <c r="AY397" i="3"/>
  <c r="AY73" i="3"/>
  <c r="AY279" i="3"/>
  <c r="AY309" i="3"/>
  <c r="AY454" i="3"/>
  <c r="AY572" i="3"/>
  <c r="AY494" i="3"/>
  <c r="AY194" i="3"/>
  <c r="AY234" i="3"/>
  <c r="AY304" i="3"/>
  <c r="AY415" i="3"/>
  <c r="AY537" i="3"/>
  <c r="AY62" i="3"/>
  <c r="AY249" i="3"/>
  <c r="AY469" i="3"/>
  <c r="AY528" i="3"/>
  <c r="AY184" i="3"/>
  <c r="AY272" i="3"/>
  <c r="AY490" i="3"/>
  <c r="AY583" i="3"/>
  <c r="AY34" i="3"/>
  <c r="AY42" i="3"/>
  <c r="AY237" i="3"/>
  <c r="AY455" i="3"/>
  <c r="AY269" i="3"/>
  <c r="AY478" i="3"/>
  <c r="AY533" i="3"/>
  <c r="AY76" i="3"/>
  <c r="AY154" i="3"/>
  <c r="AY271" i="3"/>
  <c r="AY373" i="3"/>
  <c r="AY57" i="3"/>
  <c r="AY275" i="3"/>
  <c r="AY348" i="3"/>
  <c r="AY430" i="3"/>
  <c r="AY534" i="3"/>
  <c r="AY556" i="3"/>
  <c r="AY174" i="3"/>
  <c r="AY218" i="3"/>
  <c r="AY479" i="3"/>
  <c r="AY407" i="3"/>
  <c r="AY542" i="3"/>
  <c r="AY46" i="3"/>
  <c r="AY233" i="3"/>
  <c r="AY482" i="3"/>
  <c r="AY568" i="3"/>
  <c r="AY195" i="3"/>
  <c r="AY240" i="3"/>
  <c r="AY474" i="3"/>
  <c r="BT6" i="3"/>
  <c r="AY196" i="3"/>
  <c r="AY31" i="3"/>
  <c r="AY252" i="3"/>
  <c r="AY460" i="3"/>
  <c r="AY260" i="3"/>
  <c r="AY463" i="3"/>
  <c r="BO6" i="3"/>
  <c r="AY52" i="3"/>
  <c r="AY146" i="3"/>
  <c r="AY255" i="3"/>
  <c r="AY374" i="3"/>
  <c r="AY56" i="3"/>
  <c r="AY259" i="3"/>
  <c r="AY340" i="3"/>
  <c r="AY406" i="3"/>
  <c r="BN6" i="3"/>
  <c r="AY496" i="3"/>
  <c r="AY158" i="3"/>
  <c r="AY380" i="3"/>
  <c r="AY471" i="3"/>
  <c r="AY399" i="3"/>
  <c r="AY545" i="3"/>
  <c r="AY30" i="3"/>
  <c r="AY248" i="3"/>
  <c r="AY451" i="3"/>
  <c r="BL6" i="3"/>
  <c r="AY164" i="3"/>
  <c r="AY224" i="3"/>
  <c r="AY443" i="3"/>
  <c r="AY586" i="3"/>
  <c r="AY207" i="3"/>
  <c r="AY152" i="3"/>
  <c r="AY236" i="3"/>
  <c r="AY444" i="3"/>
  <c r="AY212" i="3"/>
  <c r="AY447" i="3"/>
  <c r="AY539" i="3"/>
  <c r="AY44" i="3"/>
  <c r="AY165" i="3"/>
  <c r="AY247" i="3"/>
  <c r="AY365" i="3"/>
  <c r="AY29" i="3"/>
  <c r="AY243" i="3"/>
  <c r="AY324" i="3"/>
  <c r="AY398" i="3"/>
  <c r="AY571" i="3"/>
  <c r="AY582" i="3"/>
  <c r="AY142" i="3"/>
  <c r="AY361" i="3"/>
  <c r="AY492" i="3"/>
  <c r="AY505" i="3"/>
  <c r="AY570" i="3"/>
  <c r="AY192" i="3"/>
  <c r="AY232" i="3"/>
  <c r="AY456" i="3"/>
  <c r="AY576" i="3"/>
  <c r="AY148" i="3"/>
  <c r="AY208" i="3"/>
  <c r="AY448" i="3"/>
  <c r="AY567" i="3"/>
  <c r="AY191" i="3"/>
  <c r="AY123" i="3"/>
  <c r="AY220" i="3"/>
  <c r="AY412" i="3"/>
  <c r="AY217" i="3"/>
  <c r="AY420" i="3"/>
  <c r="BE6" i="3"/>
  <c r="AY36" i="3"/>
  <c r="AY141" i="3"/>
  <c r="AY239" i="3"/>
  <c r="AY368" i="3"/>
  <c r="AY202" i="3"/>
  <c r="AY242" i="3"/>
  <c r="AY316" i="3"/>
  <c r="AY435" i="3"/>
  <c r="AY520" i="3"/>
  <c r="AY577" i="3"/>
  <c r="AY153" i="3"/>
  <c r="AY364" i="3"/>
  <c r="AY468" i="3"/>
  <c r="AY506" i="3"/>
  <c r="AY548" i="3"/>
  <c r="AY172" i="3"/>
  <c r="AY216" i="3"/>
  <c r="AY440" i="3"/>
  <c r="AY91" i="3"/>
  <c r="AY175" i="3"/>
  <c r="AY391" i="3"/>
  <c r="AY432" i="3"/>
  <c r="AY160" i="3"/>
  <c r="AY281" i="3"/>
  <c r="AY382" i="3"/>
  <c r="AY441" i="3"/>
  <c r="AY390" i="3"/>
  <c r="AY417" i="3"/>
  <c r="AY555" i="3"/>
  <c r="AY20" i="3"/>
  <c r="AY133" i="3"/>
  <c r="AY262" i="3"/>
  <c r="AY360" i="3"/>
  <c r="AY186" i="3"/>
  <c r="AY215" i="3"/>
  <c r="AY308" i="3"/>
  <c r="AY419" i="3"/>
  <c r="AY495" i="3"/>
  <c r="AY101" i="3"/>
  <c r="AY137" i="3"/>
  <c r="AY352" i="3"/>
  <c r="AY445" i="3"/>
  <c r="AY17" i="3"/>
  <c r="BP6" i="3"/>
  <c r="AY156" i="3"/>
  <c r="AY378" i="3"/>
  <c r="AY408" i="3"/>
  <c r="AY102" i="3"/>
  <c r="AY143" i="3"/>
  <c r="AY375" i="3"/>
  <c r="AY400" i="3"/>
  <c r="AY144" i="3"/>
  <c r="AY292" i="3"/>
  <c r="AY363" i="3"/>
  <c r="AY425" i="3"/>
  <c r="AY379" i="3"/>
  <c r="AY401" i="3"/>
  <c r="AY97" i="3"/>
  <c r="AY33" i="3"/>
  <c r="AY126" i="3"/>
  <c r="AY238" i="3"/>
  <c r="BS6" i="3"/>
  <c r="AY181" i="3"/>
  <c r="AY388" i="3"/>
  <c r="AY475" i="3"/>
  <c r="AY411" i="3"/>
  <c r="AY518" i="3"/>
  <c r="AY81" i="3"/>
  <c r="AY122" i="3"/>
  <c r="AY337" i="3"/>
  <c r="AY458" i="3"/>
  <c r="AY14" i="3"/>
  <c r="AY578" i="3"/>
  <c r="AY140" i="3"/>
  <c r="AY359" i="3"/>
  <c r="AY437" i="3"/>
  <c r="AY71" i="3"/>
  <c r="AY128" i="3"/>
  <c r="AY351" i="3"/>
  <c r="AY429" i="3"/>
  <c r="AY103" i="3"/>
  <c r="AY171" i="3"/>
  <c r="AY261" i="3"/>
  <c r="AY366" i="3"/>
  <c r="AY529" i="3"/>
  <c r="AY372" i="3"/>
  <c r="AY535" i="3"/>
  <c r="AY100" i="3"/>
  <c r="AY25" i="3"/>
  <c r="AY134" i="3"/>
  <c r="AY230" i="3"/>
  <c r="BH6" i="3"/>
  <c r="AY166" i="3"/>
  <c r="AY393" i="3"/>
  <c r="AY480" i="3"/>
  <c r="AY403" i="3"/>
  <c r="AY552" i="3"/>
  <c r="AY65" i="3"/>
  <c r="AY287" i="3"/>
  <c r="AY329" i="3"/>
  <c r="AY450" i="3"/>
  <c r="AY522" i="3"/>
  <c r="AY563" i="3"/>
  <c r="AY151" i="3"/>
  <c r="AY362" i="3"/>
  <c r="AY421" i="3"/>
  <c r="AY55" i="3"/>
  <c r="AY136" i="3"/>
  <c r="AY354" i="3"/>
  <c r="AY413" i="3"/>
  <c r="AY87" i="3"/>
  <c r="AY124" i="3"/>
  <c r="AY111" i="3"/>
  <c r="AY350" i="3"/>
  <c r="AY43" i="3"/>
  <c r="AY355" i="3"/>
  <c r="AY557" i="3"/>
  <c r="AY92" i="3"/>
  <c r="AY190" i="3"/>
  <c r="AY125" i="3"/>
  <c r="AY222" i="3"/>
  <c r="BB6" i="3"/>
  <c r="AY150" i="3"/>
  <c r="AY370" i="3"/>
  <c r="AY472" i="3"/>
  <c r="BQ6" i="3"/>
  <c r="BG6" i="3"/>
  <c r="AY49" i="3"/>
  <c r="AY267" i="3"/>
  <c r="AY321" i="3"/>
  <c r="AY434" i="3"/>
  <c r="AY524" i="3"/>
  <c r="AY99" i="3"/>
  <c r="AY135" i="3"/>
  <c r="AY347" i="3"/>
  <c r="AY558" i="3"/>
  <c r="AY39" i="3"/>
  <c r="AY277" i="3"/>
  <c r="AY339" i="3"/>
  <c r="BD6" i="3"/>
  <c r="AY168" i="3"/>
  <c r="AY185" i="3"/>
  <c r="AY449" i="3"/>
  <c r="AY418" i="3"/>
  <c r="AY38" i="3"/>
  <c r="AY319" i="3"/>
  <c r="AY117" i="3"/>
  <c r="AY580" i="3"/>
  <c r="AY575" i="3"/>
  <c r="AY288" i="3"/>
  <c r="AY303" i="3"/>
  <c r="AY283" i="3"/>
  <c r="AY585" i="3"/>
  <c r="AY515" i="3"/>
  <c r="AY257" i="3"/>
  <c r="AY26" i="3"/>
  <c r="AY227" i="3"/>
  <c r="AY559" i="3"/>
  <c r="AY79" i="3"/>
  <c r="AY307" i="3"/>
  <c r="AY199" i="3"/>
  <c r="AY219" i="3"/>
  <c r="AY501" i="3"/>
  <c r="AY63" i="3"/>
  <c r="AY338" i="3"/>
  <c r="AY327" i="3"/>
  <c r="AY109" i="3"/>
  <c r="AY64" i="3"/>
  <c r="AY120" i="3"/>
  <c r="AY15" i="3"/>
  <c r="AY326" i="3"/>
  <c r="AY93" i="3"/>
  <c r="AY48" i="3"/>
  <c r="AY285" i="3"/>
  <c r="AY566" i="3"/>
  <c r="AY98" i="3"/>
  <c r="AY549" i="3"/>
  <c r="AY145" i="3"/>
  <c r="AY251" i="3"/>
  <c r="AY315" i="3"/>
  <c r="AY67" i="3"/>
  <c r="AY562" i="3"/>
  <c r="AY121" i="3"/>
  <c r="AY235" i="3"/>
  <c r="AY346" i="3"/>
  <c r="AY289" i="3"/>
  <c r="AY85" i="3"/>
  <c r="AY353" i="3"/>
  <c r="AY344" i="3"/>
  <c r="AY13" i="3"/>
  <c r="AY95" i="3"/>
  <c r="AY69" i="3"/>
  <c r="AY356" i="3"/>
  <c r="AY320" i="3"/>
  <c r="AY547" i="3"/>
  <c r="AY54" i="3"/>
  <c r="AY75" i="3"/>
  <c r="AY193" i="3"/>
  <c r="AY464" i="3"/>
  <c r="AY426" i="3"/>
  <c r="C33" i="15"/>
  <c r="J68" i="39"/>
  <c r="I70" i="39"/>
  <c r="C36" i="36"/>
  <c r="C37" i="36"/>
  <c r="B2" i="36" s="1"/>
  <c r="B3" i="36" s="1"/>
  <c r="E40" i="36"/>
  <c r="F40" i="36" s="1"/>
  <c r="E41" i="36"/>
  <c r="F41" i="36" s="1"/>
  <c r="C14" i="15"/>
  <c r="C17" i="78"/>
  <c r="AQ7" i="1" l="1"/>
  <c r="E7" i="70"/>
  <c r="E2" i="70" s="1"/>
  <c r="T7" i="1"/>
  <c r="AR7" i="1"/>
  <c r="C7" i="71"/>
  <c r="D8" i="71"/>
  <c r="C15" i="15"/>
  <c r="C18" i="15"/>
  <c r="M27" i="6"/>
  <c r="B3" i="76"/>
  <c r="B2" i="34"/>
  <c r="B3" i="34" s="1"/>
  <c r="I65" i="40"/>
  <c r="J63" i="40"/>
  <c r="J58" i="33"/>
  <c r="Q48" i="67"/>
  <c r="L46" i="67"/>
  <c r="B14" i="74"/>
  <c r="P14" i="1"/>
  <c r="P16" i="1" s="1"/>
  <c r="C11" i="12" s="1"/>
  <c r="J13" i="67"/>
  <c r="J23" i="67" s="1"/>
  <c r="J22" i="67"/>
  <c r="D10" i="11"/>
  <c r="C10" i="11" s="1"/>
  <c r="D10" i="69"/>
  <c r="D10" i="68"/>
  <c r="D20" i="12"/>
  <c r="C20" i="12" s="1"/>
  <c r="C18" i="12" s="1"/>
  <c r="C61" i="67"/>
  <c r="C64" i="67"/>
  <c r="N16" i="1"/>
  <c r="C34" i="68"/>
  <c r="L16" i="1"/>
  <c r="C34" i="11"/>
  <c r="J70" i="39"/>
  <c r="K68" i="39"/>
  <c r="C20" i="11"/>
  <c r="C25" i="11" s="1"/>
  <c r="C24" i="11"/>
  <c r="D17" i="12"/>
  <c r="C17" i="12" s="1"/>
  <c r="C14" i="12"/>
  <c r="C75" i="67"/>
  <c r="C56" i="67"/>
  <c r="C65" i="67" s="1"/>
  <c r="Q70" i="67"/>
  <c r="C37" i="67"/>
  <c r="M19" i="9"/>
  <c r="C118" i="9" s="1"/>
  <c r="C14" i="74" s="1"/>
  <c r="D14" i="6"/>
  <c r="D28" i="6"/>
  <c r="D26" i="6"/>
  <c r="D5" i="6"/>
  <c r="D8" i="6"/>
  <c r="D11" i="6"/>
  <c r="H26" i="6"/>
  <c r="D21" i="6"/>
  <c r="D10" i="6"/>
  <c r="H24" i="6"/>
  <c r="D19" i="6"/>
  <c r="D9" i="6"/>
  <c r="D25" i="6"/>
  <c r="D13" i="6"/>
  <c r="D15" i="6"/>
  <c r="L19" i="9"/>
  <c r="C18" i="4"/>
  <c r="D29" i="6"/>
  <c r="H19" i="6"/>
  <c r="D22" i="6"/>
  <c r="E61" i="40"/>
  <c r="H20" i="6"/>
  <c r="D23" i="6"/>
  <c r="H25" i="6"/>
  <c r="D24" i="6"/>
  <c r="H22" i="6"/>
  <c r="D20" i="6"/>
  <c r="H23" i="6"/>
  <c r="H21" i="6"/>
  <c r="D6" i="6"/>
  <c r="D12" i="6"/>
  <c r="I27" i="6"/>
  <c r="S19" i="6"/>
  <c r="S27" i="6" s="1"/>
  <c r="C14" i="78"/>
  <c r="C15" i="78" l="1"/>
  <c r="C18" i="78"/>
  <c r="T16" i="1"/>
  <c r="C6" i="71"/>
  <c r="D7" i="71"/>
  <c r="C28" i="11"/>
  <c r="C27" i="11" s="1"/>
  <c r="C19" i="15"/>
  <c r="C20" i="15" s="1"/>
  <c r="C26" i="15" s="1"/>
  <c r="C22" i="11"/>
  <c r="C31" i="11" s="1"/>
  <c r="H27" i="6"/>
  <c r="R25" i="6"/>
  <c r="R21" i="6"/>
  <c r="D30" i="6"/>
  <c r="D16" i="6"/>
  <c r="R22" i="6"/>
  <c r="K63" i="40"/>
  <c r="J65" i="40"/>
  <c r="A7" i="51"/>
  <c r="B7" i="72" s="1"/>
  <c r="A10" i="51"/>
  <c r="B9" i="72" s="1"/>
  <c r="C4" i="52"/>
  <c r="B45" i="72" s="1"/>
  <c r="L68" i="39"/>
  <c r="K70" i="39"/>
  <c r="B1" i="74"/>
  <c r="K58" i="33"/>
  <c r="R20" i="6"/>
  <c r="R7" i="1" s="1"/>
  <c r="R26" i="6"/>
  <c r="R24" i="6"/>
  <c r="C10" i="68"/>
  <c r="D19" i="68"/>
  <c r="R23" i="6"/>
  <c r="R19" i="6"/>
  <c r="D27" i="6"/>
  <c r="B2" i="74"/>
  <c r="C10" i="69"/>
  <c r="C8" i="69" s="1"/>
  <c r="C5" i="69" s="1"/>
  <c r="D19" i="69"/>
  <c r="C38" i="11"/>
  <c r="C35" i="11"/>
  <c r="C35" i="68"/>
  <c r="C38" i="68"/>
  <c r="C15" i="12"/>
  <c r="C12" i="12"/>
  <c r="F50" i="68"/>
  <c r="F50" i="11"/>
  <c r="F50" i="69"/>
  <c r="C19" i="78" l="1"/>
  <c r="C20" i="78" s="1"/>
  <c r="C26" i="78" s="1"/>
  <c r="D6" i="71"/>
  <c r="C5" i="71"/>
  <c r="C23" i="15"/>
  <c r="C29" i="15" s="1"/>
  <c r="R27" i="6"/>
  <c r="R6" i="1"/>
  <c r="D31" i="6"/>
  <c r="I6" i="6" s="1"/>
  <c r="C33" i="11"/>
  <c r="C42" i="11" s="1"/>
  <c r="C16" i="12"/>
  <c r="C21" i="12" s="1"/>
  <c r="C22" i="12" s="1"/>
  <c r="C30" i="12" s="1"/>
  <c r="C28" i="12" s="1"/>
  <c r="L63" i="40"/>
  <c r="K65" i="40"/>
  <c r="C19" i="68"/>
  <c r="D37" i="68"/>
  <c r="C37" i="68" s="1"/>
  <c r="C33" i="68" s="1"/>
  <c r="L58" i="33"/>
  <c r="C19" i="69"/>
  <c r="C24" i="69" s="1"/>
  <c r="D37" i="69"/>
  <c r="C37" i="69" s="1"/>
  <c r="C33" i="69" s="1"/>
  <c r="C8" i="74"/>
  <c r="C7" i="74"/>
  <c r="C23" i="69"/>
  <c r="D8" i="74"/>
  <c r="D7" i="74"/>
  <c r="M68" i="39"/>
  <c r="L70" i="39"/>
  <c r="F35" i="15"/>
  <c r="M21" i="67"/>
  <c r="F35" i="78"/>
  <c r="M21" i="15"/>
  <c r="F35" i="67"/>
  <c r="M21" i="78"/>
  <c r="C23" i="78" l="1"/>
  <c r="C29" i="78" s="1"/>
  <c r="J59" i="78" s="1"/>
  <c r="J60" i="78" s="1"/>
  <c r="D5" i="71"/>
  <c r="M20" i="43" s="1"/>
  <c r="J20" i="78"/>
  <c r="F63" i="78"/>
  <c r="C62" i="78" s="1"/>
  <c r="C34" i="78"/>
  <c r="C31" i="78" s="1"/>
  <c r="J59" i="15"/>
  <c r="J60" i="15" s="1"/>
  <c r="Q48" i="15" s="1"/>
  <c r="C57" i="15"/>
  <c r="J19" i="15"/>
  <c r="C13" i="15"/>
  <c r="J14" i="15"/>
  <c r="Q49" i="15"/>
  <c r="C36" i="15"/>
  <c r="J20" i="67"/>
  <c r="J17" i="67" s="1"/>
  <c r="J16" i="67" s="1"/>
  <c r="J25" i="67" s="1"/>
  <c r="C34" i="15"/>
  <c r="C31" i="15" s="1"/>
  <c r="F63" i="15"/>
  <c r="C62" i="15" s="1"/>
  <c r="F63" i="67"/>
  <c r="C62" i="67" s="1"/>
  <c r="C59" i="67" s="1"/>
  <c r="C58" i="67" s="1"/>
  <c r="C67" i="67" s="1"/>
  <c r="C68" i="67" s="1"/>
  <c r="C34" i="67"/>
  <c r="C31" i="67" s="1"/>
  <c r="C30" i="67" s="1"/>
  <c r="C39" i="67" s="1"/>
  <c r="J20" i="15"/>
  <c r="R16" i="1"/>
  <c r="C39" i="11"/>
  <c r="C43" i="11" s="1"/>
  <c r="C41" i="11" s="1"/>
  <c r="I5" i="6"/>
  <c r="M63" i="40"/>
  <c r="L65" i="40"/>
  <c r="C27" i="12"/>
  <c r="C25" i="12" s="1"/>
  <c r="C32" i="12" s="1"/>
  <c r="B2" i="12" s="1"/>
  <c r="B3" i="12" s="1"/>
  <c r="C39" i="69"/>
  <c r="C43" i="69" s="1"/>
  <c r="C42" i="69"/>
  <c r="C39" i="68"/>
  <c r="C43" i="68" s="1"/>
  <c r="C42" i="68"/>
  <c r="C20" i="69"/>
  <c r="C25" i="69" s="1"/>
  <c r="C22" i="69" s="1"/>
  <c r="C24" i="68"/>
  <c r="M70" i="39"/>
  <c r="N68" i="39"/>
  <c r="M58" i="33"/>
  <c r="L51" i="67"/>
  <c r="J19" i="78" l="1"/>
  <c r="J17" i="78" s="1"/>
  <c r="C57" i="78"/>
  <c r="C61" i="78" s="1"/>
  <c r="C59" i="78" s="1"/>
  <c r="C13" i="78"/>
  <c r="Q70" i="78" s="1"/>
  <c r="J14" i="78"/>
  <c r="J13" i="78" s="1"/>
  <c r="J23" i="78" s="1"/>
  <c r="Q49" i="78"/>
  <c r="C36" i="78"/>
  <c r="L46" i="78"/>
  <c r="Q48" i="78"/>
  <c r="C64" i="15"/>
  <c r="C61" i="15"/>
  <c r="C59" i="15" s="1"/>
  <c r="J17" i="15"/>
  <c r="Q70" i="15"/>
  <c r="C37" i="15"/>
  <c r="C30" i="15" s="1"/>
  <c r="C39" i="15" s="1"/>
  <c r="C75" i="15"/>
  <c r="C56" i="15"/>
  <c r="C65" i="15" s="1"/>
  <c r="J13" i="15"/>
  <c r="J23" i="15" s="1"/>
  <c r="J22" i="15"/>
  <c r="C41" i="69"/>
  <c r="C41" i="68"/>
  <c r="Q67" i="67"/>
  <c r="L57" i="67"/>
  <c r="L60" i="67" s="1"/>
  <c r="L57" i="15"/>
  <c r="L60" i="15" s="1"/>
  <c r="L46" i="15" s="1"/>
  <c r="Q69" i="67"/>
  <c r="Q68" i="67" s="1"/>
  <c r="C80" i="67"/>
  <c r="C79" i="67" s="1"/>
  <c r="C40" i="67"/>
  <c r="C45" i="67" s="1"/>
  <c r="C46" i="67" s="1"/>
  <c r="C71" i="67"/>
  <c r="C46" i="11"/>
  <c r="C45" i="11" s="1"/>
  <c r="C49" i="11" s="1"/>
  <c r="C51" i="11" s="1"/>
  <c r="C52" i="11" s="1"/>
  <c r="B2" i="11" s="1"/>
  <c r="B3" i="11" s="1"/>
  <c r="C46" i="68"/>
  <c r="C45" i="68" s="1"/>
  <c r="C28" i="69"/>
  <c r="C27" i="69" s="1"/>
  <c r="C31" i="69" s="1"/>
  <c r="N63" i="40"/>
  <c r="M65" i="40"/>
  <c r="N58" i="33"/>
  <c r="O58" i="33" s="1"/>
  <c r="F7" i="33"/>
  <c r="O68" i="39"/>
  <c r="O70" i="39" s="1"/>
  <c r="N70" i="39"/>
  <c r="C46" i="69"/>
  <c r="C45" i="69" s="1"/>
  <c r="L51" i="15"/>
  <c r="C37" i="78" l="1"/>
  <c r="C30" i="78" s="1"/>
  <c r="C39" i="78" s="1"/>
  <c r="C40" i="78" s="1"/>
  <c r="C56" i="78"/>
  <c r="C65" i="78" s="1"/>
  <c r="C75" i="78"/>
  <c r="C64" i="78"/>
  <c r="J22" i="78"/>
  <c r="J16" i="78" s="1"/>
  <c r="J25" i="78" s="1"/>
  <c r="J16" i="15"/>
  <c r="J25" i="15" s="1"/>
  <c r="C58" i="15"/>
  <c r="C67" i="15" s="1"/>
  <c r="C68" i="15" s="1"/>
  <c r="C71" i="15" s="1"/>
  <c r="Q67" i="15"/>
  <c r="C80" i="15"/>
  <c r="C79" i="15" s="1"/>
  <c r="Q69" i="15"/>
  <c r="Q68" i="15" s="1"/>
  <c r="C40" i="15"/>
  <c r="C49" i="68"/>
  <c r="C51" i="68" s="1"/>
  <c r="C49" i="69"/>
  <c r="C51" i="69" s="1"/>
  <c r="C52" i="69" s="1"/>
  <c r="B2" i="69" s="1"/>
  <c r="B3" i="69" s="1"/>
  <c r="Q47" i="67"/>
  <c r="Q53" i="67" s="1"/>
  <c r="D2" i="67"/>
  <c r="C83" i="67"/>
  <c r="C82" i="67" s="1"/>
  <c r="C43" i="67"/>
  <c r="Q65" i="67"/>
  <c r="Q56" i="67"/>
  <c r="Q66" i="15"/>
  <c r="Q57" i="15"/>
  <c r="Q66" i="67"/>
  <c r="Q57" i="67"/>
  <c r="C56" i="11"/>
  <c r="C57" i="11" s="1"/>
  <c r="N65" i="40"/>
  <c r="O63" i="40"/>
  <c r="O65" i="40" s="1"/>
  <c r="F7" i="39"/>
  <c r="H7" i="39"/>
  <c r="J7" i="39"/>
  <c r="AA7" i="33"/>
  <c r="R48" i="33" s="1"/>
  <c r="S7" i="33"/>
  <c r="H7" i="33"/>
  <c r="J7" i="33"/>
  <c r="L51" i="78"/>
  <c r="C58" i="78" l="1"/>
  <c r="C67" i="78" s="1"/>
  <c r="C68" i="78" s="1"/>
  <c r="C71" i="78" s="1"/>
  <c r="Q69" i="78"/>
  <c r="Q68" i="78" s="1"/>
  <c r="C80" i="78"/>
  <c r="C79" i="78" s="1"/>
  <c r="Q47" i="78"/>
  <c r="Q53" i="78" s="1"/>
  <c r="C83" i="78"/>
  <c r="C82" i="78" s="1"/>
  <c r="Q56" i="78"/>
  <c r="Q62" i="78" s="1"/>
  <c r="C43" i="78"/>
  <c r="B2" i="78"/>
  <c r="B3" i="78" s="1"/>
  <c r="Q65" i="78"/>
  <c r="Q75" i="78" s="1"/>
  <c r="Q67" i="78"/>
  <c r="C46" i="15"/>
  <c r="B2" i="15"/>
  <c r="B3" i="15" s="1"/>
  <c r="Q47" i="15"/>
  <c r="Q53" i="15" s="1"/>
  <c r="C43" i="15"/>
  <c r="C83" i="15"/>
  <c r="C82" i="15" s="1"/>
  <c r="Q56" i="15"/>
  <c r="Q62" i="15" s="1"/>
  <c r="Q65" i="15"/>
  <c r="Q75" i="15" s="1"/>
  <c r="Q62" i="67"/>
  <c r="Q75" i="67"/>
  <c r="B2" i="67"/>
  <c r="B3" i="67"/>
  <c r="H7" i="40"/>
  <c r="F7" i="40"/>
  <c r="J7" i="40"/>
  <c r="E48" i="33"/>
  <c r="R49" i="33"/>
  <c r="S7" i="39"/>
  <c r="AA7" i="39"/>
  <c r="R47" i="39" s="1"/>
  <c r="AB7" i="39"/>
  <c r="T47" i="39" s="1"/>
  <c r="G47" i="39" s="1"/>
  <c r="U7" i="39"/>
  <c r="AC7" i="39"/>
  <c r="V47" i="39" s="1"/>
  <c r="I47" i="39" s="1"/>
  <c r="W7" i="39"/>
  <c r="AC7" i="33"/>
  <c r="V48" i="33" s="1"/>
  <c r="I48" i="33" s="1"/>
  <c r="W7" i="33"/>
  <c r="AB7" i="33"/>
  <c r="T48" i="33" s="1"/>
  <c r="G48" i="33" s="1"/>
  <c r="U7" i="33"/>
  <c r="C57" i="69"/>
  <c r="C56" i="69" s="1"/>
  <c r="AO7" i="1"/>
  <c r="AO6" i="1"/>
  <c r="C46" i="78" l="1"/>
  <c r="B7" i="70"/>
  <c r="B6" i="70"/>
  <c r="W7" i="40"/>
  <c r="AC7" i="40"/>
  <c r="V42" i="40" s="1"/>
  <c r="I42" i="40" s="1"/>
  <c r="S7" i="40"/>
  <c r="AA7" i="40"/>
  <c r="R42" i="40" s="1"/>
  <c r="AB7" i="40"/>
  <c r="T42" i="40" s="1"/>
  <c r="G42" i="40" s="1"/>
  <c r="U7" i="40"/>
  <c r="I52" i="33"/>
  <c r="J52" i="33" s="1"/>
  <c r="I53" i="33"/>
  <c r="J53" i="33" s="1"/>
  <c r="I51" i="39"/>
  <c r="J51" i="39" s="1"/>
  <c r="G52" i="33"/>
  <c r="H52" i="33" s="1"/>
  <c r="G53" i="33"/>
  <c r="H53" i="33" s="1"/>
  <c r="E47" i="39"/>
  <c r="R48" i="39"/>
  <c r="E53" i="33"/>
  <c r="F53" i="33" s="1"/>
  <c r="E52" i="33"/>
  <c r="F52" i="33" s="1"/>
  <c r="G51" i="39"/>
  <c r="H51" i="39" s="1"/>
  <c r="G52" i="39"/>
  <c r="H52" i="39" s="1"/>
  <c r="C48" i="33"/>
  <c r="C49" i="33"/>
  <c r="B2" i="33" s="1"/>
  <c r="B3" i="33" s="1"/>
  <c r="B2" i="70" l="1"/>
  <c r="R43" i="40"/>
  <c r="E42" i="40"/>
  <c r="I47" i="40" s="1"/>
  <c r="J47" i="40" s="1"/>
  <c r="G46" i="40"/>
  <c r="H46" i="40" s="1"/>
  <c r="G47" i="40"/>
  <c r="H47" i="40" s="1"/>
  <c r="I46" i="40"/>
  <c r="J46" i="40" s="1"/>
  <c r="E52" i="39"/>
  <c r="F52" i="39" s="1"/>
  <c r="E51" i="39"/>
  <c r="F51" i="39" s="1"/>
  <c r="C48" i="39"/>
  <c r="C47" i="39"/>
  <c r="I52" i="39"/>
  <c r="J52" i="39" s="1"/>
  <c r="D19" i="9"/>
  <c r="D102" i="9" l="1"/>
  <c r="D21" i="9"/>
  <c r="B3" i="70"/>
  <c r="E47" i="40"/>
  <c r="F47" i="40" s="1"/>
  <c r="E46" i="40"/>
  <c r="F46" i="40" s="1"/>
  <c r="C43" i="40"/>
  <c r="C42" i="40"/>
  <c r="B61" i="39"/>
  <c r="F61" i="39" s="1"/>
  <c r="B64" i="39"/>
  <c r="F64" i="39" s="1"/>
  <c r="B57" i="39"/>
  <c r="F57" i="39" s="1"/>
  <c r="B59" i="39"/>
  <c r="F59" i="39" s="1"/>
  <c r="B62" i="39"/>
  <c r="F62" i="39" s="1"/>
  <c r="B65" i="39"/>
  <c r="F65" i="39" s="1"/>
  <c r="B63" i="39"/>
  <c r="F63" i="39" s="1"/>
  <c r="B56" i="39"/>
  <c r="F56" i="39" s="1"/>
  <c r="B60" i="39"/>
  <c r="F60" i="39" s="1"/>
  <c r="B58" i="39"/>
  <c r="F58" i="39" s="1"/>
  <c r="D20" i="9"/>
  <c r="D103" i="9" l="1"/>
  <c r="F66" i="39"/>
  <c r="B2" i="39" s="1"/>
  <c r="B60" i="40"/>
  <c r="F60" i="40" s="1"/>
  <c r="B55" i="40"/>
  <c r="F55" i="40" s="1"/>
  <c r="B54" i="40"/>
  <c r="F54" i="40" s="1"/>
  <c r="B56" i="40"/>
  <c r="F56" i="40" s="1"/>
  <c r="F61" i="40"/>
  <c r="B2" i="40" s="1"/>
  <c r="B3" i="40" s="1"/>
  <c r="B53" i="40"/>
  <c r="F53" i="40" s="1"/>
  <c r="B51" i="40"/>
  <c r="F51" i="40" s="1"/>
  <c r="B59" i="40"/>
  <c r="F59" i="40" s="1"/>
  <c r="B52" i="40"/>
  <c r="F52" i="40" s="1"/>
  <c r="B57" i="40"/>
  <c r="F57" i="40" s="1"/>
  <c r="B58" i="40"/>
  <c r="F58" i="40" s="1"/>
  <c r="B3" i="39" l="1"/>
  <c r="C6" i="68"/>
  <c r="C7" i="68" s="1"/>
  <c r="C5" i="68" s="1"/>
  <c r="C23" i="68" l="1"/>
  <c r="C20" i="68"/>
  <c r="C25" i="68" s="1"/>
  <c r="C28" i="68"/>
  <c r="C27" i="68" s="1"/>
  <c r="C22" i="68" l="1"/>
  <c r="C31" i="68" s="1"/>
  <c r="C52" i="68" s="1"/>
  <c r="B2" i="68" l="1"/>
  <c r="C57" i="68"/>
  <c r="C56" i="68" s="1"/>
  <c r="C19" i="9"/>
  <c r="C102" i="9" l="1"/>
  <c r="C21" i="9"/>
  <c r="D22" i="9"/>
  <c r="G19" i="9"/>
  <c r="B3" i="68"/>
  <c r="C20" i="9"/>
  <c r="C103" i="9" l="1"/>
  <c r="G20" i="9"/>
  <c r="C32" i="9"/>
  <c r="G21" i="9"/>
  <c r="C35" i="9" l="1"/>
  <c r="F118" i="9" s="1"/>
  <c r="H118" i="9"/>
  <c r="C34" i="9" l="1"/>
  <c r="D118" i="9" s="1"/>
  <c r="D119" i="9" s="1"/>
  <c r="D5" i="52" s="1"/>
  <c r="B49" i="72" s="1"/>
  <c r="D14" i="74"/>
  <c r="H101" i="9"/>
  <c r="I118" i="9"/>
  <c r="H119" i="9"/>
  <c r="H5" i="52" s="1"/>
  <c r="H4" i="52"/>
  <c r="C104" i="9"/>
  <c r="F4" i="52"/>
  <c r="B51" i="72" s="1"/>
  <c r="F119" i="9"/>
  <c r="F5" i="52" s="1"/>
  <c r="B53" i="72" s="1"/>
  <c r="G118" i="9"/>
  <c r="G4" i="52" s="1"/>
  <c r="B52" i="72" s="1"/>
  <c r="D4" i="52" l="1"/>
  <c r="B47" i="72" s="1"/>
  <c r="D5" i="53"/>
  <c r="D45" i="9"/>
  <c r="M48" i="9"/>
  <c r="H107" i="9"/>
  <c r="M49" i="9" s="1"/>
  <c r="C105" i="9"/>
  <c r="H102" i="9"/>
  <c r="D7" i="53" s="1"/>
  <c r="B21" i="72" s="1"/>
  <c r="E118" i="9"/>
  <c r="E4" i="52" s="1"/>
  <c r="B48" i="72" s="1"/>
  <c r="I4" i="52"/>
  <c r="E14" i="74"/>
  <c r="B5" i="74"/>
  <c r="F14" i="74"/>
  <c r="L68" i="9" l="1"/>
  <c r="M68" i="9" s="1"/>
  <c r="L66" i="9"/>
  <c r="M66" i="9" s="1"/>
  <c r="L63" i="9"/>
  <c r="M63" i="9" s="1"/>
  <c r="L65" i="9"/>
  <c r="M65" i="9" s="1"/>
  <c r="L64" i="9"/>
  <c r="M64" i="9" s="1"/>
  <c r="L67" i="9"/>
  <c r="M67" i="9" s="1"/>
  <c r="D6" i="53"/>
  <c r="B22" i="72" s="1"/>
  <c r="B20" i="72"/>
  <c r="C5" i="74"/>
  <c r="D5" i="74"/>
  <c r="H108" i="9"/>
  <c r="D15" i="53" s="1"/>
  <c r="B31" i="72" s="1"/>
  <c r="D122" i="9"/>
  <c r="D13" i="53"/>
  <c r="D55" i="9"/>
  <c r="M53" i="9" s="1"/>
  <c r="D53" i="9"/>
  <c r="C93" i="9"/>
  <c r="C86" i="9" s="1"/>
  <c r="C64" i="9"/>
  <c r="C63" i="9" s="1"/>
  <c r="C67" i="9" s="1"/>
  <c r="C68" i="9" s="1"/>
  <c r="D54" i="9" s="1"/>
  <c r="D52" i="9"/>
  <c r="C72" i="9"/>
  <c r="C78" i="9"/>
  <c r="C73" i="9" s="1"/>
  <c r="C85" i="9"/>
  <c r="M69" i="9" l="1"/>
  <c r="N69" i="9" s="1"/>
  <c r="C95" i="9"/>
  <c r="C96" i="9" s="1"/>
  <c r="E96" i="9" s="1"/>
  <c r="E97" i="9" s="1"/>
  <c r="C79" i="9"/>
  <c r="C80" i="9" s="1"/>
  <c r="E80" i="9" s="1"/>
  <c r="E81" i="9" s="1"/>
  <c r="D14" i="53"/>
  <c r="B32" i="72" s="1"/>
  <c r="B30" i="72"/>
  <c r="G14" i="74"/>
  <c r="B6" i="74" s="1"/>
  <c r="D123" i="9"/>
  <c r="D9" i="52" s="1"/>
  <c r="D8" i="52"/>
  <c r="C6" i="74" l="1"/>
  <c r="D6" i="74"/>
  <c r="C81" i="9"/>
  <c r="C97" i="9"/>
  <c r="D58" i="9" s="1"/>
  <c r="D56" i="9" s="1"/>
  <c r="M54" i="9" s="1"/>
  <c r="N57" i="9" s="1"/>
  <c r="P57" i="9" l="1"/>
  <c r="N59" i="9"/>
  <c r="N58" i="9"/>
  <c r="N61" i="9" l="1"/>
  <c r="N60" i="9"/>
  <c r="L9" i="8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5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500-000002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7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700-000005000000}">
      <text>
        <r>
          <rPr>
            <sz val="11"/>
            <color indexed="81"/>
            <rFont val="宋体"/>
            <family val="3"/>
            <charset val="134"/>
          </rPr>
          <t>在建项目均选择“是”</t>
        </r>
      </text>
    </comment>
    <comment ref="F59" authorId="0"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700-000007000000}">
      <text>
        <r>
          <rPr>
            <sz val="10"/>
            <color indexed="81"/>
            <rFont val="宋体"/>
            <family val="3"/>
            <charset val="134"/>
          </rPr>
          <t xml:space="preserve">在建
</t>
        </r>
      </text>
    </comment>
    <comment ref="N59" authorId="1" shapeId="0" xr:uid="{00000000-0006-0000-17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 xml:space="preserve">在建项目均选择“是”
</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A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3000000}">
      <text>
        <r>
          <rPr>
            <b/>
            <sz val="12"/>
            <color indexed="81"/>
            <rFont val="宋体"/>
            <family val="3"/>
            <charset val="134"/>
          </rPr>
          <t>所属项目品质或
物业管理</t>
        </r>
      </text>
    </comment>
    <comment ref="B90" authorId="0" shapeId="0" xr:uid="{00000000-0006-0000-1E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3000000}">
      <text>
        <r>
          <rPr>
            <b/>
            <sz val="12"/>
            <color indexed="81"/>
            <rFont val="宋体"/>
            <family val="3"/>
            <charset val="134"/>
          </rPr>
          <t>所属项目品质或
物业管理</t>
        </r>
      </text>
    </comment>
    <comment ref="B86" authorId="0" shapeId="0" xr:uid="{00000000-0006-0000-1F00-000004000000}">
      <text>
        <r>
          <rPr>
            <b/>
            <sz val="12"/>
            <color indexed="81"/>
            <rFont val="宋体"/>
            <family val="3"/>
            <charset val="134"/>
          </rPr>
          <t>所属项目品质</t>
        </r>
      </text>
    </comment>
    <comment ref="B89"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0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0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1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5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5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500-000005000000}">
      <text>
        <r>
          <rPr>
            <sz val="11"/>
            <color indexed="81"/>
            <rFont val="宋体"/>
            <family val="3"/>
            <charset val="134"/>
          </rPr>
          <t>在建项目均选择“是”</t>
        </r>
      </text>
    </comment>
    <comment ref="F59" authorId="0" shapeId="0" xr:uid="{00000000-0006-0000-2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500-000007000000}">
      <text>
        <r>
          <rPr>
            <sz val="10"/>
            <color indexed="81"/>
            <rFont val="宋体"/>
            <family val="3"/>
            <charset val="134"/>
          </rPr>
          <t xml:space="preserve">在建
</t>
        </r>
      </text>
    </comment>
    <comment ref="N59" authorId="1" shapeId="0" xr:uid="{00000000-0006-0000-2500-000008000000}">
      <text>
        <r>
          <rPr>
            <sz val="10"/>
            <color indexed="81"/>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<sst xmlns="http://schemas.openxmlformats.org/spreadsheetml/2006/main" count="10034" uniqueCount="3759">
  <si>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</si>
  <si>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</si>
  <si>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</si>
  <si>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</si>
  <si>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</si>
  <si>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</si>
  <si>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</si>
  <si>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</si>
  <si>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</si>
  <si>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</si>
  <si>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</si>
  <si>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</si>
  <si>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</si>
  <si>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</si>
  <si>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</si>
  <si>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</si>
  <si>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</si>
  <si>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</si>
  <si>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</si>
  <si>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</si>
  <si>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</si>
  <si>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</si>
  <si>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</si>
  <si>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</si>
  <si>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</si>
  <si>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</si>
  <si>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</si>
  <si>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</si>
  <si>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</si>
  <si>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</si>
  <si>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</si>
  <si>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</si>
  <si>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</si>
  <si>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</si>
  <si>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</si>
  <si>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</si>
  <si>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</si>
  <si>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</si>
  <si>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</si>
  <si>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</si>
  <si>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</si>
  <si>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</si>
  <si>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</si>
  <si>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</si>
  <si>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</si>
  <si>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</si>
  <si>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</si>
  <si>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</si>
  <si>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</si>
  <si>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</si>
  <si>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</si>
  <si>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</si>
  <si>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</si>
  <si>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</si>
  <si>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</si>
  <si>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</si>
  <si>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</si>
  <si>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</si>
  <si>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</si>
  <si>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</si>
  <si>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</si>
  <si>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</si>
  <si>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</si>
  <si>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</si>
  <si>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</si>
  <si>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</si>
  <si>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</si>
  <si>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</si>
  <si>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</si>
  <si>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</si>
  <si>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</si>
  <si>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</si>
  <si>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</si>
  <si>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</si>
  <si>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</si>
  <si>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</si>
  <si>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</si>
  <si>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</si>
  <si>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</si>
  <si>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</si>
  <si>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</si>
  <si>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</si>
  <si>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</si>
  <si>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</si>
  <si>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</si>
  <si>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</si>
  <si>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</si>
  <si>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</si>
  <si>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</si>
  <si>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</si>
  <si>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</si>
  <si>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</si>
  <si>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</si>
  <si>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</si>
  <si>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</si>
  <si>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</si>
  <si>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</si>
  <si>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</si>
  <si>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</si>
  <si>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</si>
  <si>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</si>
  <si>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</si>
  <si>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</si>
  <si>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</si>
  <si>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</si>
  <si>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</si>
  <si>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</si>
  <si>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</si>
  <si>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</si>
  <si>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</si>
  <si>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</si>
  <si>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</si>
  <si>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</si>
  <si>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</si>
  <si>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</si>
  <si>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</si>
  <si>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</si>
  <si>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</si>
  <si>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</si>
  <si>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</si>
  <si>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</si>
  <si>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</si>
  <si>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</si>
  <si>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</si>
  <si>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</si>
  <si>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</si>
  <si>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</si>
  <si>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</si>
  <si>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</si>
  <si>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</si>
  <si>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</si>
  <si>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</si>
  <si>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</si>
  <si>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</si>
  <si>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</si>
  <si>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</si>
  <si>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</si>
  <si>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</si>
  <si>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</si>
  <si>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</si>
  <si>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</si>
  <si>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</si>
  <si>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</si>
  <si>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</si>
  <si>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</si>
  <si>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</si>
  <si>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</si>
  <si>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</si>
  <si>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</si>
  <si>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</si>
  <si>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</si>
  <si>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</si>
  <si>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</si>
  <si>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</si>
  <si>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</si>
  <si>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</si>
  <si>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</si>
  <si>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</si>
  <si>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</si>
  <si>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</si>
  <si>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</si>
  <si>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</si>
  <si>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</si>
  <si>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</si>
  <si>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</si>
  <si>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</si>
  <si>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</si>
  <si>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</si>
  <si>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</si>
  <si>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</si>
  <si>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</si>
  <si>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</si>
  <si>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</si>
  <si>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</si>
  <si>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</si>
  <si>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</si>
  <si>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</si>
  <si>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</si>
  <si>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</si>
  <si>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</si>
  <si>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</si>
  <si>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</si>
  <si>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</si>
  <si>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</si>
  <si>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</si>
  <si>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</si>
  <si>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</si>
  <si>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</si>
  <si>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</si>
  <si>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</si>
  <si>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</si>
  <si>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</si>
  <si>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</si>
  <si>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</si>
  <si>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</si>
  <si>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</si>
  <si>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</si>
  <si>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</si>
  <si>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</si>
  <si>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</si>
  <si>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</si>
  <si>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</si>
  <si>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</si>
  <si>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</si>
  <si>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</si>
  <si>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</si>
  <si>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</si>
  <si>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</si>
  <si>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</si>
  <si>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</si>
  <si>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</si>
  <si>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</si>
  <si>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</si>
  <si>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</si>
  <si>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</si>
  <si>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</si>
  <si>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</si>
  <si>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</si>
  <si>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</si>
  <si>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</si>
  <si>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</si>
  <si>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</si>
  <si>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</si>
  <si>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</si>
  <si>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</si>
  <si>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</si>
  <si>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</si>
  <si>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</si>
  <si>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</si>
  <si>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</si>
  <si>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</si>
  <si>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</si>
  <si>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</si>
  <si>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</si>
  <si>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</si>
  <si>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</si>
  <si>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</si>
  <si>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</si>
  <si>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</si>
  <si>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</si>
  <si>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</si>
  <si>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</si>
  <si>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</si>
  <si>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</si>
  <si>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</si>
  <si>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</si>
  <si>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</si>
  <si>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</si>
  <si>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</si>
  <si>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</si>
  <si>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</si>
  <si>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</si>
  <si>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</si>
  <si>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</si>
  <si>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</si>
  <si>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</si>
  <si>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</si>
  <si>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</si>
  <si>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</si>
  <si>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</si>
  <si>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</si>
  <si>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</si>
  <si>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</si>
  <si>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</si>
  <si>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</si>
  <si>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</si>
  <si>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</si>
  <si>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</si>
  <si>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</si>
  <si>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</si>
  <si>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</si>
  <si>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</si>
  <si>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</si>
  <si>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</si>
  <si>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</si>
  <si>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</si>
  <si>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</si>
  <si>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</si>
  <si>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</si>
  <si>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</si>
  <si>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</si>
  <si>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</si>
  <si>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</si>
  <si>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</si>
  <si>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</si>
  <si>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</si>
  <si>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</si>
  <si>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</si>
  <si>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</si>
  <si>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</si>
  <si>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</si>
  <si>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</si>
  <si>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</si>
  <si>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</si>
  <si>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</si>
  <si>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</si>
  <si>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</si>
  <si>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</si>
  <si>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</si>
  <si>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</si>
  <si>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</si>
  <si>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</si>
  <si>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</si>
  <si>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</si>
  <si>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</si>
  <si>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</si>
  <si>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</si>
  <si>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</si>
  <si>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</si>
  <si>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</si>
  <si>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</si>
  <si>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</si>
  <si>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</si>
  <si>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</si>
  <si>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</si>
  <si>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</si>
  <si>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</si>
  <si>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</si>
  <si>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</si>
  <si>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</si>
  <si>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</si>
  <si>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</si>
  <si>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</si>
  <si>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</si>
  <si>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</si>
  <si>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</si>
  <si>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</si>
  <si>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</si>
  <si>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</si>
  <si>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</si>
  <si>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</si>
  <si>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</si>
  <si>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</si>
  <si>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</si>
  <si>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</si>
  <si>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</si>
  <si>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</si>
  <si>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</si>
  <si>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</si>
  <si>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</si>
  <si>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</si>
  <si>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</si>
  <si>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</si>
  <si>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</si>
  <si>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</si>
  <si>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</si>
  <si>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</si>
  <si>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</si>
  <si>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</si>
  <si>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</si>
  <si>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</si>
  <si>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</si>
  <si>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</si>
  <si>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</si>
  <si>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</si>
  <si>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</si>
  <si>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</si>
  <si>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</si>
  <si>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</si>
  <si>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</si>
  <si>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</si>
  <si>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</si>
  <si>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</si>
  <si>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</si>
  <si>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</si>
  <si>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</si>
  <si>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</si>
  <si>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</si>
  <si>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</si>
  <si>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</si>
  <si>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</si>
  <si>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</si>
  <si>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</si>
  <si>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</si>
  <si>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</si>
  <si>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</si>
  <si>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</si>
  <si>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</si>
  <si>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</si>
  <si>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</si>
  <si>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</si>
  <si>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</si>
  <si>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</si>
  <si>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</si>
  <si>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</si>
  <si>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</si>
  <si>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</si>
  <si>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</si>
  <si>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</si>
  <si>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</si>
  <si>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</si>
  <si>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</si>
  <si>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</si>
  <si>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</si>
  <si>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</si>
  <si>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</si>
  <si>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</si>
  <si>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</si>
  <si>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</si>
  <si>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</si>
  <si>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</si>
  <si>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</si>
  <si>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</si>
  <si>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</si>
  <si>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</si>
  <si>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</si>
  <si>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</si>
  <si>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</si>
  <si>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</si>
  <si>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</si>
  <si>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</si>
  <si>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</si>
  <si>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</si>
  <si>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</si>
  <si>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</si>
  <si>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</si>
  <si>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</si>
  <si>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</si>
  <si>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</si>
  <si>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</si>
  <si>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</si>
  <si>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</si>
  <si>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</si>
  <si>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</si>
  <si>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</si>
  <si>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</si>
  <si>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</si>
  <si>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</si>
  <si>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</si>
  <si>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</si>
  <si>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</si>
  <si>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</si>
  <si>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</si>
  <si>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</si>
  <si>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</si>
  <si>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</si>
  <si>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</si>
  <si>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</si>
  <si>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</si>
  <si>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</si>
  <si>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</si>
  <si>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</si>
  <si>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</si>
  <si>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</si>
  <si>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</si>
  <si>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</si>
  <si>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</si>
  <si>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</si>
  <si>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</si>
  <si>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</si>
  <si>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</si>
  <si>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</si>
  <si>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</si>
  <si>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</si>
  <si>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</si>
  <si>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</si>
  <si>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</si>
  <si>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</si>
  <si>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</si>
  <si>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</si>
  <si>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</si>
  <si>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</si>
  <si>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</si>
  <si>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</si>
  <si>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</si>
  <si>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</si>
  <si>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</si>
  <si>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</si>
  <si>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</si>
  <si>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</si>
  <si>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</si>
  <si>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</si>
  <si>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</si>
  <si>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</si>
  <si>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</si>
  <si>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</si>
  <si>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</si>
  <si>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</si>
  <si>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</si>
  <si>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</si>
  <si>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</si>
  <si>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</si>
  <si>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</si>
  <si>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</si>
  <si>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</si>
  <si>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</si>
  <si>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</si>
  <si>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</si>
  <si>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</si>
  <si>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</si>
  <si>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</si>
  <si>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</si>
  <si>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</si>
  <si>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</si>
  <si>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</si>
  <si>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</si>
  <si>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</si>
  <si>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</si>
  <si>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</si>
  <si>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</si>
  <si>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</si>
  <si>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</si>
  <si>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</si>
  <si>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</si>
  <si>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</si>
  <si>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</si>
  <si>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</si>
  <si>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</si>
  <si>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</si>
  <si>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</si>
  <si>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</si>
  <si>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</si>
  <si>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</si>
  <si>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</si>
  <si>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</si>
  <si>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</si>
  <si>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</si>
  <si>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</si>
  <si>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</si>
  <si>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</si>
  <si>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</si>
  <si>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</si>
  <si>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</si>
  <si>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</si>
  <si>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</si>
  <si>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</si>
  <si>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</si>
  <si>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</si>
  <si>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</si>
  <si>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</si>
  <si>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</si>
  <si>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</si>
  <si>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</si>
  <si>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</si>
  <si>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</si>
  <si>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</si>
  <si>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</si>
  <si>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</si>
  <si>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</si>
  <si>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</si>
  <si>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</si>
  <si>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</si>
  <si>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</si>
  <si>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</si>
  <si>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</si>
  <si>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</si>
  <si>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</si>
  <si>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</si>
  <si>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</si>
  <si>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</si>
  <si>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</si>
  <si>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</si>
  <si>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</si>
  <si>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</si>
  <si>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</si>
  <si>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</si>
  <si>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</si>
  <si>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</si>
  <si>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</si>
  <si>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</si>
  <si>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</si>
  <si>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</si>
  <si>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</si>
  <si>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</si>
  <si>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</si>
  <si>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</si>
  <si>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</si>
  <si>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</si>
  <si>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</si>
  <si>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</si>
  <si>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</si>
  <si>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</si>
  <si>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</si>
  <si>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</si>
  <si>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</si>
  <si>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</si>
  <si>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</si>
  <si>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</si>
  <si>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</si>
  <si>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</si>
  <si>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</si>
  <si>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</si>
  <si>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</si>
  <si>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</si>
  <si>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</si>
  <si>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</si>
  <si>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</si>
  <si>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</si>
  <si>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</si>
  <si>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</si>
  <si>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</si>
  <si>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</si>
  <si>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</si>
  <si>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</si>
  <si>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</si>
  <si>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</si>
  <si>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</si>
  <si>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</si>
  <si>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</si>
  <si>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</si>
  <si>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</si>
  <si>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</si>
  <si>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</si>
  <si>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</si>
  <si>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</si>
  <si>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</si>
  <si>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</si>
  <si>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</si>
  <si>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</si>
  <si>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</si>
  <si>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</si>
  <si>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</si>
  <si>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</si>
  <si>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</si>
  <si>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</si>
  <si>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</si>
  <si>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</si>
  <si>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</si>
  <si>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</si>
  <si>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</si>
  <si>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</si>
  <si>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</si>
  <si>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</si>
  <si>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</si>
  <si>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</si>
  <si>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</si>
  <si>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</si>
  <si>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</si>
  <si>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</si>
  <si>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</si>
  <si>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</si>
  <si>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</si>
  <si>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</si>
  <si>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</si>
  <si>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</si>
  <si>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</si>
  <si>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</si>
  <si>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</si>
  <si>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</si>
  <si>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</si>
  <si>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</si>
  <si>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</si>
  <si>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</si>
  <si>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</si>
  <si>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</si>
  <si>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</si>
  <si>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</si>
  <si>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</si>
  <si>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</si>
  <si>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</si>
  <si>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</si>
  <si>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</si>
  <si>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</si>
  <si>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</si>
  <si>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</si>
  <si>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</si>
  <si>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</si>
  <si>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</si>
  <si>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</si>
  <si>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</si>
  <si>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</si>
  <si>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</si>
  <si>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</si>
  <si>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</si>
  <si>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</si>
  <si>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</si>
  <si>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</si>
  <si>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</si>
  <si>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</si>
  <si>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</si>
  <si>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</si>
  <si>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</si>
  <si>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</si>
  <si>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</si>
  <si>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</si>
  <si>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</si>
  <si>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</si>
  <si>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</si>
  <si>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</si>
  <si>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</si>
  <si>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</si>
  <si>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</si>
  <si>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</si>
  <si>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</si>
  <si>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</si>
  <si>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</si>
  <si>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</si>
  <si>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</si>
  <si>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</si>
  <si>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</si>
  <si>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</si>
  <si>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</si>
  <si>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</si>
  <si>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</si>
  <si>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</si>
  <si>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</si>
  <si>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</si>
  <si>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</si>
  <si>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</si>
  <si>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</si>
  <si>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</si>
  <si>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</si>
  <si>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</si>
  <si>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</si>
  <si>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</si>
  <si>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</si>
  <si>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</si>
  <si>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</si>
  <si>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</si>
  <si>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</si>
  <si>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</si>
  <si>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</si>
  <si>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</si>
  <si>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</si>
  <si>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</si>
  <si>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</si>
  <si>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</si>
  <si>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</si>
  <si>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</si>
  <si>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</si>
  <si>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</si>
  <si>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</si>
  <si>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</si>
  <si>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</si>
  <si>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</si>
  <si>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</si>
  <si>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</si>
  <si>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</si>
  <si>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</si>
  <si>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</si>
  <si>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</si>
  <si>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</si>
  <si>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</si>
  <si>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</si>
  <si>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</si>
  <si>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</si>
  <si>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</si>
  <si>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</si>
  <si>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</si>
  <si>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</si>
  <si>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</si>
  <si>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</si>
  <si>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</si>
  <si>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</si>
  <si>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</si>
  <si>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</si>
  <si>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</si>
  <si>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</si>
  <si>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</si>
  <si>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</si>
  <si>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</si>
  <si>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</si>
  <si>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</si>
  <si>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</si>
  <si>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</si>
  <si>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</si>
  <si>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</si>
  <si>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</si>
  <si>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</si>
  <si>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</si>
  <si>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</si>
  <si>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</si>
  <si>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</si>
  <si>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</si>
  <si>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</si>
  <si>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</si>
  <si>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</si>
  <si>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</si>
  <si>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</si>
  <si>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</si>
  <si>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</si>
  <si>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</si>
  <si>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</si>
  <si>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</si>
  <si>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</si>
  <si>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</si>
  <si>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</si>
  <si>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</si>
  <si>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</si>
  <si>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</si>
  <si>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</si>
  <si>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</si>
  <si>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</si>
  <si>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</si>
  <si>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</si>
  <si>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</si>
  <si>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</si>
  <si>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</si>
  <si>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</si>
  <si>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</si>
  <si>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</si>
  <si>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</si>
  <si>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</si>
  <si>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</si>
  <si>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</si>
  <si>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</si>
  <si>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</si>
  <si>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</si>
  <si>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</si>
  <si>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</si>
  <si>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</si>
  <si>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</si>
  <si>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</si>
  <si>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</si>
  <si>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</si>
  <si>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</si>
  <si>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</si>
  <si>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</si>
  <si>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</si>
  <si>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</si>
  <si>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</si>
  <si>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</si>
  <si>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</si>
  <si>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</si>
  <si>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</si>
  <si>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</si>
  <si>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</si>
  <si>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</si>
  <si>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</si>
  <si>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</si>
  <si>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</si>
  <si>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</si>
  <si>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</si>
  <si>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</si>
  <si>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</si>
  <si>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</si>
  <si>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</si>
  <si>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</si>
  <si>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</si>
  <si>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</si>
  <si>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</si>
  <si>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</si>
  <si>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</si>
  <si>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</si>
  <si>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</si>
  <si>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</si>
  <si>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</si>
  <si>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</si>
  <si>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</si>
  <si>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</si>
  <si>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</si>
  <si>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</si>
  <si>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</si>
  <si>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</si>
  <si>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</si>
  <si>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</si>
  <si>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</si>
  <si>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</si>
  <si>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</si>
  <si>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</si>
  <si>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</si>
  <si>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</si>
  <si>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</si>
  <si>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</si>
  <si>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</si>
  <si>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</si>
  <si>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</si>
  <si>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</si>
  <si>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</si>
  <si>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</si>
  <si>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</si>
  <si>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</si>
  <si>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</si>
  <si>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</si>
  <si>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</si>
  <si>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</si>
  <si>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</si>
  <si>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</si>
  <si>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</si>
  <si>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</si>
  <si>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</si>
  <si>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</si>
  <si>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</si>
  <si>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</si>
  <si>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</si>
  <si>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</si>
  <si>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</si>
  <si>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</si>
  <si>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</si>
  <si>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</si>
  <si>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</si>
  <si>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</si>
  <si>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</si>
  <si>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</si>
  <si>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</si>
  <si>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</si>
  <si>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</si>
  <si>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</si>
  <si>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</si>
  <si>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</si>
  <si>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</si>
  <si>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</si>
  <si>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</si>
  <si>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</si>
  <si>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</si>
  <si>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</si>
  <si>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</si>
  <si>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</si>
  <si>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</si>
  <si>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</si>
  <si>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</si>
  <si>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</si>
  <si>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</si>
  <si>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</si>
  <si>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</si>
  <si>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</si>
  <si>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</si>
  <si>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</si>
  <si>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</si>
  <si>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</si>
  <si>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</si>
  <si>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</si>
  <si>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</si>
  <si>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</si>
  <si>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</si>
  <si>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</si>
  <si>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</si>
  <si>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</si>
  <si>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</si>
  <si>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</si>
  <si>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</si>
  <si>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</si>
  <si>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</si>
  <si>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</si>
  <si>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</si>
  <si>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</si>
  <si>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</si>
  <si>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</si>
  <si>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</si>
  <si>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</si>
  <si>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</si>
  <si>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</si>
  <si>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</si>
  <si>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</si>
  <si>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</si>
  <si>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</si>
  <si>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</si>
  <si>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</si>
  <si>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</si>
  <si>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</si>
  <si>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</si>
  <si>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</si>
  <si>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</si>
  <si>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</si>
  <si>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</si>
  <si>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</si>
  <si>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</si>
  <si>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</si>
  <si>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</si>
  <si>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</si>
  <si>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</si>
  <si>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</si>
  <si>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</si>
  <si>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</si>
  <si>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</si>
  <si>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</si>
  <si>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</si>
  <si>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</si>
  <si>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</si>
  <si>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</si>
  <si>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</si>
  <si>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</si>
  <si>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</si>
  <si>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</si>
  <si>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</si>
  <si>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</si>
  <si>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</si>
  <si>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</si>
  <si>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</si>
  <si>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</si>
  <si>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</si>
  <si>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</si>
  <si>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</si>
  <si>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</si>
  <si>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</si>
  <si>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</si>
  <si>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</si>
  <si>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</si>
  <si>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</si>
  <si>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</si>
  <si>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</si>
  <si>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</si>
  <si>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</si>
  <si>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</si>
  <si>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</si>
  <si>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</si>
  <si>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</si>
  <si>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</si>
  <si>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</si>
  <si>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</si>
  <si>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</si>
  <si>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</si>
  <si>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</si>
  <si>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</si>
  <si>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</si>
  <si>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</si>
  <si>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</si>
  <si>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</si>
  <si>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</si>
  <si>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</si>
  <si>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</si>
  <si>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</si>
  <si>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</si>
  <si>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</si>
  <si>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</si>
  <si>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</si>
  <si>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</si>
  <si>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</si>
  <si>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</si>
  <si>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</si>
  <si>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</si>
  <si>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</si>
  <si>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</si>
  <si>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</si>
  <si>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</si>
  <si>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</si>
  <si>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</si>
  <si>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</si>
  <si>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</si>
  <si>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</si>
  <si>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</si>
  <si>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</si>
  <si>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</si>
  <si>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</si>
  <si>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</si>
  <si>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</si>
  <si>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</si>
  <si>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</si>
  <si>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</si>
  <si>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</si>
  <si>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</si>
  <si>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</si>
  <si>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</si>
  <si>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</si>
  <si>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</si>
  <si>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</si>
  <si>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</si>
  <si>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</si>
  <si>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</si>
  <si>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</si>
  <si>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</si>
  <si>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</si>
  <si>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</si>
  <si>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</si>
  <si>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</si>
  <si>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</si>
  <si>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</si>
  <si>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</si>
  <si>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</si>
  <si>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</si>
  <si>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</si>
  <si>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</si>
  <si>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</si>
  <si>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</si>
  <si>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</si>
  <si>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</si>
  <si>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</si>
  <si>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</si>
  <si>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</si>
  <si>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</si>
  <si>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</si>
  <si>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</si>
  <si>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</si>
  <si>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</si>
  <si>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</si>
  <si>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</si>
  <si>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</si>
  <si>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</si>
  <si>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</si>
  <si>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</si>
  <si>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</si>
  <si>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</si>
  <si>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</si>
  <si>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</si>
  <si>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</si>
  <si>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</si>
  <si>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</si>
  <si>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</si>
  <si>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</si>
  <si>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</si>
  <si>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</si>
  <si>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</si>
  <si>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</si>
  <si>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</si>
  <si>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</si>
  <si>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</si>
  <si>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</si>
  <si>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</si>
  <si>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</si>
  <si>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</si>
  <si>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</si>
  <si>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</si>
  <si>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</si>
  <si>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</si>
  <si>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</si>
  <si>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</si>
  <si>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</si>
  <si>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</si>
  <si>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</si>
  <si>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</si>
  <si>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</si>
  <si>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</si>
  <si>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</si>
  <si>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</si>
  <si>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</si>
  <si>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</si>
  <si>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</si>
  <si>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</si>
  <si>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</si>
  <si>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</si>
  <si>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</si>
  <si>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</si>
  <si>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</si>
  <si>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</si>
  <si>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</si>
  <si>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</si>
  <si>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</si>
  <si>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</si>
  <si>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</si>
  <si>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</si>
  <si>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</si>
  <si>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</si>
  <si>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</si>
  <si>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</si>
  <si>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</si>
  <si>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</si>
  <si>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</si>
  <si>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</si>
  <si>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</si>
  <si>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</si>
  <si>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</si>
  <si>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</si>
  <si>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</si>
  <si>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</si>
  <si>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</si>
  <si>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</si>
  <si>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</si>
  <si>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</si>
  <si>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</si>
  <si>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</si>
  <si>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</si>
  <si>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</si>
  <si>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</si>
  <si>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</si>
  <si>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</si>
  <si>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</si>
  <si>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</si>
  <si>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</si>
  <si>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</si>
  <si>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</si>
  <si>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</si>
  <si>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</si>
  <si>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</si>
  <si>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</si>
  <si>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</si>
  <si>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</si>
  <si>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</si>
  <si>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</si>
  <si>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</si>
  <si>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</si>
  <si>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</si>
  <si>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</si>
  <si>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</si>
  <si>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</si>
  <si>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</si>
  <si>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</si>
  <si>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</si>
  <si>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</si>
  <si>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</si>
  <si>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</si>
  <si>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</si>
  <si>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</si>
  <si>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</si>
  <si>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</si>
  <si>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</si>
  <si>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</si>
  <si>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</si>
  <si>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</si>
  <si>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</si>
  <si>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</si>
  <si>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</si>
  <si>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</si>
  <si>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</si>
  <si>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</si>
  <si>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</si>
  <si>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</si>
  <si>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</si>
  <si>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</si>
  <si>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</si>
  <si>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</si>
  <si>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</si>
  <si>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</si>
  <si>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</si>
  <si>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</si>
  <si>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</si>
  <si>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</si>
  <si>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</si>
  <si>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</si>
  <si>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</si>
  <si>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</si>
  <si>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</si>
  <si>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</si>
  <si>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</si>
  <si>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</si>
  <si>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</si>
  <si>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</si>
  <si>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</si>
  <si>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</si>
  <si>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</si>
  <si>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</si>
  <si>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</si>
  <si>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</si>
  <si>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</si>
  <si>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</si>
  <si>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</si>
  <si>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</si>
  <si>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</si>
  <si>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</si>
  <si>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</si>
  <si>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</si>
  <si>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</si>
  <si>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</si>
  <si>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</si>
  <si>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</si>
  <si>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</si>
  <si>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</si>
  <si>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</si>
  <si>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</si>
  <si>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</si>
  <si>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</si>
  <si>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</si>
  <si>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</si>
  <si>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</si>
  <si>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</si>
  <si>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</si>
  <si>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</si>
  <si>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</si>
  <si>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</si>
  <si>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</si>
  <si>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</si>
  <si>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</si>
  <si>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</si>
  <si>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</si>
  <si>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</si>
  <si>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</si>
  <si>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</si>
  <si>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</si>
  <si>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</si>
  <si>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</si>
  <si>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</si>
  <si>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</si>
  <si>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</si>
  <si>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</si>
  <si>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</si>
  <si>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</si>
  <si>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</si>
  <si>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</si>
  <si>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</si>
  <si>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</si>
  <si>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</si>
  <si>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</si>
  <si>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</si>
  <si>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</si>
  <si>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</si>
  <si>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</si>
  <si>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</si>
  <si>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</si>
  <si>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</si>
  <si>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</si>
  <si>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</si>
  <si>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</si>
  <si>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</si>
  <si>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</si>
  <si>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</si>
  <si>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</si>
  <si>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</si>
  <si>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</si>
  <si>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</si>
  <si>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</si>
  <si>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</si>
  <si>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</si>
  <si>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</si>
  <si>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</si>
  <si>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</si>
  <si>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</si>
  <si>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</si>
  <si>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</si>
  <si>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</si>
  <si>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</si>
  <si>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</si>
  <si>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</si>
  <si>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</si>
  <si>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</si>
  <si>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</si>
  <si>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</si>
  <si>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</si>
  <si>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</si>
  <si>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</si>
  <si>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</si>
  <si>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</si>
  <si>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</si>
  <si>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</si>
  <si>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</si>
  <si>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</si>
  <si>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</si>
  <si>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</si>
  <si>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</si>
  <si>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</si>
  <si>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</si>
  <si>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</si>
  <si>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</si>
  <si>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</si>
  <si>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</si>
  <si>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</si>
  <si>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</si>
  <si>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</si>
  <si>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</si>
  <si>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</si>
  <si>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</si>
  <si>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</si>
  <si>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</si>
  <si>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</si>
  <si>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</si>
  <si>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</si>
  <si>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</si>
  <si>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</si>
  <si>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</si>
  <si>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</si>
  <si>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</si>
  <si>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</si>
  <si>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</si>
  <si>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</si>
  <si>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</si>
  <si>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</si>
  <si>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</si>
  <si>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</si>
  <si>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</si>
  <si>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</si>
  <si>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</si>
  <si>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</si>
  <si>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</si>
  <si>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</si>
  <si>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</si>
  <si>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</si>
  <si>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</si>
  <si>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</si>
  <si>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</si>
  <si>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</si>
  <si>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</si>
  <si>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</si>
  <si>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</si>
  <si>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</si>
  <si>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</si>
  <si>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</si>
  <si>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</si>
  <si>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</si>
  <si>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</si>
  <si>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</si>
  <si>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</si>
  <si>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</si>
  <si>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</si>
  <si>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</si>
  <si>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</si>
  <si>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</si>
  <si>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</si>
  <si>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</si>
  <si>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</si>
  <si>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</si>
  <si>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</si>
  <si>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</si>
  <si>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</si>
  <si>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</si>
  <si>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</si>
  <si>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</si>
  <si>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</si>
  <si>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</si>
  <si>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</si>
  <si>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</si>
  <si>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</si>
  <si>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</si>
  <si>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</si>
  <si>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</si>
  <si>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</si>
  <si>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</si>
  <si>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</si>
  <si>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</si>
  <si>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</si>
  <si>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</si>
  <si>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</si>
  <si>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</si>
  <si>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</si>
  <si>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</si>
  <si>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</si>
  <si>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</si>
  <si>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</si>
  <si>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</si>
  <si>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</si>
  <si>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</si>
  <si>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</si>
  <si>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</si>
  <si>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</si>
  <si>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</si>
  <si>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</si>
  <si>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</si>
  <si>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</si>
  <si>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</si>
  <si>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</si>
  <si>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</si>
  <si>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</si>
  <si>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</si>
  <si>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</si>
  <si>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</si>
  <si>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</si>
  <si>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</si>
  <si>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</si>
  <si>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</si>
  <si>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</si>
  <si>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</si>
  <si>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</si>
  <si>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</si>
  <si>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</si>
  <si>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</si>
  <si>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</si>
  <si>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</si>
  <si>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</si>
  <si>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</si>
  <si>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</si>
  <si>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</si>
  <si>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</si>
  <si>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</si>
  <si>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</si>
  <si>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</si>
  <si>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</si>
  <si>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</si>
  <si>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</si>
  <si>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</si>
  <si>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</si>
  <si>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</si>
  <si>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</si>
  <si>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</si>
  <si>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</si>
  <si>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</si>
  <si>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</si>
  <si>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</si>
  <si>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</si>
  <si>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</si>
  <si>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</si>
  <si>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</si>
  <si>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</si>
  <si>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</si>
  <si>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</si>
  <si>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</si>
  <si>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</si>
  <si>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</si>
  <si>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</si>
  <si>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</si>
  <si>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</si>
  <si>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</si>
  <si>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</si>
  <si>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</si>
  <si>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</si>
  <si>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</si>
  <si>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</si>
  <si>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</si>
  <si>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</si>
  <si>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</si>
  <si>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</si>
  <si>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</si>
  <si>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</si>
  <si>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</si>
  <si>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</si>
  <si>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</si>
  <si>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</si>
  <si>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</si>
  <si>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</si>
  <si>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</si>
  <si>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</si>
  <si>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</si>
  <si>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</si>
  <si>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</si>
  <si>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</si>
  <si>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</si>
  <si>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</si>
  <si>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</si>
  <si>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</si>
  <si>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</si>
  <si>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</si>
  <si>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</si>
  <si>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</si>
  <si>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</si>
  <si>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</si>
  <si>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</si>
  <si>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</si>
  <si>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</si>
  <si>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</si>
  <si>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</si>
  <si>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</si>
  <si>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</si>
  <si>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</si>
  <si>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</si>
  <si>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</si>
  <si>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</si>
  <si>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</si>
  <si>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</si>
  <si>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</si>
  <si>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</si>
  <si>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</si>
  <si>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</si>
  <si>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</si>
  <si>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</si>
  <si>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</si>
  <si>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</si>
  <si>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</si>
  <si>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</si>
  <si>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</si>
  <si>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</si>
  <si>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</si>
  <si>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</si>
  <si>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</si>
  <si>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</si>
  <si>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</si>
  <si>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</si>
  <si>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</si>
  <si>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</si>
  <si>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</si>
  <si>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</si>
  <si>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</si>
  <si>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</si>
  <si>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</si>
  <si>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</si>
  <si>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</si>
  <si>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</si>
  <si>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</si>
  <si>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</si>
  <si>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</si>
  <si>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</si>
  <si>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</si>
  <si>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</si>
  <si>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</si>
  <si>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</si>
  <si>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</si>
  <si>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</si>
  <si>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</si>
  <si>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</si>
  <si>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</si>
  <si>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</si>
  <si>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</si>
  <si>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</si>
  <si>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</si>
  <si>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</si>
  <si>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</si>
  <si>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</si>
  <si>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</si>
  <si>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</si>
  <si>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</si>
  <si>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</si>
  <si>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</si>
  <si>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</si>
  <si>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</si>
  <si>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</si>
  <si>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</si>
  <si>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</si>
  <si>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</si>
  <si>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</si>
  <si>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</si>
  <si>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</si>
  <si>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</si>
  <si>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</si>
  <si>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</si>
  <si>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</si>
  <si>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</si>
  <si>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</si>
  <si>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</si>
  <si>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</si>
  <si>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</si>
  <si>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</si>
  <si>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</si>
  <si>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</si>
  <si>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</si>
  <si>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</si>
  <si>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</si>
  <si>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</si>
  <si>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</si>
  <si>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</si>
  <si>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</si>
  <si>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</si>
  <si>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</si>
  <si>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</si>
  <si>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</si>
  <si>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</si>
  <si>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</si>
  <si>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</si>
  <si>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</si>
  <si>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</si>
  <si>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</si>
  <si>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</si>
  <si>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</si>
  <si>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</si>
  <si>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</si>
  <si>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</si>
  <si>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</si>
  <si>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</si>
  <si>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</si>
  <si>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</si>
  <si>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</si>
  <si>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</si>
  <si>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</si>
  <si>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</si>
  <si>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</si>
  <si>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</si>
  <si>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</si>
  <si>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</si>
  <si>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</si>
  <si>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</si>
  <si>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</si>
  <si>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</si>
  <si>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</si>
  <si>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</si>
  <si>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</si>
  <si>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</si>
  <si>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</si>
  <si>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</si>
  <si>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</si>
  <si>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</si>
  <si>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</si>
  <si>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</si>
  <si>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</si>
  <si>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</si>
  <si>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</si>
  <si>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</si>
  <si>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</si>
  <si>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</si>
  <si>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</si>
  <si>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</si>
  <si>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</si>
  <si>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</si>
  <si>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</si>
  <si>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</si>
  <si>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</si>
  <si>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</si>
  <si>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</si>
  <si>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</si>
  <si>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</si>
  <si>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</si>
  <si>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</si>
  <si>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</si>
  <si>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</si>
  <si>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</si>
  <si>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</si>
  <si>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</si>
  <si>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</si>
  <si>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</si>
  <si>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</si>
  <si>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</si>
  <si>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</si>
  <si>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</si>
  <si>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</si>
  <si>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</si>
  <si>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</si>
  <si>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</si>
  <si>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</si>
  <si>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</si>
  <si>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</si>
  <si>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</si>
  <si>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</si>
  <si>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</si>
  <si>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</si>
  <si>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</si>
  <si>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</si>
  <si>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</si>
  <si>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</si>
  <si>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</si>
  <si>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</si>
  <si>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</si>
  <si>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</si>
  <si>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</si>
  <si>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</si>
  <si>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</si>
  <si>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</si>
  <si>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</si>
  <si>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</si>
  <si>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</si>
  <si>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</si>
  <si>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</si>
  <si>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</si>
  <si>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</si>
  <si>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</si>
  <si>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</si>
  <si>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</si>
  <si>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</si>
  <si>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</si>
  <si>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</si>
  <si>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</si>
  <si>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</si>
  <si>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</si>
  <si>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</si>
  <si>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</si>
  <si>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</si>
  <si>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</si>
  <si>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</si>
  <si>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</si>
  <si>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</si>
  <si>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</si>
  <si>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</si>
  <si>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</si>
  <si>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</si>
  <si>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</si>
  <si>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</si>
  <si>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</si>
  <si>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</si>
  <si>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</si>
  <si>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</si>
  <si>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</si>
  <si>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</si>
  <si>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</si>
  <si>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</si>
  <si>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</si>
  <si>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</si>
  <si>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</si>
  <si>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</si>
  <si>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</si>
  <si>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</si>
  <si>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</si>
  <si>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</si>
  <si>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</si>
  <si>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</si>
  <si>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</si>
  <si>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</si>
  <si>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</si>
  <si>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</si>
  <si>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</si>
  <si>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</si>
  <si>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</si>
  <si>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</si>
  <si>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</si>
  <si>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</si>
  <si>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</si>
  <si>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</si>
  <si>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</si>
  <si>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</si>
  <si>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</si>
  <si>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</si>
  <si>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</si>
  <si>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</si>
  <si>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</si>
  <si>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</si>
  <si>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</si>
  <si>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</si>
  <si>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</si>
  <si>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</si>
  <si>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</si>
  <si>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</si>
  <si>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</si>
  <si>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</si>
  <si>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</si>
  <si>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</si>
  <si>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</si>
  <si>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</si>
  <si>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</si>
  <si>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</si>
  <si>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</si>
  <si>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</si>
  <si>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</si>
  <si>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</si>
  <si>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</si>
  <si>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</si>
  <si>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</si>
  <si>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</si>
  <si>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</si>
  <si>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</si>
  <si>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</si>
  <si>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</si>
  <si>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</si>
  <si>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</si>
  <si>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</si>
  <si>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</si>
  <si>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</si>
  <si>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</si>
  <si>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</si>
  <si>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</si>
  <si>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</si>
  <si>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</si>
  <si>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</si>
  <si>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</si>
  <si>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</si>
  <si>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</si>
  <si>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</si>
  <si>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</si>
  <si>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</si>
  <si>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</si>
  <si>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</si>
  <si>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</si>
  <si>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</si>
  <si>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</si>
  <si>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</si>
  <si>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</si>
  <si>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</si>
  <si>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</si>
  <si>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</si>
  <si>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</si>
  <si>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</si>
  <si>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</si>
  <si>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</si>
  <si>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</si>
  <si>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</si>
  <si>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</si>
  <si>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</si>
  <si>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</si>
  <si>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</si>
  <si>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</si>
  <si>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</si>
  <si>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</si>
  <si>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</si>
  <si>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</si>
  <si>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</si>
  <si>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</si>
  <si>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</si>
  <si>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</si>
  <si>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</si>
  <si>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</si>
  <si>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</si>
  <si>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</si>
  <si>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</si>
  <si>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</si>
  <si>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</si>
  <si>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</si>
  <si>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</si>
  <si>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</si>
  <si>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</si>
  <si>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</si>
  <si>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</si>
  <si>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</si>
  <si>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</si>
  <si>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</si>
  <si>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</si>
  <si>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</si>
  <si>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</si>
  <si>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</si>
  <si>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</si>
  <si>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</si>
  <si>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</si>
  <si>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</si>
  <si>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</si>
  <si>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</si>
  <si>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</si>
  <si>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</si>
  <si>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</si>
  <si>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</si>
  <si>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</si>
  <si>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</si>
  <si>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</si>
  <si>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</si>
  <si>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</si>
  <si>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</si>
  <si>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</si>
  <si>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</si>
  <si>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</si>
  <si>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</si>
  <si>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</si>
  <si>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</si>
  <si>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</si>
  <si>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</si>
  <si>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</si>
  <si>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</si>
  <si>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</si>
  <si>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</si>
  <si>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</si>
  <si>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</si>
  <si>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</si>
  <si>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</si>
  <si>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</si>
  <si>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</si>
  <si>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</si>
  <si>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</si>
  <si>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</si>
  <si>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</si>
  <si>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</si>
  <si>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</si>
  <si>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</si>
  <si>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</si>
  <si>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</si>
  <si>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</si>
  <si>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</si>
  <si>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</si>
  <si>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</si>
  <si>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</si>
  <si>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</si>
  <si>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</si>
  <si>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</si>
  <si>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</si>
  <si>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</si>
  <si>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</si>
  <si>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</si>
  <si>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</si>
  <si>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</si>
  <si>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</si>
  <si>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</si>
  <si>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</si>
  <si>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</si>
  <si>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</si>
  <si>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</si>
  <si>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</si>
  <si>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</si>
  <si>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</si>
  <si>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</si>
  <si>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</si>
  <si>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</si>
  <si>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</si>
  <si>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</si>
  <si>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</si>
  <si>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</si>
  <si>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</si>
  <si>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</si>
  <si>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</si>
  <si>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</si>
  <si>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</si>
  <si>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</si>
  <si>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</si>
  <si>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</si>
  <si>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</si>
  <si>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</si>
  <si>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</si>
  <si>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</si>
  <si>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</si>
  <si>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</si>
  <si>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</si>
  <si>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</si>
  <si>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</si>
  <si>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</si>
  <si>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</si>
  <si>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</si>
  <si>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</si>
  <si>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</si>
  <si>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</si>
  <si>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</si>
  <si>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</si>
  <si>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</si>
  <si>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</si>
  <si>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</si>
  <si>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</si>
  <si>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</si>
  <si>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</si>
  <si>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</si>
  <si>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</si>
  <si>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</si>
  <si>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</si>
  <si>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</si>
  <si>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</si>
  <si>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</si>
  <si>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</si>
  <si>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</si>
  <si>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</si>
  <si>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</si>
  <si>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</si>
  <si>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</si>
  <si>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</si>
  <si>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</si>
  <si>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</si>
  <si>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</si>
  <si>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</si>
  <si>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</si>
  <si>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</si>
  <si>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</si>
  <si>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</si>
  <si>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</si>
  <si>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</si>
  <si>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</si>
  <si>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</si>
  <si>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</si>
  <si>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</si>
  <si>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</si>
  <si>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</si>
  <si>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</si>
  <si>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</si>
  <si>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</si>
  <si>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</si>
  <si>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</si>
  <si>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</si>
  <si>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</si>
  <si>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</si>
  <si>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</si>
  <si>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</si>
  <si>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</si>
  <si>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</si>
  <si>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</si>
  <si>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</si>
  <si>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</si>
  <si>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</si>
  <si>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</si>
  <si>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</si>
  <si>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</si>
  <si>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</si>
  <si>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</si>
  <si>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</si>
  <si>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</si>
  <si>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</si>
  <si>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</si>
  <si>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</si>
  <si>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</si>
  <si>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</si>
  <si>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</si>
  <si>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</si>
  <si>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</si>
  <si>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</si>
  <si>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</si>
  <si>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</si>
  <si>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</si>
  <si>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</si>
  <si>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</si>
  <si>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</si>
  <si>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</si>
  <si>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</si>
  <si>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</si>
  <si>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</si>
  <si>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</si>
  <si>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</si>
  <si>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</si>
  <si>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</si>
  <si>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</si>
  <si>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</si>
  <si>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</si>
  <si>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</si>
  <si>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</si>
  <si>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</si>
  <si>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</si>
  <si>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</si>
  <si>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</si>
  <si>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</si>
  <si>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</si>
  <si>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</si>
  <si>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</si>
  <si>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</si>
  <si>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</si>
  <si>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</si>
  <si>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</si>
  <si>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</si>
  <si>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</si>
  <si>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</si>
  <si>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</si>
  <si>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</si>
  <si>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</si>
  <si>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</si>
  <si>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</si>
  <si>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</si>
  <si>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</si>
  <si>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</si>
  <si>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</si>
  <si>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</si>
  <si>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</si>
  <si>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</si>
  <si>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</si>
  <si>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</si>
  <si>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</si>
  <si>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</si>
  <si>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</si>
  <si>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</si>
  <si>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</si>
  <si>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</si>
  <si>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</si>
  <si>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</si>
  <si>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</si>
  <si>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</si>
  <si>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</si>
  <si>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</si>
  <si>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</si>
  <si>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</si>
  <si>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</si>
  <si>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</si>
  <si>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</si>
  <si>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</si>
  <si>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</si>
  <si>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</si>
  <si>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</si>
  <si>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</si>
  <si>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</si>
  <si>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</si>
  <si>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</si>
  <si>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</si>
  <si>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</si>
  <si>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</si>
  <si>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</si>
  <si>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</si>
  <si>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</si>
  <si>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</si>
  <si>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</si>
  <si>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</si>
  <si>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</si>
  <si>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</si>
  <si>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</si>
  <si>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</si>
  <si>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</si>
  <si>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</si>
  <si>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</si>
  <si>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</si>
  <si>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</si>
  <si>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</si>
  <si>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</si>
  <si>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</si>
  <si>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</si>
  <si>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</si>
  <si>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</si>
  <si>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</si>
  <si>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</si>
  <si>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</si>
  <si>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</si>
  <si>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</si>
  <si>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</si>
  <si>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</si>
  <si>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</si>
  <si>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</si>
  <si>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</si>
  <si>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</si>
  <si>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</si>
  <si>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</si>
  <si>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</si>
  <si>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</si>
  <si>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</si>
  <si>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</si>
  <si>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</si>
  <si>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</si>
  <si>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</si>
  <si>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</si>
  <si>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</si>
  <si>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</si>
  <si>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</si>
  <si>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</si>
  <si>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</si>
  <si>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</si>
  <si>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</si>
  <si>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</si>
  <si>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</si>
  <si>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</si>
  <si>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</si>
  <si>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</si>
  <si>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</si>
  <si>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</si>
  <si>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</si>
  <si>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</si>
  <si>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</si>
  <si>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</si>
  <si>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</si>
  <si>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</si>
  <si>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</si>
  <si>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</si>
  <si>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</si>
  <si>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</si>
  <si>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</si>
  <si>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</si>
  <si>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</si>
  <si>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</si>
  <si>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</si>
  <si>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</si>
  <si>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</si>
  <si>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</si>
  <si>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</si>
  <si>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</si>
  <si>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</si>
  <si>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</si>
  <si>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</si>
  <si>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</si>
  <si>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</si>
  <si>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</si>
  <si>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</si>
  <si>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</si>
  <si>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</si>
  <si>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</si>
  <si>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</si>
  <si>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</si>
  <si>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</si>
  <si>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</si>
  <si>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</si>
  <si>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</si>
  <si>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</si>
  <si>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</si>
  <si>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</si>
  <si>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</si>
  <si>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</si>
  <si>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</si>
  <si>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</si>
  <si>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</si>
  <si>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</si>
  <si>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</si>
  <si>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</si>
  <si>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</si>
  <si>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</si>
  <si>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</si>
  <si>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</si>
  <si>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</si>
  <si>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</si>
  <si>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</si>
  <si>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</si>
  <si>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</si>
  <si>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</si>
  <si>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</si>
  <si>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</si>
  <si>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</si>
  <si>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</si>
  <si>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</si>
  <si>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</si>
  <si>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</si>
  <si>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</si>
  <si>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</si>
  <si>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</si>
  <si>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</si>
  <si>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</si>
  <si>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</si>
  <si>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</si>
  <si>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</si>
  <si>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</si>
  <si>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</si>
  <si>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</si>
  <si>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</si>
  <si>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</si>
  <si>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</si>
  <si>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</si>
  <si>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</si>
  <si>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</si>
  <si>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</si>
  <si>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</si>
  <si>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</si>
  <si>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</si>
  <si>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</si>
  <si>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</si>
  <si>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</si>
  <si>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</si>
  <si>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</si>
  <si>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</si>
  <si>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</si>
  <si>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</si>
  <si>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</si>
  <si>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</si>
  <si>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</si>
  <si>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</si>
  <si>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</si>
  <si>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</si>
  <si>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</si>
  <si>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</si>
  <si>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</si>
  <si>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</si>
  <si>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</si>
  <si>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</si>
  <si>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</si>
  <si>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</si>
  <si>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</si>
  <si>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</si>
  <si>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</si>
  <si>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</si>
  <si>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</si>
  <si>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</si>
  <si>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</si>
  <si>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</si>
  <si>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</si>
  <si>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</si>
  <si>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</si>
  <si>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</si>
  <si>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</si>
  <si>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</si>
  <si>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</si>
  <si>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</si>
  <si>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</si>
  <si>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</si>
  <si>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</si>
  <si>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</si>
  <si>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</si>
  <si>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</si>
  <si>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</si>
  <si>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</si>
  <si>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</si>
  <si>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</si>
  <si>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</si>
  <si>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</si>
  <si>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</si>
  <si>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</si>
  <si>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</si>
  <si>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</si>
  <si>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</si>
  <si>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</si>
  <si>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</si>
  <si>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</si>
  <si>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</si>
  <si>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</si>
  <si>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</si>
  <si>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</si>
  <si>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</si>
  <si>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</si>
  <si>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</si>
  <si>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</si>
  <si>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</si>
  <si>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</si>
  <si>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</si>
  <si>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</si>
  <si>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</si>
  <si>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</si>
  <si>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</si>
  <si>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</si>
  <si>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</si>
  <si>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</si>
  <si>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</si>
  <si>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</si>
  <si>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</si>
  <si>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</si>
  <si>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</si>
  <si>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</si>
  <si>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</si>
  <si>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</si>
  <si>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</si>
  <si>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</si>
  <si>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</si>
  <si>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</si>
  <si>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</si>
  <si>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</si>
  <si>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</si>
  <si>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</si>
  <si>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</si>
  <si>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</si>
  <si>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</si>
  <si>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</si>
  <si>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</si>
  <si>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</si>
  <si>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</si>
  <si>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</si>
  <si>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</si>
  <si>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</si>
  <si>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</si>
  <si>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</si>
  <si>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</si>
  <si>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</si>
  <si>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</si>
  <si>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</si>
  <si>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</si>
  <si>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</si>
  <si>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</si>
  <si>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</si>
  <si>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</si>
  <si>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</si>
  <si>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</si>
  <si>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</si>
  <si>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</si>
  <si>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</si>
  <si>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</si>
  <si>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</si>
  <si>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</si>
  <si>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</si>
  <si>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</si>
  <si>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</si>
  <si>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</si>
  <si>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</si>
  <si>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</si>
  <si>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</si>
  <si>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</si>
  <si>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</si>
  <si>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</si>
  <si>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</si>
  <si>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</si>
  <si>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</si>
  <si>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</si>
  <si>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</si>
  <si>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</si>
  <si>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</si>
  <si>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</si>
  <si>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</si>
  <si>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</si>
  <si>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</si>
  <si>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</si>
  <si>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</si>
  <si>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</si>
  <si>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</si>
  <si>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</si>
  <si>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</si>
  <si>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</si>
  <si>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</si>
  <si>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</si>
  <si>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</si>
  <si>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</si>
  <si>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</si>
  <si>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</si>
  <si>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</si>
  <si>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</si>
  <si>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</si>
  <si>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</si>
  <si>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</si>
  <si>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</si>
  <si>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</si>
  <si>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</si>
  <si>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</si>
  <si>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</si>
  <si>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</si>
  <si>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</si>
  <si>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</si>
  <si>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</si>
  <si>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</si>
  <si>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</si>
  <si>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</si>
  <si>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</si>
  <si>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</si>
  <si>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</si>
  <si>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</si>
  <si>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</si>
  <si>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</si>
  <si>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</si>
  <si>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</si>
  <si>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</si>
  <si>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</si>
  <si>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</si>
  <si>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</si>
  <si>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</si>
  <si>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</si>
  <si>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</si>
  <si>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</si>
  <si>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</si>
  <si>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</si>
  <si>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</si>
  <si>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</si>
  <si>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</si>
  <si>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</si>
  <si>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</si>
  <si>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</si>
  <si>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</si>
  <si>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</si>
  <si>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</si>
  <si>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</si>
  <si>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</si>
  <si>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</si>
  <si>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</si>
  <si>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</si>
  <si>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</si>
  <si>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</si>
  <si>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</si>
  <si>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</si>
  <si>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</si>
  <si>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</si>
  <si>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</si>
  <si>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</si>
  <si>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</si>
  <si>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</si>
  <si>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</si>
  <si>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</si>
  <si>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</si>
  <si>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</si>
  <si>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</si>
  <si>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</si>
  <si>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</si>
  <si>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</si>
  <si>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</si>
  <si>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</si>
  <si>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</si>
  <si>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</si>
  <si>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</si>
  <si>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</si>
  <si>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</si>
  <si>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</si>
  <si>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</si>
  <si>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</si>
  <si>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</si>
  <si>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</si>
  <si>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</si>
  <si>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</si>
  <si>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</si>
  <si>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</si>
  <si>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</si>
  <si>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</si>
  <si>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</si>
  <si>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</si>
  <si>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</si>
  <si>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</si>
  <si>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</si>
  <si>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</si>
  <si>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</si>
  <si>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</si>
  <si>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</si>
  <si>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</si>
  <si>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</si>
  <si>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</si>
  <si>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</si>
  <si>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</si>
  <si>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</si>
  <si>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</si>
  <si>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</si>
  <si>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</si>
  <si>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</si>
  <si>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</si>
  <si>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</si>
  <si>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</si>
  <si>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</si>
  <si>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</si>
  <si>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</si>
  <si>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</si>
  <si>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</si>
  <si>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</si>
  <si>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</si>
  <si>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</si>
  <si>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</si>
  <si>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</si>
  <si>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</si>
  <si>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</si>
  <si>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</si>
  <si>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</si>
  <si>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</si>
  <si>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</si>
  <si>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</si>
  <si>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</si>
  <si>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</si>
  <si>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</si>
  <si>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</si>
  <si>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</si>
  <si>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</si>
  <si>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</si>
  <si>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</si>
  <si>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</si>
  <si>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</si>
  <si>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</si>
  <si>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</si>
  <si>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</si>
  <si>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</si>
  <si>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</si>
  <si>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</si>
  <si>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</si>
  <si>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</si>
  <si>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</si>
  <si>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</si>
  <si>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</si>
  <si>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</si>
  <si>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</si>
  <si>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</si>
  <si>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</si>
  <si>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</si>
  <si>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</si>
  <si>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</si>
  <si>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</si>
  <si>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</si>
  <si>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</si>
  <si>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</si>
  <si>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</si>
  <si>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</si>
  <si>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</si>
  <si>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</si>
  <si>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</si>
  <si>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</si>
  <si>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</si>
  <si>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</si>
  <si>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</si>
  <si>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</si>
  <si>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</si>
  <si>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</si>
  <si>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</si>
  <si>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</si>
  <si>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</si>
  <si>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</si>
  <si>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</si>
  <si>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</si>
  <si>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</si>
  <si>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</si>
  <si>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</si>
  <si>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</si>
  <si>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</si>
  <si>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</si>
  <si>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</si>
  <si>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</si>
  <si>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</si>
  <si>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</si>
  <si>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</si>
  <si>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</si>
  <si>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</si>
  <si>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</si>
  <si>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</si>
  <si>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</si>
  <si>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</si>
  <si>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</si>
  <si>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</si>
  <si>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</si>
  <si>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</si>
  <si>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</si>
  <si>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</si>
  <si>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</si>
  <si>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</si>
  <si>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</si>
  <si>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</si>
  <si>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</si>
  <si>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</si>
  <si>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</si>
  <si>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</si>
  <si>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</si>
  <si>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</si>
  <si>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</si>
  <si>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</si>
  <si>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</si>
  <si>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</si>
  <si>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</si>
  <si>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</si>
  <si>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</si>
  <si>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</si>
  <si>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</si>
  <si>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</si>
  <si>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</si>
  <si>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</si>
  <si>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</si>
  <si>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</si>
  <si>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</si>
  <si>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</si>
  <si>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</si>
  <si>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</si>
  <si>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</si>
  <si>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</si>
  <si>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</si>
  <si>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</si>
  <si>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</si>
  <si>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</si>
  <si>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</si>
  <si>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</si>
  <si>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</si>
  <si>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</si>
  <si>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</si>
  <si>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</si>
  <si>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</si>
  <si>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</si>
  <si>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</si>
  <si>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</si>
  <si>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</si>
  <si>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</si>
  <si>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</si>
  <si>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</si>
  <si>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</si>
  <si>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</si>
  <si>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</si>
  <si>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</si>
  <si>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</si>
  <si>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</si>
  <si>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</si>
  <si>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</si>
  <si>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</si>
  <si>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</si>
  <si>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</si>
  <si>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</si>
  <si>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</si>
  <si>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</si>
  <si>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</si>
  <si>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</si>
  <si>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</si>
  <si>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</si>
  <si>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</si>
  <si>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</si>
  <si>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</si>
  <si>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</si>
  <si>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</si>
  <si>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</si>
  <si>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</si>
  <si>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</si>
  <si>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</si>
  <si>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</si>
  <si>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</si>
  <si>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</si>
  <si>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</si>
  <si>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</si>
  <si>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</si>
  <si>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</si>
  <si>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</si>
  <si>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</si>
  <si>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</si>
  <si>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</si>
  <si>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</si>
  <si>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</si>
  <si>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</si>
  <si>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</si>
  <si>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</si>
  <si>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</si>
  <si>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</si>
  <si>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</si>
  <si>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</si>
  <si>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</si>
  <si>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</si>
  <si>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</si>
  <si>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</si>
  <si>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</si>
  <si>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</si>
  <si>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</si>
  <si>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</si>
  <si>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</si>
  <si>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</si>
  <si>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</si>
  <si>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</si>
  <si>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</si>
  <si>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</si>
  <si>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</si>
  <si>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</si>
  <si>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</si>
  <si>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</si>
  <si>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</si>
  <si>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</si>
  <si>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</si>
  <si>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</si>
  <si>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</si>
  <si>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</si>
  <si>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</si>
  <si>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</si>
  <si>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</si>
  <si>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</si>
  <si>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</si>
  <si>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</si>
  <si>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</si>
  <si>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</si>
  <si>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</si>
  <si>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</si>
  <si>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</si>
  <si>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</si>
  <si>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</si>
  <si>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</si>
  <si>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</si>
  <si>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</si>
  <si>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</si>
  <si>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</si>
  <si>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</si>
  <si>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</si>
  <si>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</si>
  <si>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</si>
  <si>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</si>
  <si>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</si>
  <si>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</si>
  <si>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</si>
  <si>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</si>
  <si>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</si>
  <si>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</si>
  <si>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</si>
  <si>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</si>
  <si>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</si>
  <si>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</si>
  <si>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</si>
  <si>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</si>
  <si>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</si>
  <si>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</si>
  <si>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</si>
  <si>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</si>
  <si>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</si>
  <si>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</si>
  <si>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</si>
  <si>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</si>
  <si>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</si>
  <si>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</si>
  <si>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</si>
  <si>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</si>
  <si>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</si>
  <si>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</si>
  <si>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</si>
  <si>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</si>
  <si>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</si>
  <si>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</si>
  <si>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</si>
  <si>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</si>
  <si>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</si>
  <si>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</si>
  <si>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</si>
  <si>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</si>
  <si>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</si>
  <si>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</si>
  <si>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</si>
  <si>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</si>
  <si>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</si>
  <si>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</si>
  <si>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</si>
  <si>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</si>
  <si>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</si>
  <si>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</si>
  <si>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</si>
  <si>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</si>
  <si>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</si>
  <si>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</si>
  <si>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</si>
  <si>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</si>
  <si>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</si>
  <si>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</si>
  <si>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</si>
  <si>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</si>
  <si>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</si>
  <si>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</si>
  <si>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</si>
  <si>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</si>
  <si>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</si>
  <si>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</si>
  <si>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</si>
  <si>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</si>
  <si>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</si>
  <si>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</si>
  <si>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</si>
  <si>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</si>
  <si>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</si>
  <si>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</si>
  <si>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</si>
  <si>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</si>
  <si>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</si>
  <si>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</si>
  <si>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</si>
  <si>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</si>
  <si>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</si>
  <si>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</si>
  <si>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</si>
  <si>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</si>
  <si>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</si>
  <si>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</si>
  <si>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</si>
  <si>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</si>
  <si>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</si>
  <si>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</si>
  <si>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</si>
  <si>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</si>
  <si>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</si>
  <si>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</si>
  <si>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</si>
  <si>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</si>
  <si>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</si>
  <si>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</si>
  <si>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</si>
  <si>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</si>
  <si>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</si>
  <si>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</si>
  <si>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</si>
  <si>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</si>
  <si>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</si>
  <si>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</si>
  <si>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</si>
  <si>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</si>
  <si>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</si>
  <si>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</si>
  <si>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</si>
  <si>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</si>
  <si>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</si>
  <si>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</si>
  <si>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</si>
  <si>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</si>
  <si>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</si>
  <si>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</si>
  <si>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</si>
  <si>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</si>
  <si>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</si>
  <si>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</si>
  <si>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</si>
  <si>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</si>
  <si>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</si>
  <si>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</si>
  <si>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</si>
  <si>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</si>
  <si>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</si>
  <si>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</si>
  <si>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</si>
  <si>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</si>
  <si>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</si>
  <si>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</si>
  <si>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</si>
  <si>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</si>
  <si>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</si>
  <si>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</si>
  <si>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</si>
  <si>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</si>
  <si>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</si>
  <si>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</si>
  <si>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</si>
  <si>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</si>
  <si>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</si>
  <si>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</si>
  <si>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</si>
  <si>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</si>
  <si>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</si>
  <si>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</si>
  <si>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</si>
  <si>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</si>
  <si>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</si>
  <si>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</si>
  <si>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</si>
  <si>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</si>
  <si>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</si>
  <si>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</si>
  <si>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</si>
  <si>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</si>
  <si>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</si>
  <si>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</si>
  <si>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</si>
  <si>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</si>
  <si>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</si>
  <si>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</si>
  <si>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</si>
  <si>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</si>
  <si>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</si>
  <si>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</si>
  <si>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</si>
  <si>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</si>
  <si>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</si>
  <si>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</si>
  <si>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</si>
  <si>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</si>
  <si>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</si>
  <si>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</si>
  <si>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</si>
  <si>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</si>
  <si>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</si>
  <si>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</si>
  <si>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</si>
  <si>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</si>
  <si>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</si>
  <si>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</si>
  <si>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</si>
  <si>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</si>
  <si>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</si>
  <si>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</si>
  <si>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</si>
  <si>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</si>
  <si>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</si>
  <si>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</si>
  <si>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</si>
  <si>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</si>
  <si>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</si>
  <si>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</si>
  <si>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</si>
  <si>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</si>
  <si>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</si>
  <si>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</si>
  <si>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</si>
  <si>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</si>
  <si>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</si>
  <si>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</si>
  <si>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</si>
  <si>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</si>
  <si>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</si>
  <si>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</si>
  <si>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</si>
  <si>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</si>
  <si>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</si>
  <si>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</si>
  <si>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</si>
  <si>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</si>
  <si>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</si>
  <si>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</si>
  <si>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</si>
  <si>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</si>
  <si>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</si>
  <si>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</si>
  <si>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</si>
  <si>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</si>
  <si>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</si>
  <si>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</si>
  <si>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</si>
  <si>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</si>
  <si>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</si>
  <si>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</si>
  <si>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</si>
  <si>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</si>
  <si>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</si>
  <si>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</si>
  <si>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</si>
  <si>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</si>
  <si>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</si>
  <si>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</si>
  <si>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</si>
  <si>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</si>
  <si>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</si>
  <si>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</si>
  <si>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</si>
  <si>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</si>
  <si>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</si>
  <si>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</si>
  <si>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</si>
  <si>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</si>
  <si>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</si>
  <si>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</si>
  <si>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</si>
  <si>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</si>
  <si>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</si>
  <si>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</si>
  <si>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</si>
  <si>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</si>
  <si>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</si>
  <si>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</si>
  <si>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</si>
  <si>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</si>
  <si>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</si>
  <si>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</si>
  <si>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</si>
  <si>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</si>
  <si>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</si>
  <si>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</si>
  <si>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</si>
  <si>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</si>
  <si>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</si>
  <si>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</si>
  <si>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</si>
  <si>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</si>
  <si>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</si>
  <si>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</si>
  <si>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</si>
  <si>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</si>
  <si>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</si>
  <si>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</si>
  <si>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</si>
  <si>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</si>
  <si>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</si>
  <si>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</si>
  <si>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</si>
  <si>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</si>
  <si>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</si>
  <si>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</si>
  <si>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</si>
  <si>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</si>
  <si>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</si>
  <si>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</si>
  <si>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</si>
  <si>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</si>
  <si>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</si>
  <si>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</si>
  <si>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</si>
  <si>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</si>
  <si>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</si>
  <si>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</si>
  <si>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</si>
  <si>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</si>
  <si>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</si>
  <si>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</si>
  <si>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</si>
  <si>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</si>
  <si>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</si>
  <si>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</si>
  <si>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</si>
  <si>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</si>
  <si>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</si>
  <si>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</si>
  <si>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</si>
  <si>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</si>
  <si>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</si>
  <si>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</si>
  <si>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</si>
  <si>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</si>
  <si>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</si>
  <si>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</si>
  <si>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</si>
  <si>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</si>
  <si>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</si>
  <si>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</si>
  <si>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</si>
  <si>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</si>
  <si>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</si>
  <si>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</si>
  <si>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</si>
  <si>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</si>
  <si>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</si>
  <si>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</si>
  <si>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</si>
  <si>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</si>
  <si>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</si>
  <si>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</si>
  <si>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</si>
  <si>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</si>
  <si>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</si>
  <si>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</si>
  <si>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</si>
  <si>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</si>
  <si>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</si>
  <si>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</si>
  <si>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144" type="noConversion"/>
  </si>
  <si>
    <t>抵押</t>
  </si>
  <si>
    <t>房地产抵押价值</t>
  </si>
  <si>
    <t>其他：</t>
  </si>
  <si>
    <t>企业</t>
  </si>
  <si>
    <t>出让</t>
  </si>
  <si>
    <t>否</t>
  </si>
  <si>
    <t>《不动产权证书》</t>
  </si>
  <si>
    <t>复印件</t>
  </si>
  <si>
    <t>商业项目</t>
  </si>
  <si>
    <t>商场</t>
  </si>
  <si>
    <t>现房</t>
  </si>
  <si>
    <t>通路</t>
  </si>
  <si>
    <t>通电</t>
  </si>
  <si>
    <t>通讯</t>
  </si>
  <si>
    <t>通上水</t>
  </si>
  <si>
    <t>通下水</t>
  </si>
  <si>
    <t>燃气</t>
  </si>
  <si>
    <t>是</t>
  </si>
  <si>
    <r>
      <t>1-5</t>
    </r>
    <r>
      <rPr>
        <sz val="10"/>
        <color rgb="FF000000"/>
        <rFont val="宋体"/>
        <family val="2"/>
        <charset val="134"/>
      </rPr>
      <t>层</t>
    </r>
    <phoneticPr fontId="4" type="noConversion"/>
  </si>
  <si>
    <t>地下1层</t>
    <phoneticPr fontId="4" type="noConversion"/>
  </si>
  <si>
    <t>地上</t>
  </si>
  <si>
    <t>独立商业</t>
  </si>
  <si>
    <t>地下</t>
  </si>
  <si>
    <t>商业</t>
    <phoneticPr fontId="8" type="noConversion"/>
  </si>
  <si>
    <t>成新度</t>
  </si>
  <si>
    <t>收益法</t>
  </si>
  <si>
    <t>按租金收入计税</t>
  </si>
  <si>
    <t>钢混</t>
  </si>
  <si>
    <t>非生产用房</t>
  </si>
  <si>
    <t>押一</t>
  </si>
  <si>
    <t>地下商业</t>
  </si>
  <si>
    <t>地下商业</t>
    <phoneticPr fontId="8" type="noConversion"/>
  </si>
  <si>
    <t>收益法-地下商业</t>
  </si>
  <si>
    <t>收益法-地下商业</t>
    <phoneticPr fontId="17" type="noConversion"/>
  </si>
  <si>
    <t>收益法（汇总）</t>
  </si>
  <si>
    <t>成本法</t>
  </si>
  <si>
    <t>北京市系数</t>
  </si>
  <si>
    <t>启东吾悦广场</t>
    <phoneticPr fontId="4" type="noConversion"/>
  </si>
  <si>
    <t>正常</t>
  </si>
  <si>
    <t>40</t>
    <phoneticPr fontId="32" type="noConversion"/>
  </si>
  <si>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</si>
  <si>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</si>
  <si>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</si>
  <si>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</si>
  <si>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</si>
  <si>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规则</t>
    <phoneticPr fontId="32" type="noConversion"/>
  </si>
  <si>
    <t>较规则</t>
    <phoneticPr fontId="32" type="noConversion"/>
  </si>
  <si>
    <t>较不规则</t>
    <phoneticPr fontId="32" type="noConversion"/>
  </si>
  <si>
    <t>不规则</t>
    <phoneticPr fontId="32" type="noConversion"/>
  </si>
  <si>
    <t>适宜</t>
    <phoneticPr fontId="32" type="noConversion"/>
  </si>
  <si>
    <t>较适宜</t>
    <phoneticPr fontId="32" type="noConversion"/>
  </si>
  <si>
    <t>较不适宜</t>
    <phoneticPr fontId="32" type="noConversion"/>
  </si>
  <si>
    <t>不适宜</t>
    <phoneticPr fontId="32" type="noConversion"/>
  </si>
  <si>
    <t>七通</t>
  </si>
  <si>
    <t>六通</t>
  </si>
  <si>
    <t>五通</t>
  </si>
  <si>
    <t>四通</t>
  </si>
  <si>
    <t>三通</t>
  </si>
  <si>
    <t>较好</t>
  </si>
  <si>
    <t>未包含在土地购买价格中</t>
  </si>
  <si>
    <t>已包含在土地取得成本中</t>
  </si>
  <si>
    <t>全部缴纳</t>
  </si>
  <si>
    <t>多面临街</t>
  </si>
  <si>
    <t>地块名称</t>
  </si>
  <si>
    <t>城市</t>
  </si>
  <si>
    <t>用地性质</t>
  </si>
  <si>
    <t>土地位置</t>
  </si>
  <si>
    <t>出让方式</t>
  </si>
  <si>
    <t>详细规划</t>
  </si>
  <si>
    <t>建设用地面积(㎡)</t>
  </si>
  <si>
    <t>规划建筑面积(㎡)</t>
  </si>
  <si>
    <t>容积率</t>
  </si>
  <si>
    <t>成交日期</t>
  </si>
  <si>
    <t>受让单位</t>
  </si>
  <si>
    <t>起始价(万元)</t>
  </si>
  <si>
    <t>成交价(万元)</t>
  </si>
  <si>
    <t>成交楼面价(元/㎡)</t>
  </si>
  <si>
    <t>溢价率</t>
  </si>
  <si>
    <t>出让年限</t>
  </si>
  <si>
    <t>土地星级</t>
  </si>
  <si>
    <t>南阳镇南阳村</t>
  </si>
  <si>
    <t>南通市</t>
  </si>
  <si>
    <t>商业/办公用地</t>
  </si>
  <si>
    <t>挂牌</t>
  </si>
  <si>
    <t>批发市场用地</t>
  </si>
  <si>
    <t>小于或等于2.5</t>
  </si>
  <si>
    <t>2020-03-03</t>
  </si>
  <si>
    <t>启东中合农产品市场建设开发有限公司</t>
  </si>
  <si>
    <t>40年</t>
  </si>
  <si>
    <t>金沙江路北、民胜路东侧</t>
  </si>
  <si>
    <t>商务金融用地</t>
  </si>
  <si>
    <t>大于或等于1.5并且小于或等于2.8</t>
  </si>
  <si>
    <t>启东市城市建设投资开发有限公司</t>
  </si>
  <si>
    <t>吕四港镇环城南路南侧</t>
  </si>
  <si>
    <t>其他商服用地</t>
  </si>
  <si>
    <t>1.5≤容积率≤2.5</t>
  </si>
  <si>
    <t>2019-12-04</t>
  </si>
  <si>
    <t>江苏吕四港开发建设有限公司</t>
  </si>
  <si>
    <t>惠萍镇大兴镇村</t>
  </si>
  <si>
    <t>旅馆用地</t>
  </si>
  <si>
    <t>容积率≤1.2</t>
  </si>
  <si>
    <t>2019-11-28</t>
  </si>
  <si>
    <t>启东建筑集团有限公司</t>
  </si>
  <si>
    <t>寅阳镇江枫路西侧</t>
  </si>
  <si>
    <t>零售商业用地</t>
  </si>
  <si>
    <t>小于或等于1.5</t>
  </si>
  <si>
    <t>2019-09-29</t>
  </si>
  <si>
    <t>启东市文化旅游投资集团有限公司</t>
  </si>
  <si>
    <t>江海产业园</t>
  </si>
  <si>
    <t>娱乐用地</t>
  </si>
  <si>
    <t>大于或等于0.6并且小于或等于1</t>
  </si>
  <si>
    <t>2019-09-26</t>
  </si>
  <si>
    <t>启东宏德商业管理有限公司</t>
  </si>
  <si>
    <t>南苑路南、民胜路东侧</t>
  </si>
  <si>
    <t>小于或等于2.65</t>
  </si>
  <si>
    <t>启东市城北工业园开发建设有限公司</t>
  </si>
  <si>
    <t>圆陀角旅游度假区</t>
  </si>
  <si>
    <t>大于或等于1并且小于或等于2.5</t>
  </si>
  <si>
    <t>南通启阳建设开发有限公司</t>
  </si>
  <si>
    <t>汇龙镇永阳集镇</t>
  </si>
  <si>
    <t>小于或等于0.5</t>
  </si>
  <si>
    <t>2019-09-25</t>
  </si>
  <si>
    <t>启东市启粮石油有限公司启粮加油站</t>
  </si>
  <si>
    <t>汇龙镇爱新村</t>
  </si>
  <si>
    <t>启东市久隆加油站</t>
  </si>
  <si>
    <t>公园南路西、世纪大道南侧</t>
  </si>
  <si>
    <t>大于或等于2并且小于或等于2.921</t>
  </si>
  <si>
    <t>2019-09-06</t>
  </si>
  <si>
    <t>南通银洲房地产开发有限公司、启东市天宏材料科技有限公司、启东市宏丰材料科技有限公司、启东市展驰材料科技有限公司、启东市恒德材料科技有限公司、启东市恒源材料科技有限公司</t>
  </si>
  <si>
    <t>大于或等于2并且小于或等于2.93</t>
  </si>
  <si>
    <t>汇龙镇和平路</t>
  </si>
  <si>
    <t>小于或等于1.35</t>
  </si>
  <si>
    <t>2019-09-05</t>
  </si>
  <si>
    <t>启东市鑫城城镇建设开发有限公司</t>
  </si>
  <si>
    <t>小于或等于1</t>
  </si>
  <si>
    <t>2019-07-30</t>
  </si>
  <si>
    <t>启东熠泰旅游开发有限公司</t>
  </si>
  <si>
    <t>东海镇协兴港</t>
  </si>
  <si>
    <t>＞1.0,≤1.1</t>
  </si>
  <si>
    <t>2019-07-19</t>
  </si>
  <si>
    <t>启东招盈建设发展有限公司</t>
  </si>
  <si>
    <t>＞1.0,≤2.5</t>
  </si>
  <si>
    <t>启东招园建设发展有限公司</t>
  </si>
  <si>
    <t>吕四港镇念五总村</t>
  </si>
  <si>
    <t>≤0.4</t>
  </si>
  <si>
    <t>2019-04-25</t>
  </si>
  <si>
    <t>启东市上和合镇鑫隆加油站.(普通合伙)</t>
  </si>
  <si>
    <t>江海路西、长江路北侧</t>
  </si>
  <si>
    <t>＞1,≤2</t>
  </si>
  <si>
    <t>2019-04-15</t>
  </si>
  <si>
    <t>建设路东、河南路南侧</t>
  </si>
  <si>
    <t>≤1.5</t>
  </si>
  <si>
    <t>合作镇五星村</t>
  </si>
  <si>
    <t>＞1,≤2.5</t>
  </si>
  <si>
    <t>2019-04-12</t>
  </si>
  <si>
    <t>南通东顺置业有限公司</t>
  </si>
  <si>
    <t>寅阳镇连兴港村</t>
  </si>
  <si>
    <t>住宿餐饮用地</t>
  </si>
  <si>
    <t>＞1,≤3</t>
  </si>
  <si>
    <t>2019-02-01</t>
  </si>
  <si>
    <t>启东童世界酒店管理有限公司</t>
  </si>
  <si>
    <t>海复镇糖坊村</t>
  </si>
  <si>
    <t>≤3.2</t>
  </si>
  <si>
    <t>2019-01-15</t>
  </si>
  <si>
    <t>启东市蓝村农业发展有限公司</t>
  </si>
  <si>
    <t>启隆镇</t>
  </si>
  <si>
    <t>＞1,≤1.2</t>
  </si>
  <si>
    <t>2019-01-11</t>
  </si>
  <si>
    <t>南通江洲科技发展有限公司</t>
  </si>
  <si>
    <t>2019-01-10</t>
  </si>
  <si>
    <t>2019-01-09</t>
  </si>
  <si>
    <t>汇龙镇南郊村</t>
  </si>
  <si>
    <t>批发零售用地</t>
  </si>
  <si>
    <t>≤1.8</t>
  </si>
  <si>
    <t>2018-12-19</t>
  </si>
  <si>
    <t>启东市保障房建设投资有限公司</t>
  </si>
  <si>
    <t>≥0.5,≤1.5</t>
  </si>
  <si>
    <t>2018-10-11</t>
  </si>
  <si>
    <t>启东市江缘房地产开发有限公司</t>
  </si>
  <si>
    <t>38年</t>
  </si>
  <si>
    <t>黄浦江路北、建设路西侧</t>
  </si>
  <si>
    <t>≥1.5,≤2.15</t>
  </si>
  <si>
    <t>2018-10-10</t>
  </si>
  <si>
    <t>江苏半步堂置业有限公司</t>
  </si>
  <si>
    <t>70年</t>
  </si>
  <si>
    <t>汇龙镇近江村</t>
  </si>
  <si>
    <t>≥0.8,≤1</t>
  </si>
  <si>
    <t>2018-09-28</t>
  </si>
  <si>
    <t>上海缇煜置业有限公司</t>
  </si>
  <si>
    <t>惠萍镇惠和集镇</t>
  </si>
  <si>
    <t>≤0.8</t>
  </si>
  <si>
    <t>2018-08-22</t>
  </si>
  <si>
    <t>启东城投二手车交易服务有限公司</t>
  </si>
  <si>
    <t>37年</t>
  </si>
  <si>
    <t>2018-07-30</t>
  </si>
  <si>
    <t>长兴路南、港东路东侧</t>
  </si>
  <si>
    <t>2018-05-04</t>
  </si>
  <si>
    <t>启东市鑫城城建建设开发有限公司</t>
  </si>
  <si>
    <t>牡丹江路南、公园路西侧</t>
  </si>
  <si>
    <t>≤3.4</t>
  </si>
  <si>
    <t>2018-04-18</t>
  </si>
  <si>
    <t>启东市忠诚信开发建设有限公司</t>
  </si>
  <si>
    <t>金沙江路北、公园路西侧</t>
  </si>
  <si>
    <t>≤2.7</t>
  </si>
  <si>
    <t>江苏启东农村商业银行股份有限公司</t>
  </si>
  <si>
    <t>≤3.9</t>
  </si>
  <si>
    <t>江苏南通二建集团有限公司</t>
  </si>
  <si>
    <t>支路</t>
  </si>
  <si>
    <t>支路</t>
    <phoneticPr fontId="32" type="noConversion"/>
  </si>
  <si>
    <t>较规则</t>
  </si>
  <si>
    <t>商业</t>
    <phoneticPr fontId="32" type="noConversion"/>
  </si>
  <si>
    <t>总计</t>
  </si>
  <si>
    <t>(空白)</t>
  </si>
  <si>
    <t>生活配套</t>
  </si>
  <si>
    <t>服饰配套</t>
  </si>
  <si>
    <t>餐饮业态</t>
  </si>
  <si>
    <t>BF</t>
    <phoneticPr fontId="144" type="noConversion"/>
  </si>
  <si>
    <t>BF</t>
  </si>
  <si>
    <t>主次力店</t>
  </si>
  <si>
    <t>4F</t>
    <phoneticPr fontId="144" type="noConversion"/>
  </si>
  <si>
    <t>4F</t>
  </si>
  <si>
    <t>儿童业态</t>
  </si>
  <si>
    <t>3F</t>
    <phoneticPr fontId="144" type="noConversion"/>
  </si>
  <si>
    <t>3F</t>
  </si>
  <si>
    <t>服装服饰</t>
  </si>
  <si>
    <t>2F</t>
    <phoneticPr fontId="144" type="noConversion"/>
  </si>
  <si>
    <t>2F</t>
  </si>
  <si>
    <t>1F</t>
    <phoneticPr fontId="144" type="noConversion"/>
  </si>
  <si>
    <t>1F</t>
  </si>
  <si>
    <t>租赁面积</t>
    <phoneticPr fontId="144" type="noConversion"/>
  </si>
  <si>
    <t>平均值项:管理费标准</t>
  </si>
  <si>
    <t>平均值项:租金标准</t>
  </si>
  <si>
    <t>求和项:租赁面积</t>
  </si>
  <si>
    <t>行标签</t>
  </si>
  <si>
    <t>值</t>
  </si>
  <si>
    <t>其他</t>
  </si>
  <si>
    <t>保底+抽成租金</t>
  </si>
  <si>
    <t>抽成租金</t>
  </si>
  <si>
    <t>固定租金</t>
  </si>
  <si>
    <t>半年付</t>
  </si>
  <si>
    <t>季付</t>
  </si>
  <si>
    <t>月付</t>
  </si>
  <si>
    <t>玖子料理</t>
  </si>
  <si>
    <t>B1F-40</t>
  </si>
  <si>
    <t>一般商铺</t>
  </si>
  <si>
    <t>汤氏面点</t>
  </si>
  <si>
    <t>B1F-38,B1F-39</t>
  </si>
  <si>
    <t>维武切面店</t>
  </si>
  <si>
    <t>B1F-37</t>
  </si>
  <si>
    <t>天新海鲜</t>
  </si>
  <si>
    <t>B1F-36</t>
  </si>
  <si>
    <t>董氏水产</t>
  </si>
  <si>
    <t>B1F-35-1,B1F-35-2,B1F-35-3,B1F-35-4,B1F-35-5,B1F-35-6,B1F-35-7,B1F-35-8,B1F-35-9,B1F-35-10,B1F-35-11,B1F-35-12</t>
  </si>
  <si>
    <t>启盛水产</t>
  </si>
  <si>
    <t>B1F-34-1,B1F-34-2,B1F-34-3,B1F-34-4,B1F-34-5,B1F-34-6,B1F-34-7,B1F-34-8,B1F-34-9,B1F-34-10</t>
  </si>
  <si>
    <t>张记豆制品</t>
  </si>
  <si>
    <t>B1F-33-1,B1F-33-2,B1F-33-3,B1F-33-4,B1F-33-5,B1F-33-6,B1F-33-7,B1F-33-8,B1F-33-9,B1F-33-10</t>
  </si>
  <si>
    <t>陶先生干果铺</t>
  </si>
  <si>
    <t>B1F-32-1,B1F-32-2,B1F-32-3,B1F-32-4,B1F-32-5,B1F-32-6,B1F-32-7,B1F-32-8</t>
  </si>
  <si>
    <t>建华食品</t>
  </si>
  <si>
    <t>B1F-31-1,B1F-31-2,B1F-31-3,B1F-31-4,B1F-31-5,B1F-31-6,B1F-31-7,B1F-31-8,B1F-31-9,B1F-31-10,B1F-31-11,B1F-31-12</t>
  </si>
  <si>
    <t>正大鸡蛋</t>
  </si>
  <si>
    <t>B1F-30-1,B1F-30-2,B1F-30-3,B1F-30-4,B1F-30-5,B1F-30-6,B1F-30-7,B1F-30-8,B1F-30-9,B1F-30-10,B1F-30-11,B1F-30-12,B1F-30-13,B1F-30-14,B1F-30-15,B1F-30-16</t>
  </si>
  <si>
    <t>顾氏肉品</t>
  </si>
  <si>
    <t>B1F-29-1,B1F-29-2,B1F-29-3,B1F-29-4,B1F-29-5,B1F-29-6,B1F-29-7,B1F-29-8</t>
  </si>
  <si>
    <t>梁飞肉品</t>
  </si>
  <si>
    <t>B1F-28</t>
  </si>
  <si>
    <t>土猪一号</t>
  </si>
  <si>
    <t>B1F-27</t>
  </si>
  <si>
    <t>杨氏肉品</t>
  </si>
  <si>
    <t>B1F-26</t>
  </si>
  <si>
    <t>磊源冻品</t>
  </si>
  <si>
    <t>B1F-25-1,B1F-25-2,B1F-25-3,B1F-25-4,B1F-25-5,B1F-25-6,B1F-25-7,B1F-25-8</t>
  </si>
  <si>
    <t>康鲜时蔬</t>
  </si>
  <si>
    <t>B1F-24-1,B1F-24-2,B1F-24-3,B1F-24-4,B1F-24-5,B1F-24-6,B1F-24-7,B1F-24-8,B1F-24-9,B1F-24-10,B1F-24-11,B1F-24-12,B1F-24-13,B1F-24-14,B1F-24-15,B1F-24-16</t>
  </si>
  <si>
    <t>建华蔬菜</t>
  </si>
  <si>
    <t>B1F-22-1,B1F-22-2,B1F-22-3,B1F-22-4,B1F-22-5,B1F-22-6,B1F-22-7,B1F-22-8,B1F-22-9,B1F-23-1,B1F-23-2,B1F-23-3,B1F-23-4,B1F-23-5,B1F-23-6,B1F-23-7,B1F-23-8,B1F-23-9,B1F-23-10,B1F-23-11,B1F-23-12,B1F-23-13,B1F-23-14</t>
  </si>
  <si>
    <t>康泰大药房</t>
  </si>
  <si>
    <t>B1F-21-1</t>
  </si>
  <si>
    <t>爱回收</t>
  </si>
  <si>
    <t>B1F-20</t>
  </si>
  <si>
    <t>SQ Flower</t>
  </si>
  <si>
    <t>B1F-19</t>
  </si>
  <si>
    <t>梅板娘</t>
  </si>
  <si>
    <t>B1F-18</t>
  </si>
  <si>
    <t>采果食鲜</t>
  </si>
  <si>
    <t>B1F-16</t>
  </si>
  <si>
    <t>小罐茶</t>
  </si>
  <si>
    <t>B1F-15</t>
  </si>
  <si>
    <t>见面礼</t>
  </si>
  <si>
    <t>B1F-13</t>
  </si>
  <si>
    <t>宝岛卤味</t>
  </si>
  <si>
    <t>B1F-11,B1F-12</t>
  </si>
  <si>
    <t>蚝串香</t>
  </si>
  <si>
    <t>B1F-10</t>
  </si>
  <si>
    <t>糖三样</t>
  </si>
  <si>
    <t>B1F-09</t>
  </si>
  <si>
    <t>欧伟仕</t>
  </si>
  <si>
    <t>B1F-08</t>
  </si>
  <si>
    <t>唯恒国旅</t>
  </si>
  <si>
    <t>B1F-07</t>
  </si>
  <si>
    <t>爱美发艺</t>
  </si>
  <si>
    <t>B1F-06</t>
  </si>
  <si>
    <t>永记铺</t>
  </si>
  <si>
    <t>B1F-05</t>
  </si>
  <si>
    <t>康美</t>
  </si>
  <si>
    <t>B1F-04</t>
  </si>
  <si>
    <t>来伊份</t>
  </si>
  <si>
    <t>B1F-02,B1F-03</t>
  </si>
  <si>
    <t>MOSOO</t>
  </si>
  <si>
    <t>B1F-01</t>
  </si>
  <si>
    <t>BF</t>
    <phoneticPr fontId="144" type="noConversion"/>
  </si>
  <si>
    <t>租金第2年起，每1年递增5.00%</t>
  </si>
  <si>
    <t>朱婆馄饨</t>
  </si>
  <si>
    <t>4052</t>
  </si>
  <si>
    <t>大鼓米线</t>
  </si>
  <si>
    <t>4051</t>
  </si>
  <si>
    <t>租金第2年起，每1年递增5.00%；管理费第4年起，每3年递增5%</t>
  </si>
  <si>
    <t>溪雨观</t>
  </si>
  <si>
    <t>4049,4050</t>
  </si>
  <si>
    <t>妒鱼</t>
  </si>
  <si>
    <t>4047,4048</t>
  </si>
  <si>
    <t>欧诺拉</t>
  </si>
  <si>
    <t>4045,4046</t>
  </si>
  <si>
    <t>红房串香</t>
  </si>
  <si>
    <t>4042,4043</t>
  </si>
  <si>
    <t>一喜日式烧肉</t>
  </si>
  <si>
    <t>4041</t>
  </si>
  <si>
    <t>牛呗</t>
  </si>
  <si>
    <t>4040</t>
  </si>
  <si>
    <t>吾爱蛙</t>
  </si>
  <si>
    <t>4039</t>
  </si>
  <si>
    <t>好想牛</t>
  </si>
  <si>
    <t>4037,4038</t>
  </si>
  <si>
    <t>新石器烤肉</t>
  </si>
  <si>
    <t>4035,4036</t>
  </si>
  <si>
    <t>西北杂粮筐</t>
  </si>
  <si>
    <t>4033</t>
  </si>
  <si>
    <t>蘇小二</t>
  </si>
  <si>
    <t>4031,4032</t>
  </si>
  <si>
    <t>好人民间小吃</t>
  </si>
  <si>
    <t>4030</t>
  </si>
  <si>
    <t>煎子生</t>
  </si>
  <si>
    <t>4029</t>
  </si>
  <si>
    <t>DQ</t>
  </si>
  <si>
    <t>4028</t>
  </si>
  <si>
    <t>韩宫宴</t>
  </si>
  <si>
    <t>4027</t>
  </si>
  <si>
    <t>小菜园</t>
  </si>
  <si>
    <t>4025,4026</t>
  </si>
  <si>
    <t>澳克士</t>
  </si>
  <si>
    <t>4023</t>
  </si>
  <si>
    <t>天草寿喜烧</t>
  </si>
  <si>
    <t>4022</t>
  </si>
  <si>
    <t>德庄</t>
  </si>
  <si>
    <t>4020,4021</t>
  </si>
  <si>
    <t>曦大叔正港味</t>
  </si>
  <si>
    <t>4018—2,4019</t>
  </si>
  <si>
    <t>鱼情味了</t>
  </si>
  <si>
    <t>4017,4018—1</t>
  </si>
  <si>
    <t>何记花甲</t>
  </si>
  <si>
    <t>4016</t>
  </si>
  <si>
    <t>酱记</t>
  </si>
  <si>
    <t>4015</t>
  </si>
  <si>
    <t>新三不牛腩</t>
    <phoneticPr fontId="144" type="noConversion"/>
  </si>
  <si>
    <t>4013</t>
  </si>
  <si>
    <t>又卷烧饼</t>
  </si>
  <si>
    <t>4012</t>
  </si>
  <si>
    <t>吾饮良品</t>
  </si>
  <si>
    <t>4011</t>
  </si>
  <si>
    <t>氿熹</t>
  </si>
  <si>
    <t>4010</t>
  </si>
  <si>
    <t>张记</t>
  </si>
  <si>
    <t>4009</t>
  </si>
  <si>
    <t>淀川刺身</t>
  </si>
  <si>
    <t>4008</t>
  </si>
  <si>
    <t>落端云</t>
  </si>
  <si>
    <t>4007</t>
  </si>
  <si>
    <t>新战点</t>
  </si>
  <si>
    <t>4006</t>
  </si>
  <si>
    <t>邵东家</t>
  </si>
  <si>
    <t>4005</t>
  </si>
  <si>
    <t>诺丁</t>
  </si>
  <si>
    <t>4002,4003</t>
  </si>
  <si>
    <t>星轶影院</t>
  </si>
  <si>
    <t>主次力店</t>
    <phoneticPr fontId="144" type="noConversion"/>
  </si>
  <si>
    <t>4001</t>
  </si>
  <si>
    <t>主力店</t>
  </si>
  <si>
    <t>租金第3年起，每1年递增3.00%；管理费第3年起，每2年递增1.33%</t>
  </si>
  <si>
    <t>银吉姆</t>
  </si>
  <si>
    <t>3013,4053</t>
  </si>
  <si>
    <t>租金第2年起，每1年递增7.00%；</t>
  </si>
  <si>
    <t>护童</t>
  </si>
  <si>
    <t>3051</t>
  </si>
  <si>
    <t>笛莎</t>
  </si>
  <si>
    <t>3050-2</t>
  </si>
  <si>
    <t>租金第2年起，每1年递增5.00%；</t>
  </si>
  <si>
    <t>Sweet Fans</t>
  </si>
  <si>
    <t>3050-1</t>
  </si>
  <si>
    <t>巴拉巴拉</t>
  </si>
  <si>
    <t>3048,3049</t>
  </si>
  <si>
    <t>考拉飞车</t>
  </si>
  <si>
    <t>3046,3047</t>
  </si>
  <si>
    <t>3045</t>
  </si>
  <si>
    <t>ABC KIDS</t>
  </si>
  <si>
    <t>3043</t>
  </si>
  <si>
    <t>Succi's Home</t>
  </si>
  <si>
    <t>3042</t>
  </si>
  <si>
    <t>泰兰尼斯</t>
  </si>
  <si>
    <t>3041</t>
  </si>
  <si>
    <t>jnby by JNBY</t>
  </si>
  <si>
    <t>3040</t>
  </si>
  <si>
    <t>贝贝依依</t>
  </si>
  <si>
    <t>3039</t>
  </si>
  <si>
    <t>361°（童装）</t>
  </si>
  <si>
    <t>3038</t>
  </si>
  <si>
    <t>男生女生</t>
  </si>
  <si>
    <t>3037</t>
  </si>
  <si>
    <t>失恋博物馆</t>
  </si>
  <si>
    <t>3036</t>
  </si>
  <si>
    <t>cocoTree</t>
  </si>
  <si>
    <t>3035</t>
  </si>
  <si>
    <t>巴布豆</t>
  </si>
  <si>
    <t>3033</t>
  </si>
  <si>
    <t>2平米</t>
  </si>
  <si>
    <t>3032</t>
  </si>
  <si>
    <t>租金第2年起，每1年递增5%；管理费第4年起，每3年递增5%</t>
  </si>
  <si>
    <t>谭鸭血</t>
  </si>
  <si>
    <t>3031</t>
  </si>
  <si>
    <t>3030</t>
  </si>
  <si>
    <t>3029-2</t>
  </si>
  <si>
    <t>machi</t>
  </si>
  <si>
    <t>3029-1</t>
  </si>
  <si>
    <t>NikeKids</t>
  </si>
  <si>
    <t>ADIDAS</t>
  </si>
  <si>
    <t>3027</t>
  </si>
  <si>
    <t>anta kids</t>
  </si>
  <si>
    <t>3026</t>
  </si>
  <si>
    <t>蕃茄田</t>
  </si>
  <si>
    <t>3023,3025</t>
  </si>
  <si>
    <t>东方水润</t>
  </si>
  <si>
    <t>3022</t>
  </si>
  <si>
    <t>爱贝</t>
  </si>
  <si>
    <t>3020,3021</t>
  </si>
  <si>
    <t>鱼乐贝贝</t>
  </si>
  <si>
    <t>3019</t>
  </si>
  <si>
    <t>爱婴室</t>
  </si>
  <si>
    <t>3018-1,3018-2</t>
  </si>
  <si>
    <t>科思摩尔</t>
  </si>
  <si>
    <t>3017</t>
  </si>
  <si>
    <t>巡茶</t>
  </si>
  <si>
    <t>3016</t>
  </si>
  <si>
    <t>凤绫儿</t>
  </si>
  <si>
    <t>3015</t>
  </si>
  <si>
    <t>VQ</t>
  </si>
  <si>
    <t>3012</t>
  </si>
  <si>
    <t>聪记香港糯米糍</t>
  </si>
  <si>
    <t>3011</t>
  </si>
  <si>
    <t>蛙知道</t>
  </si>
  <si>
    <t>3010</t>
  </si>
  <si>
    <t>大渝火锅</t>
  </si>
  <si>
    <t>3008,3009</t>
  </si>
  <si>
    <t>Little bee toys</t>
  </si>
  <si>
    <t>3007</t>
  </si>
  <si>
    <t>CoCo都可茶饮</t>
  </si>
  <si>
    <t>3006</t>
  </si>
  <si>
    <t>租金第3年起，每1年递增3.00%；管理费第3年起，每2年递增3.00%</t>
  </si>
  <si>
    <t>爱尚铜锣湾</t>
  </si>
  <si>
    <t>3005</t>
  </si>
  <si>
    <t>珠江</t>
  </si>
  <si>
    <t>3003</t>
  </si>
  <si>
    <t>南冰</t>
  </si>
  <si>
    <t>3002</t>
  </si>
  <si>
    <t>租金第3年起，每1年递增5.00%；管理费第3年起，每2年递增2.22%</t>
  </si>
  <si>
    <t>天空之城</t>
  </si>
  <si>
    <t>3001</t>
  </si>
  <si>
    <t>租金第2年起，每1年递增3.00%；管理费第3年起，每2年递增3.00%</t>
  </si>
  <si>
    <t>滔博运动</t>
  </si>
  <si>
    <t>2058</t>
  </si>
  <si>
    <t>次主力店</t>
  </si>
  <si>
    <t>北仓门</t>
  </si>
  <si>
    <t>2057</t>
  </si>
  <si>
    <t>笠禾</t>
  </si>
  <si>
    <t>2056</t>
  </si>
  <si>
    <t>意尔康</t>
  </si>
  <si>
    <t>2055</t>
  </si>
  <si>
    <t>七匹狼</t>
  </si>
  <si>
    <t>2053</t>
  </si>
  <si>
    <t>LILANZ</t>
  </si>
  <si>
    <t>2051,2052</t>
  </si>
  <si>
    <t>YRC</t>
  </si>
  <si>
    <t>2050</t>
  </si>
  <si>
    <t>MEFFAIR</t>
  </si>
  <si>
    <t>2049</t>
  </si>
  <si>
    <t>朗香</t>
  </si>
  <si>
    <t>2048</t>
  </si>
  <si>
    <t>租金第2年起，每1年递增7.00%；管理费第4年起，每5年递增5.00%</t>
  </si>
  <si>
    <t>茉莉屋</t>
  </si>
  <si>
    <t>2047</t>
  </si>
  <si>
    <t>OMI</t>
  </si>
  <si>
    <t>2046</t>
  </si>
  <si>
    <t>伶俐精选</t>
  </si>
  <si>
    <t>2045</t>
  </si>
  <si>
    <t>柒牌</t>
  </si>
  <si>
    <t>2043</t>
  </si>
  <si>
    <t>乐优家</t>
  </si>
  <si>
    <t>2042</t>
  </si>
  <si>
    <t>M.D.Y</t>
  </si>
  <si>
    <t>2041</t>
  </si>
  <si>
    <t xml:space="preserve">IRA </t>
  </si>
  <si>
    <t>2040</t>
  </si>
  <si>
    <t>彩库</t>
  </si>
  <si>
    <t>2039</t>
  </si>
  <si>
    <t>宝岛眼镜</t>
  </si>
  <si>
    <t>2038</t>
  </si>
  <si>
    <t>一点点</t>
  </si>
  <si>
    <t>2037</t>
  </si>
  <si>
    <t>哩哩柠檬</t>
  </si>
  <si>
    <t>2036</t>
  </si>
  <si>
    <t>yarou雅柔</t>
  </si>
  <si>
    <t>2035</t>
  </si>
  <si>
    <t>shop 1972</t>
  </si>
  <si>
    <t>2033</t>
  </si>
  <si>
    <t>蜘蛛王</t>
  </si>
  <si>
    <t>2032</t>
  </si>
  <si>
    <t>红豆居家</t>
  </si>
  <si>
    <t>2031</t>
  </si>
  <si>
    <t>维意定制</t>
  </si>
  <si>
    <t>2030,2029-1</t>
  </si>
  <si>
    <t>秀黛</t>
  </si>
  <si>
    <t>2028</t>
  </si>
  <si>
    <t>banti</t>
  </si>
  <si>
    <t>2027</t>
  </si>
  <si>
    <t xml:space="preserve">Sen Lin Niao </t>
  </si>
  <si>
    <t>2026</t>
  </si>
  <si>
    <t>本涩女装</t>
  </si>
  <si>
    <t>2025</t>
  </si>
  <si>
    <t>荣泰</t>
  </si>
  <si>
    <t>2023</t>
  </si>
  <si>
    <t>OMO</t>
  </si>
  <si>
    <t>2022</t>
  </si>
  <si>
    <t>生活逗点</t>
  </si>
  <si>
    <t>2020,2021</t>
  </si>
  <si>
    <t>麦吉丽</t>
  </si>
  <si>
    <t>2019</t>
  </si>
  <si>
    <t>KzrKze</t>
  </si>
  <si>
    <t>2018</t>
  </si>
  <si>
    <t>HANNA′SU</t>
  </si>
  <si>
    <t>2017</t>
  </si>
  <si>
    <t>JOEONE</t>
  </si>
  <si>
    <t>2016</t>
  </si>
  <si>
    <t>同德眼科</t>
    <phoneticPr fontId="144" type="noConversion"/>
  </si>
  <si>
    <t>2015</t>
  </si>
  <si>
    <t>租金第2年起，每1年递增7.00%</t>
  </si>
  <si>
    <t>计术</t>
  </si>
  <si>
    <t>2013</t>
  </si>
  <si>
    <t>曼妮芬</t>
  </si>
  <si>
    <t>2012</t>
  </si>
  <si>
    <t>棱镜密室逃脱</t>
  </si>
  <si>
    <t>2011</t>
  </si>
  <si>
    <t>名创优品</t>
  </si>
  <si>
    <t>2006</t>
  </si>
  <si>
    <t>罗莱</t>
  </si>
  <si>
    <t>2003,2005</t>
  </si>
  <si>
    <t>陆小陆</t>
  </si>
  <si>
    <t>2002</t>
  </si>
  <si>
    <t>租金第3年起，每1年递增3.00%；管理费第2年起，每1年递增3.00%</t>
  </si>
  <si>
    <t>多奇妙</t>
  </si>
  <si>
    <t>主次力店</t>
    <phoneticPr fontId="144" type="noConversion"/>
  </si>
  <si>
    <t>2001</t>
  </si>
  <si>
    <t>海底捞</t>
  </si>
  <si>
    <t>1008-2,2008,2009,2010,2007</t>
  </si>
  <si>
    <t>肯德基</t>
  </si>
  <si>
    <t>1028,2029-2</t>
  </si>
  <si>
    <t>租金第2年起，每1年递增4.00%；管理费第3年起，每2年递增4.00%</t>
  </si>
  <si>
    <t>多走路</t>
  </si>
  <si>
    <t>主次力店</t>
    <phoneticPr fontId="144" type="noConversion"/>
  </si>
  <si>
    <t>1058</t>
  </si>
  <si>
    <t>CARVING TIME</t>
  </si>
  <si>
    <t>1055</t>
  </si>
  <si>
    <t>苹果体验店</t>
  </si>
  <si>
    <t>1053</t>
  </si>
  <si>
    <t>蜜思肤</t>
  </si>
  <si>
    <t>1052-2</t>
  </si>
  <si>
    <t>YEEZY</t>
  </si>
  <si>
    <t>1052-1</t>
  </si>
  <si>
    <t>S.DEER</t>
  </si>
  <si>
    <t>1051</t>
  </si>
  <si>
    <t>La Babite</t>
  </si>
  <si>
    <t>1050</t>
  </si>
  <si>
    <t>POLO SPORT</t>
  </si>
  <si>
    <t>1049</t>
  </si>
  <si>
    <t>FProfessor</t>
  </si>
  <si>
    <t>1048</t>
  </si>
  <si>
    <t>SETIROM</t>
  </si>
  <si>
    <t>1047</t>
  </si>
  <si>
    <t>达衣岩</t>
  </si>
  <si>
    <t>1046</t>
  </si>
  <si>
    <t>思莱德</t>
  </si>
  <si>
    <t>1045</t>
  </si>
  <si>
    <t>金伯利</t>
  </si>
  <si>
    <t>1043</t>
  </si>
  <si>
    <t>潮宏基</t>
  </si>
  <si>
    <t>1042</t>
  </si>
  <si>
    <t>秋水伊人</t>
  </si>
  <si>
    <t>1041</t>
  </si>
  <si>
    <t>海澜之家</t>
  </si>
  <si>
    <t>1040</t>
  </si>
  <si>
    <t>VERO MODA</t>
  </si>
  <si>
    <t>1039</t>
  </si>
  <si>
    <t>杰克琼斯</t>
  </si>
  <si>
    <t>1038</t>
  </si>
  <si>
    <t>德莎</t>
  </si>
  <si>
    <t>1037</t>
  </si>
  <si>
    <t>Firstview</t>
  </si>
  <si>
    <t>1036</t>
  </si>
  <si>
    <t>唯弋</t>
  </si>
  <si>
    <t>1035</t>
  </si>
  <si>
    <t>哥弟</t>
  </si>
  <si>
    <t>1033</t>
  </si>
  <si>
    <t>阿玛施</t>
  </si>
  <si>
    <t>1032</t>
  </si>
  <si>
    <t>YOUNGOR</t>
  </si>
  <si>
    <t>1031</t>
  </si>
  <si>
    <t>周大福</t>
  </si>
  <si>
    <t>1030</t>
  </si>
  <si>
    <t>星巴克</t>
  </si>
  <si>
    <t>1029</t>
  </si>
  <si>
    <t>克徕帝</t>
  </si>
  <si>
    <t>1027</t>
  </si>
  <si>
    <t>莱绅通灵</t>
  </si>
  <si>
    <t>1026</t>
  </si>
  <si>
    <t>波司登</t>
  </si>
  <si>
    <t>1025</t>
  </si>
  <si>
    <t>1023</t>
  </si>
  <si>
    <t>LANO</t>
  </si>
  <si>
    <t>1022</t>
  </si>
  <si>
    <t>ONLY</t>
  </si>
  <si>
    <t>1020,1021</t>
  </si>
  <si>
    <t>满记甜品</t>
  </si>
  <si>
    <t>1019</t>
  </si>
  <si>
    <t>LOHO</t>
  </si>
  <si>
    <t>1018</t>
  </si>
  <si>
    <t>木与山</t>
  </si>
  <si>
    <t>1017</t>
  </si>
  <si>
    <t>卡帝乐鳄鱼</t>
  </si>
  <si>
    <t>1016</t>
  </si>
  <si>
    <t>拉夏贝尔</t>
  </si>
  <si>
    <t>1015</t>
  </si>
  <si>
    <t>Pote</t>
  </si>
  <si>
    <t>1013</t>
  </si>
  <si>
    <t>恩岚</t>
  </si>
  <si>
    <t>1012</t>
  </si>
  <si>
    <t>菁一</t>
  </si>
  <si>
    <t>1011</t>
  </si>
  <si>
    <t>汉堡王</t>
  </si>
  <si>
    <t>1009-2</t>
  </si>
  <si>
    <t>屈臣氏</t>
  </si>
  <si>
    <t>1009-1,1010</t>
  </si>
  <si>
    <t>布莱登</t>
  </si>
  <si>
    <t>1008-1</t>
  </si>
  <si>
    <t>钻石世家</t>
  </si>
  <si>
    <t>1007</t>
  </si>
  <si>
    <t>中国黄金</t>
  </si>
  <si>
    <t>1006</t>
  </si>
  <si>
    <t>HUAWEI</t>
  </si>
  <si>
    <t>1005</t>
  </si>
  <si>
    <t>小米</t>
  </si>
  <si>
    <t>1003</t>
  </si>
  <si>
    <t>SAMSUNG</t>
  </si>
  <si>
    <t>1002</t>
  </si>
  <si>
    <t>美特斯邦威</t>
  </si>
  <si>
    <t>1001,1056,1057</t>
  </si>
  <si>
    <t>租费递增率规定</t>
  </si>
  <si>
    <r>
      <rPr>
        <b/>
        <sz val="12"/>
        <color theme="0"/>
        <rFont val="微软雅黑"/>
        <family val="2"/>
        <charset val="134"/>
      </rPr>
      <t xml:space="preserve">合同结束日期
</t>
    </r>
    <r>
      <rPr>
        <b/>
        <sz val="10"/>
        <color theme="0"/>
        <rFont val="微软雅黑"/>
        <family val="2"/>
        <charset val="134"/>
      </rPr>
      <t>（YYYY-MM-DD）</t>
    </r>
  </si>
  <si>
    <r>
      <rPr>
        <b/>
        <sz val="12"/>
        <color theme="0"/>
        <rFont val="微软雅黑"/>
        <family val="2"/>
        <charset val="134"/>
      </rPr>
      <t xml:space="preserve">合同开始日期
</t>
    </r>
    <r>
      <rPr>
        <b/>
        <sz val="10"/>
        <color theme="0"/>
        <rFont val="微软雅黑"/>
        <family val="2"/>
        <charset val="134"/>
      </rPr>
      <t>（YYYY-MM-DD）</t>
    </r>
  </si>
  <si>
    <r>
      <rPr>
        <b/>
        <sz val="12"/>
        <color theme="0"/>
        <rFont val="微软雅黑"/>
        <family val="2"/>
        <charset val="134"/>
      </rPr>
      <t>月管理费标准</t>
    </r>
    <r>
      <rPr>
        <b/>
        <sz val="9"/>
        <color theme="0"/>
        <rFont val="微软雅黑"/>
        <family val="2"/>
        <charset val="134"/>
      </rPr>
      <t>（元）</t>
    </r>
  </si>
  <si>
    <r>
      <rPr>
        <b/>
        <sz val="12"/>
        <color theme="0"/>
        <rFont val="微软雅黑"/>
        <family val="2"/>
        <charset val="134"/>
      </rPr>
      <t xml:space="preserve">管理费标准
</t>
    </r>
    <r>
      <rPr>
        <b/>
        <sz val="9"/>
        <color theme="0"/>
        <rFont val="微软雅黑"/>
        <family val="2"/>
        <charset val="134"/>
      </rPr>
      <t>（单位：元/㎡/月）</t>
    </r>
  </si>
  <si>
    <r>
      <rPr>
        <b/>
        <sz val="12"/>
        <color theme="0"/>
        <rFont val="微软雅黑"/>
        <family val="2"/>
        <charset val="134"/>
      </rPr>
      <t>月租金标准</t>
    </r>
    <r>
      <rPr>
        <b/>
        <sz val="9"/>
        <color theme="0"/>
        <rFont val="微软雅黑"/>
        <family val="2"/>
        <charset val="134"/>
      </rPr>
      <t>（元）</t>
    </r>
  </si>
  <si>
    <r>
      <t xml:space="preserve">租金标准
</t>
    </r>
    <r>
      <rPr>
        <b/>
        <sz val="9"/>
        <color theme="0"/>
        <rFont val="微软雅黑"/>
        <family val="2"/>
        <charset val="134"/>
      </rPr>
      <t>（单位：元/㎡/月）</t>
    </r>
    <phoneticPr fontId="144" type="noConversion"/>
  </si>
  <si>
    <r>
      <t xml:space="preserve">租金标准
</t>
    </r>
    <r>
      <rPr>
        <b/>
        <sz val="9"/>
        <color theme="0"/>
        <rFont val="微软雅黑"/>
        <family val="2"/>
        <charset val="134"/>
      </rPr>
      <t>（单位：元/㎡/天）</t>
    </r>
    <phoneticPr fontId="144" type="noConversion"/>
  </si>
  <si>
    <r>
      <rPr>
        <b/>
        <sz val="12"/>
        <color theme="0"/>
        <rFont val="微软雅黑"/>
        <family val="2"/>
        <charset val="134"/>
      </rPr>
      <t xml:space="preserve">租赁面积
</t>
    </r>
    <r>
      <rPr>
        <b/>
        <sz val="9"/>
        <color theme="0"/>
        <rFont val="微软雅黑"/>
        <family val="2"/>
        <charset val="134"/>
      </rPr>
      <t>（单位：㎡）</t>
    </r>
  </si>
  <si>
    <t>若为抽成，请填写抽成比例</t>
  </si>
  <si>
    <t>租金收缴标准</t>
  </si>
  <si>
    <t>是否为抽成商户</t>
  </si>
  <si>
    <t>品牌</t>
  </si>
  <si>
    <t>经营业态</t>
  </si>
  <si>
    <t>铺位号</t>
  </si>
  <si>
    <t>楼层</t>
  </si>
  <si>
    <t>类别</t>
  </si>
  <si>
    <t>序号</t>
  </si>
  <si>
    <t>总租赁面积（㎡）：</t>
  </si>
  <si>
    <t>吾悦广场租赁商户明细</t>
  </si>
  <si>
    <t>地下</t>
    <phoneticPr fontId="144" type="noConversion"/>
  </si>
  <si>
    <t>地上</t>
    <phoneticPr fontId="144" type="noConversion"/>
  </si>
  <si>
    <t>利润总额</t>
    <phoneticPr fontId="144" type="noConversion"/>
  </si>
  <si>
    <t>折算建筑面积租金</t>
    <phoneticPr fontId="144" type="noConversion"/>
  </si>
  <si>
    <t>收入</t>
    <phoneticPr fontId="144" type="noConversion"/>
  </si>
  <si>
    <t>税金</t>
    <phoneticPr fontId="144" type="noConversion"/>
  </si>
  <si>
    <t>成本费用</t>
    <phoneticPr fontId="144" type="noConversion"/>
  </si>
  <si>
    <t>管理费</t>
    <phoneticPr fontId="144" type="noConversion"/>
  </si>
  <si>
    <t>年租金收入   单位:万元</t>
    <phoneticPr fontId="144" type="noConversion"/>
  </si>
  <si>
    <t>平均日租金</t>
    <phoneticPr fontId="144" type="noConversion"/>
  </si>
  <si>
    <t>5F</t>
  </si>
  <si>
    <t>建筑面积</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</si>
</sst>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10804]#,##0.00;\-#,##0.00"/>
    <numFmt numFmtId="198" formatCode="_ &quot;￥&quot;* #,##0_ ;_ &quot;￥&quot;* \-#,##0_ ;_ &quot;￥&quot;* &quot;-&quot;_ ;_ @_ "/>
    <numFmt numFmtId="199" formatCode="_ &quot;￥&quot;* #,##0.00_ ;_ &quot;￥&quot;* \-#,##0.00_ ;_ &quot;￥&quot;* &quot;-&quot;??_ ;_ @_ "/>
  </numFmts>
  <fonts count="28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2"/>
      <charset val="134"/>
    </font>
    <font>
      <sz val="11"/>
      <color rgb="FF000000"/>
      <name val="宋体"/>
      <family val="2"/>
      <charset val="134"/>
    </font>
    <font>
      <sz val="11"/>
      <name val="宋体"/>
      <family val="2"/>
      <charset val="134"/>
    </font>
    <font>
      <sz val="10"/>
      <name val="Times New Roman"/>
      <family val="1"/>
    </font>
    <font>
      <sz val="11"/>
      <color theme="0"/>
      <name val="宋体"/>
      <family val="2"/>
      <scheme val="minor"/>
    </font>
    <font>
      <b/>
      <sz val="15"/>
      <color theme="3"/>
      <name val="宋体"/>
      <family val="2"/>
      <scheme val="minor"/>
    </font>
    <font>
      <b/>
      <sz val="13"/>
      <color theme="3"/>
      <name val="宋体"/>
      <family val="2"/>
      <scheme val="minor"/>
    </font>
    <font>
      <b/>
      <sz val="11"/>
      <color theme="3"/>
      <name val="宋体"/>
      <family val="2"/>
      <scheme val="minor"/>
    </font>
    <font>
      <b/>
      <sz val="18"/>
      <color theme="3"/>
      <name val="宋体"/>
      <family val="2"/>
      <scheme val="minor"/>
    </font>
    <font>
      <sz val="11"/>
      <color rgb="FF9C0006"/>
      <name val="宋体"/>
      <family val="2"/>
      <scheme val="minor"/>
    </font>
    <font>
      <sz val="12"/>
      <name val="바탕체"/>
      <family val="3"/>
    </font>
    <font>
      <u/>
      <sz val="11"/>
      <color rgb="FF0000FF"/>
      <name val="宋体"/>
      <family val="2"/>
      <scheme val="minor"/>
    </font>
    <font>
      <sz val="11"/>
      <color rgb="FF006100"/>
      <name val="宋体"/>
      <family val="2"/>
      <scheme val="minor"/>
    </font>
    <font>
      <b/>
      <sz val="11"/>
      <color theme="1"/>
      <name val="宋体"/>
      <family val="2"/>
      <scheme val="minor"/>
    </font>
    <font>
      <b/>
      <sz val="11"/>
      <color rgb="FFFA7D00"/>
      <name val="宋体"/>
      <family val="2"/>
      <scheme val="minor"/>
    </font>
    <font>
      <b/>
      <sz val="11"/>
      <color rgb="FFFFFFFF"/>
      <name val="宋体"/>
      <family val="2"/>
      <scheme val="minor"/>
    </font>
    <font>
      <i/>
      <sz val="11"/>
      <color rgb="FF7F7F7F"/>
      <name val="宋体"/>
      <family val="3"/>
      <charset val="134"/>
      <scheme val="minor"/>
    </font>
    <font>
      <i/>
      <sz val="11"/>
      <color rgb="FF7F7F7F"/>
      <name val="宋体"/>
      <family val="2"/>
      <scheme val="minor"/>
    </font>
    <font>
      <sz val="11"/>
      <color rgb="FFFF0000"/>
      <name val="宋体"/>
      <family val="2"/>
      <scheme val="minor"/>
    </font>
    <font>
      <sz val="11"/>
      <color rgb="FFFA7D00"/>
      <name val="宋体"/>
      <family val="2"/>
      <scheme val="minor"/>
    </font>
    <font>
      <sz val="11"/>
      <color rgb="FF9C6500"/>
      <name val="宋体"/>
      <family val="2"/>
      <scheme val="minor"/>
    </font>
    <font>
      <b/>
      <sz val="11"/>
      <color rgb="FF3F3F3F"/>
      <name val="宋体"/>
      <family val="2"/>
      <scheme val="minor"/>
    </font>
    <font>
      <sz val="11"/>
      <color rgb="FF3F3F76"/>
      <name val="宋体"/>
      <family val="2"/>
      <scheme val="minor"/>
    </font>
    <font>
      <u/>
      <sz val="11"/>
      <color rgb="FF800080"/>
      <name val="宋体"/>
      <family val="2"/>
      <scheme val="minor"/>
    </font>
    <font>
      <sz val="12"/>
      <color theme="1"/>
      <name val="微软雅黑"/>
      <family val="2"/>
      <charset val="134"/>
    </font>
    <font>
      <sz val="9"/>
      <color theme="1"/>
      <name val="微软雅黑"/>
      <family val="2"/>
      <charset val="134"/>
    </font>
    <font>
      <sz val="12"/>
      <color indexed="8"/>
      <name val="微软雅黑"/>
      <family val="2"/>
      <charset val="134"/>
    </font>
    <font>
      <sz val="12"/>
      <name val="微软雅黑"/>
      <family val="2"/>
      <charset val="134"/>
    </font>
    <font>
      <b/>
      <sz val="12"/>
      <color theme="0"/>
      <name val="微软雅黑"/>
      <family val="2"/>
      <charset val="134"/>
    </font>
    <font>
      <b/>
      <sz val="9"/>
      <color theme="0"/>
      <name val="微软雅黑"/>
      <family val="2"/>
      <charset val="134"/>
    </font>
    <font>
      <b/>
      <sz val="10"/>
      <color theme="0"/>
      <name val="微软雅黑"/>
      <family val="2"/>
      <charset val="134"/>
    </font>
    <font>
      <b/>
      <sz val="18"/>
      <color theme="1"/>
      <name val="微软雅黑"/>
      <family val="2"/>
      <charset val="134"/>
    </font>
    <font>
      <b/>
      <i/>
      <sz val="12"/>
      <color theme="1"/>
      <name val="微软雅黑"/>
      <family val="2"/>
      <charset val="134"/>
    </font>
    <font>
      <b/>
      <sz val="20"/>
      <color theme="1"/>
      <name val="微软雅黑"/>
      <family val="2"/>
      <charset val="134"/>
    </font>
  </fonts>
  <fills count="5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EB9C"/>
        <bgColor indexed="64"/>
      </patternFill>
    </fill>
    <fill>
      <patternFill patternType="solid">
        <fgColor rgb="FFFFCC99"/>
        <bgColor indexed="64"/>
      </patternFill>
    </fill>
    <fill>
      <patternFill patternType="solid">
        <fgColor rgb="FFFFFFCC"/>
        <bgColor indexed="64"/>
      </patternFill>
    </fill>
    <fill>
      <patternFill patternType="solid">
        <fgColor theme="4" tint="0.79998168889431442"/>
        <bgColor indexed="64"/>
      </patternFill>
    </fill>
    <fill>
      <patternFill patternType="solid">
        <fgColor theme="9" tint="0.79998168889431442"/>
        <bgColor indexed="64"/>
      </patternFill>
    </fill>
    <fill>
      <gradientFill degree="90">
        <stop position="0">
          <color rgb="FFFF0000"/>
        </stop>
        <stop position="1">
          <color rgb="FFE8489C"/>
        </stop>
      </gradientFill>
    </fill>
    <fill>
      <gradientFill degree="90">
        <stop position="0">
          <color theme="4" tint="-0.25098422193060094"/>
        </stop>
        <stop position="1">
          <color theme="4"/>
        </stop>
      </gradientFill>
    </fill>
    <fill>
      <patternFill patternType="solid">
        <fgColor theme="9" tint="0.3999450666829432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right/>
      <top/>
      <bottom style="medium">
        <color theme="4" tint="0.49995422223578601"/>
      </bottom>
      <diagonal/>
    </border>
    <border>
      <left style="hair">
        <color theme="8" tint="-0.24994659260841701"/>
      </left>
      <right style="thin">
        <color theme="8" tint="-0.24994659260841701"/>
      </right>
      <top style="hair">
        <color theme="8" tint="-0.24994659260841701"/>
      </top>
      <bottom style="thin">
        <color theme="8" tint="-0.24994659260841701"/>
      </bottom>
      <diagonal/>
    </border>
    <border>
      <left style="hair">
        <color theme="8" tint="-0.24994659260841701"/>
      </left>
      <right style="hair">
        <color theme="8" tint="-0.24994659260841701"/>
      </right>
      <top style="hair">
        <color theme="8" tint="-0.24994659260841701"/>
      </top>
      <bottom style="thin">
        <color theme="8" tint="-0.24994659260841701"/>
      </bottom>
      <diagonal/>
    </border>
    <border>
      <left style="hair">
        <color theme="8" tint="-0.24994659260841701"/>
      </left>
      <right style="hair">
        <color theme="8" tint="-0.24994659260841701"/>
      </right>
      <top style="hair">
        <color theme="8" tint="-0.24994659260841701"/>
      </top>
      <bottom style="hair">
        <color theme="8" tint="-0.24994659260841701"/>
      </bottom>
      <diagonal/>
    </border>
    <border>
      <left style="hair">
        <color theme="8" tint="-0.24994659260841701"/>
      </left>
      <right style="hair">
        <color theme="8" tint="-0.24994659260841701"/>
      </right>
      <top style="hair">
        <color theme="8" tint="-0.24994659260841701"/>
      </top>
      <bottom/>
      <diagonal/>
    </border>
    <border>
      <left style="thin">
        <color theme="8" tint="-0.24994659260841701"/>
      </left>
      <right style="hair">
        <color theme="8" tint="-0.24994659260841701"/>
      </right>
      <top style="hair">
        <color theme="8" tint="-0.24994659260841701"/>
      </top>
      <bottom style="thin">
        <color theme="8" tint="-0.24994659260841701"/>
      </bottom>
      <diagonal/>
    </border>
    <border>
      <left style="hair">
        <color theme="8" tint="-0.24994659260841701"/>
      </left>
      <right style="thin">
        <color theme="8" tint="-0.24994659260841701"/>
      </right>
      <top style="hair">
        <color theme="8" tint="-0.24994659260841701"/>
      </top>
      <bottom style="hair">
        <color theme="8" tint="-0.24994659260841701"/>
      </bottom>
      <diagonal/>
    </border>
    <border>
      <left style="thin">
        <color theme="8" tint="-0.24994659260841701"/>
      </left>
      <right style="hair">
        <color theme="8" tint="-0.24994659260841701"/>
      </right>
      <top style="hair">
        <color theme="8" tint="-0.24994659260841701"/>
      </top>
      <bottom style="hair">
        <color theme="8" tint="-0.24994659260841701"/>
      </bottom>
      <diagonal/>
    </border>
    <border>
      <left style="hair">
        <color theme="8" tint="-0.24994659260841701"/>
      </left>
      <right style="hair">
        <color theme="8" tint="-0.24994659260841701"/>
      </right>
      <top/>
      <bottom style="hair">
        <color theme="8" tint="-0.24994659260841701"/>
      </bottom>
      <diagonal/>
    </border>
    <border>
      <left style="hair">
        <color theme="8" tint="-0.24994659260841701"/>
      </left>
      <right style="thin">
        <color theme="8" tint="-0.24994659260841701"/>
      </right>
      <top style="thin">
        <color theme="8" tint="-0.24994659260841701"/>
      </top>
      <bottom style="hair">
        <color theme="8" tint="-0.24994659260841701"/>
      </bottom>
      <diagonal/>
    </border>
    <border>
      <left style="hair">
        <color theme="8" tint="-0.24994659260841701"/>
      </left>
      <right style="hair">
        <color theme="8" tint="-0.24994659260841701"/>
      </right>
      <top style="thin">
        <color theme="8" tint="-0.24994659260841701"/>
      </top>
      <bottom style="hair">
        <color theme="8" tint="-0.24994659260841701"/>
      </bottom>
      <diagonal/>
    </border>
    <border>
      <left style="hair">
        <color theme="8" tint="-0.24994659260841701"/>
      </left>
      <right style="hair">
        <color theme="8" tint="-0.24994659260841701"/>
      </right>
      <top style="thin">
        <color theme="8" tint="-0.24994659260841701"/>
      </top>
      <bottom/>
      <diagonal/>
    </border>
    <border>
      <left style="thin">
        <color theme="8" tint="-0.24994659260841701"/>
      </left>
      <right style="hair">
        <color theme="8" tint="-0.24994659260841701"/>
      </right>
      <top style="thin">
        <color theme="8" tint="-0.24994659260841701"/>
      </top>
      <bottom style="hair">
        <color theme="8" tint="-0.24994659260841701"/>
      </bottom>
      <diagonal/>
    </border>
    <border>
      <left/>
      <right/>
      <top style="medium">
        <color auto="1"/>
      </top>
      <bottom style="thin">
        <color theme="8" tint="-0.24994659260841701"/>
      </bottom>
      <diagonal/>
    </border>
  </borders>
  <cellStyleXfs count="2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197" fontId="38" fillId="0" borderId="0"/>
    <xf numFmtId="197" fontId="258" fillId="0" borderId="0"/>
    <xf numFmtId="0" fontId="171" fillId="18" borderId="0" applyNumberFormat="0" applyBorder="0" applyProtection="0"/>
    <xf numFmtId="0" fontId="171" fillId="19" borderId="0" applyNumberFormat="0" applyBorder="0" applyProtection="0"/>
    <xf numFmtId="0" fontId="171" fillId="20" borderId="0" applyNumberFormat="0" applyBorder="0" applyProtection="0"/>
    <xf numFmtId="0" fontId="171" fillId="21" borderId="0" applyNumberFormat="0" applyBorder="0" applyProtection="0"/>
    <xf numFmtId="0" fontId="171" fillId="22" borderId="0" applyNumberFormat="0" applyBorder="0" applyProtection="0"/>
    <xf numFmtId="0" fontId="171" fillId="23" borderId="0" applyNumberFormat="0" applyBorder="0" applyProtection="0"/>
    <xf numFmtId="0" fontId="171" fillId="24" borderId="0" applyNumberFormat="0" applyBorder="0" applyProtection="0"/>
    <xf numFmtId="0" fontId="171" fillId="25" borderId="0" applyNumberFormat="0" applyBorder="0" applyProtection="0"/>
    <xf numFmtId="0" fontId="171" fillId="26" borderId="0" applyNumberFormat="0" applyBorder="0" applyProtection="0"/>
    <xf numFmtId="0" fontId="171" fillId="27" borderId="0" applyNumberFormat="0" applyBorder="0" applyProtection="0"/>
    <xf numFmtId="0" fontId="171" fillId="28" borderId="0" applyNumberFormat="0" applyBorder="0" applyProtection="0"/>
    <xf numFmtId="0" fontId="171" fillId="29" borderId="0" applyNumberFormat="0" applyBorder="0" applyProtection="0"/>
    <xf numFmtId="0" fontId="259" fillId="30" borderId="0" applyNumberFormat="0" applyBorder="0" applyProtection="0"/>
    <xf numFmtId="0" fontId="259" fillId="31" borderId="0" applyNumberFormat="0" applyBorder="0" applyProtection="0"/>
    <xf numFmtId="0" fontId="259" fillId="16" borderId="0" applyNumberFormat="0" applyBorder="0" applyProtection="0"/>
    <xf numFmtId="0" fontId="259" fillId="32" borderId="0" applyNumberFormat="0" applyBorder="0" applyProtection="0"/>
    <xf numFmtId="0" fontId="259" fillId="11" borderId="0" applyNumberFormat="0" applyBorder="0" applyProtection="0"/>
    <xf numFmtId="0" fontId="259" fillId="33" borderId="0" applyNumberFormat="0" applyBorder="0" applyProtection="0"/>
    <xf numFmtId="43" fontId="57" fillId="0" borderId="0" applyFont="0" applyFill="0" applyBorder="0" applyAlignment="0" applyProtection="0"/>
    <xf numFmtId="41" fontId="57" fillId="0" borderId="0" applyFont="0" applyFill="0" applyBorder="0" applyAlignment="0" applyProtection="0"/>
    <xf numFmtId="44" fontId="57" fillId="0" borderId="0" applyFont="0" applyFill="0" applyBorder="0" applyAlignment="0" applyProtection="0"/>
    <xf numFmtId="42" fontId="57" fillId="0" borderId="0" applyFont="0" applyFill="0" applyBorder="0" applyAlignment="0" applyProtection="0"/>
    <xf numFmtId="198" fontId="57" fillId="0" borderId="0" applyFont="0" applyFill="0" applyBorder="0" applyAlignment="0" applyProtection="0"/>
    <xf numFmtId="199" fontId="57" fillId="0" borderId="0" applyFont="0" applyFill="0" applyBorder="0" applyAlignment="0" applyProtection="0"/>
    <xf numFmtId="197" fontId="100" fillId="0" borderId="0">
      <alignment vertical="center"/>
    </xf>
    <xf numFmtId="197" fontId="171" fillId="0" borderId="0"/>
    <xf numFmtId="197" fontId="1" fillId="0" borderId="0"/>
    <xf numFmtId="197" fontId="1" fillId="0" borderId="0"/>
    <xf numFmtId="197" fontId="1" fillId="0" borderId="0"/>
    <xf numFmtId="197" fontId="100" fillId="0" borderId="0">
      <alignment vertical="center"/>
    </xf>
    <xf numFmtId="197" fontId="1" fillId="0" borderId="0"/>
    <xf numFmtId="197" fontId="100" fillId="0" borderId="0"/>
    <xf numFmtId="0" fontId="171" fillId="0" borderId="0"/>
    <xf numFmtId="9" fontId="57" fillId="0" borderId="0" applyFont="0" applyFill="0" applyBorder="0" applyAlignment="0" applyProtection="0"/>
    <xf numFmtId="9" fontId="100"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100" fillId="0" borderId="0" applyFont="0" applyFill="0" applyBorder="0" applyAlignment="0" applyProtection="0">
      <alignment vertical="center"/>
    </xf>
    <xf numFmtId="9" fontId="100" fillId="0" borderId="0" applyFont="0" applyFill="0" applyBorder="0" applyAlignment="0" applyProtection="0">
      <alignment vertical="center"/>
    </xf>
    <xf numFmtId="9" fontId="100" fillId="0" borderId="0" applyFont="0" applyFill="0" applyBorder="0" applyAlignment="0" applyProtection="0">
      <alignment vertical="center"/>
    </xf>
    <xf numFmtId="9" fontId="100" fillId="0" borderId="0" applyFont="0" applyFill="0" applyBorder="0" applyAlignment="0" applyProtection="0">
      <alignment vertical="center"/>
    </xf>
    <xf numFmtId="9" fontId="100" fillId="0" borderId="0" applyFont="0" applyFill="0" applyBorder="0" applyAlignment="0" applyProtection="0">
      <alignment vertical="center"/>
    </xf>
    <xf numFmtId="9" fontId="100" fillId="0" borderId="0" applyFont="0" applyFill="0" applyBorder="0" applyAlignment="0" applyProtection="0">
      <alignment vertical="center"/>
    </xf>
    <xf numFmtId="9" fontId="100" fillId="0" borderId="0" applyFont="0" applyFill="0" applyBorder="0" applyAlignment="0" applyProtection="0">
      <alignment vertical="center"/>
    </xf>
    <xf numFmtId="9" fontId="100" fillId="0" borderId="0" applyFont="0" applyFill="0" applyBorder="0" applyAlignment="0" applyProtection="0">
      <alignment vertical="center"/>
    </xf>
    <xf numFmtId="9" fontId="171" fillId="0" borderId="0" applyFont="0" applyFill="0" applyBorder="0" applyAlignment="0" applyProtection="0">
      <alignment vertical="center"/>
    </xf>
    <xf numFmtId="9" fontId="38" fillId="0" borderId="0" applyFont="0" applyFill="0" applyBorder="0" applyAlignment="0" applyProtection="0">
      <alignment vertical="center"/>
    </xf>
    <xf numFmtId="9" fontId="171" fillId="0" borderId="0" applyFont="0" applyFill="0" applyBorder="0" applyProtection="0"/>
    <xf numFmtId="9" fontId="157" fillId="0" borderId="0" applyFont="0" applyFill="0" applyBorder="0" applyAlignment="0" applyProtection="0"/>
    <xf numFmtId="0" fontId="260" fillId="0" borderId="162" applyNumberFormat="0" applyFill="0" applyProtection="0"/>
    <xf numFmtId="0" fontId="261" fillId="0" borderId="162" applyNumberFormat="0" applyFill="0" applyProtection="0"/>
    <xf numFmtId="0" fontId="262" fillId="0" borderId="163" applyNumberFormat="0" applyFill="0" applyProtection="0"/>
    <xf numFmtId="0" fontId="262" fillId="0" borderId="0" applyNumberFormat="0" applyFill="0" applyBorder="0" applyProtection="0"/>
    <xf numFmtId="0" fontId="263" fillId="0" borderId="0" applyNumberFormat="0" applyFill="0" applyBorder="0" applyProtection="0"/>
    <xf numFmtId="0" fontId="264" fillId="34" borderId="0" applyNumberFormat="0" applyBorder="0" applyProtection="0"/>
    <xf numFmtId="197" fontId="100" fillId="0" borderId="0">
      <alignment vertical="center"/>
    </xf>
    <xf numFmtId="197" fontId="100" fillId="0" borderId="0">
      <alignment vertical="center"/>
    </xf>
    <xf numFmtId="197" fontId="100" fillId="0" borderId="0">
      <alignment vertical="center"/>
    </xf>
    <xf numFmtId="197" fontId="100" fillId="0" borderId="0">
      <alignment vertical="center"/>
    </xf>
    <xf numFmtId="197" fontId="100" fillId="0" borderId="0">
      <alignment vertical="center"/>
    </xf>
    <xf numFmtId="197" fontId="100" fillId="0" borderId="0">
      <alignment vertical="center"/>
    </xf>
    <xf numFmtId="197" fontId="100" fillId="0" borderId="0">
      <alignment vertical="center"/>
    </xf>
    <xf numFmtId="197" fontId="100" fillId="0" borderId="0">
      <alignment vertical="center"/>
    </xf>
    <xf numFmtId="197" fontId="100" fillId="0" borderId="0">
      <alignment vertical="center"/>
    </xf>
    <xf numFmtId="197" fontId="1" fillId="0" borderId="0">
      <alignment vertical="center"/>
    </xf>
    <xf numFmtId="197" fontId="1" fillId="0" borderId="0">
      <alignment vertical="center"/>
    </xf>
    <xf numFmtId="197" fontId="1" fillId="0" borderId="0">
      <alignment vertical="center"/>
    </xf>
    <xf numFmtId="197" fontId="1" fillId="0" borderId="0">
      <alignment vertical="center"/>
    </xf>
    <xf numFmtId="197" fontId="1" fillId="0" borderId="0">
      <alignment vertical="center"/>
    </xf>
    <xf numFmtId="197" fontId="1" fillId="0" borderId="0">
      <alignment vertical="center"/>
    </xf>
    <xf numFmtId="197" fontId="1" fillId="0" borderId="0">
      <alignment vertical="center"/>
    </xf>
    <xf numFmtId="197" fontId="1" fillId="0" borderId="0">
      <alignment vertical="center"/>
    </xf>
    <xf numFmtId="197" fontId="1" fillId="0" borderId="0">
      <alignment vertical="center"/>
    </xf>
    <xf numFmtId="197" fontId="38" fillId="0" borderId="0"/>
    <xf numFmtId="197" fontId="38" fillId="0" borderId="0"/>
    <xf numFmtId="197" fontId="57" fillId="0" borderId="0"/>
    <xf numFmtId="197" fontId="57" fillId="0" borderId="0"/>
    <xf numFmtId="197" fontId="57" fillId="0" borderId="0"/>
    <xf numFmtId="197" fontId="57" fillId="0" borderId="0"/>
    <xf numFmtId="197" fontId="57" fillId="0" borderId="0"/>
    <xf numFmtId="197" fontId="57" fillId="0" borderId="0"/>
    <xf numFmtId="197" fontId="57" fillId="0" borderId="0"/>
    <xf numFmtId="197" fontId="57" fillId="0" borderId="0"/>
    <xf numFmtId="197" fontId="138" fillId="0" borderId="0">
      <alignment vertical="center"/>
    </xf>
    <xf numFmtId="197" fontId="38" fillId="0" borderId="0"/>
    <xf numFmtId="197" fontId="38" fillId="0" borderId="0"/>
    <xf numFmtId="197" fontId="38" fillId="0" borderId="0"/>
    <xf numFmtId="197" fontId="38" fillId="0" borderId="0"/>
    <xf numFmtId="197" fontId="38" fillId="0" borderId="0"/>
    <xf numFmtId="197" fontId="38" fillId="0" borderId="0"/>
    <xf numFmtId="197" fontId="265" fillId="0" borderId="0"/>
    <xf numFmtId="197" fontId="38" fillId="0" borderId="0" applyProtection="0">
      <alignment vertical="center"/>
    </xf>
    <xf numFmtId="197" fontId="171" fillId="0" borderId="0"/>
    <xf numFmtId="197" fontId="1" fillId="0" borderId="0">
      <alignment vertical="center"/>
    </xf>
    <xf numFmtId="197" fontId="1" fillId="0" borderId="0">
      <alignment vertical="center"/>
    </xf>
    <xf numFmtId="197" fontId="1" fillId="0" borderId="0">
      <alignment vertical="center"/>
    </xf>
    <xf numFmtId="197" fontId="100" fillId="0" borderId="0">
      <alignment vertical="center"/>
    </xf>
    <xf numFmtId="197" fontId="100" fillId="0" borderId="0">
      <alignment vertical="center"/>
    </xf>
    <xf numFmtId="197" fontId="100" fillId="0" borderId="0">
      <alignment vertical="center"/>
    </xf>
    <xf numFmtId="197" fontId="100" fillId="0" borderId="0">
      <alignment vertical="center"/>
    </xf>
    <xf numFmtId="197" fontId="100" fillId="0" borderId="0">
      <alignment vertical="center"/>
    </xf>
    <xf numFmtId="197" fontId="100" fillId="0" borderId="0">
      <alignment vertical="center"/>
    </xf>
    <xf numFmtId="197" fontId="100" fillId="0" borderId="0">
      <alignment vertical="center"/>
    </xf>
    <xf numFmtId="197" fontId="100" fillId="0" borderId="0">
      <alignment vertical="center"/>
    </xf>
    <xf numFmtId="197" fontId="100" fillId="0" borderId="0">
      <alignment vertical="center"/>
    </xf>
    <xf numFmtId="197" fontId="100" fillId="0" borderId="0">
      <alignment vertical="center"/>
    </xf>
    <xf numFmtId="197" fontId="100" fillId="0" borderId="0">
      <alignment vertical="center"/>
    </xf>
    <xf numFmtId="197" fontId="38" fillId="0" borderId="0">
      <alignment vertical="center"/>
    </xf>
    <xf numFmtId="197" fontId="1" fillId="0" borderId="0">
      <alignment vertical="center"/>
    </xf>
    <xf numFmtId="197" fontId="38" fillId="0" borderId="0">
      <alignment vertical="center"/>
    </xf>
    <xf numFmtId="197" fontId="1" fillId="0" borderId="0">
      <alignment vertical="center"/>
    </xf>
    <xf numFmtId="197" fontId="1" fillId="0" borderId="0">
      <alignment vertical="center"/>
    </xf>
    <xf numFmtId="197" fontId="100" fillId="0" borderId="0">
      <alignment vertical="center"/>
    </xf>
    <xf numFmtId="197" fontId="1" fillId="0" borderId="0">
      <alignment vertical="center"/>
    </xf>
    <xf numFmtId="197" fontId="1" fillId="0" borderId="0">
      <alignment vertical="center"/>
    </xf>
    <xf numFmtId="197" fontId="100" fillId="0" borderId="0">
      <alignment vertical="center"/>
    </xf>
    <xf numFmtId="197" fontId="100" fillId="0" borderId="0">
      <alignment vertical="center"/>
    </xf>
    <xf numFmtId="0" fontId="171" fillId="0" borderId="0"/>
    <xf numFmtId="197" fontId="171" fillId="0" borderId="0"/>
    <xf numFmtId="197" fontId="171" fillId="0" borderId="0"/>
    <xf numFmtId="197" fontId="171" fillId="0" borderId="0"/>
    <xf numFmtId="197" fontId="171" fillId="0" borderId="0"/>
    <xf numFmtId="197" fontId="171" fillId="0" borderId="0"/>
    <xf numFmtId="197" fontId="171" fillId="0" borderId="0"/>
    <xf numFmtId="197" fontId="171" fillId="0" borderId="0"/>
    <xf numFmtId="197" fontId="38" fillId="0" borderId="0">
      <alignment vertical="center"/>
    </xf>
    <xf numFmtId="197" fontId="38" fillId="0" borderId="0">
      <alignment vertical="center"/>
    </xf>
    <xf numFmtId="197" fontId="38" fillId="0" borderId="0">
      <alignment vertical="center"/>
    </xf>
    <xf numFmtId="197" fontId="38" fillId="0" borderId="0">
      <alignment vertical="center"/>
    </xf>
    <xf numFmtId="197" fontId="1" fillId="0" borderId="0">
      <alignment vertical="center"/>
    </xf>
    <xf numFmtId="197" fontId="1" fillId="0" borderId="0">
      <alignment vertical="center"/>
    </xf>
    <xf numFmtId="197" fontId="1" fillId="0" borderId="0">
      <alignment vertical="center"/>
    </xf>
    <xf numFmtId="197" fontId="1" fillId="0" borderId="0">
      <alignment vertical="center"/>
    </xf>
    <xf numFmtId="197" fontId="1" fillId="0" borderId="0">
      <alignment vertical="center"/>
    </xf>
    <xf numFmtId="197" fontId="1" fillId="0" borderId="0">
      <alignment vertical="center"/>
    </xf>
    <xf numFmtId="197" fontId="1" fillId="0" borderId="0">
      <alignment vertical="center"/>
    </xf>
    <xf numFmtId="197" fontId="1" fillId="0" borderId="0">
      <alignment vertical="center"/>
    </xf>
    <xf numFmtId="197" fontId="1" fillId="0" borderId="0">
      <alignment vertical="center"/>
    </xf>
    <xf numFmtId="197" fontId="1" fillId="0" borderId="0">
      <alignment vertical="center"/>
    </xf>
    <xf numFmtId="197" fontId="1" fillId="0" borderId="0">
      <alignment vertical="center"/>
    </xf>
    <xf numFmtId="197" fontId="1" fillId="0" borderId="0">
      <alignment vertical="center"/>
    </xf>
    <xf numFmtId="197" fontId="38" fillId="0" borderId="0">
      <alignment vertical="center"/>
    </xf>
    <xf numFmtId="197" fontId="171" fillId="0" borderId="0"/>
    <xf numFmtId="197" fontId="100" fillId="0" borderId="0">
      <alignment vertical="center"/>
    </xf>
    <xf numFmtId="197" fontId="38" fillId="0" borderId="0">
      <alignment vertical="center"/>
    </xf>
    <xf numFmtId="197" fontId="38" fillId="0" borderId="0">
      <alignment vertical="center"/>
    </xf>
    <xf numFmtId="197" fontId="38" fillId="0" borderId="0">
      <alignment vertical="center"/>
    </xf>
    <xf numFmtId="197" fontId="38" fillId="0" borderId="0">
      <alignment vertical="center"/>
    </xf>
    <xf numFmtId="197" fontId="38" fillId="0" borderId="0" applyNumberFormat="0" applyFill="0" applyBorder="0" applyAlignment="0">
      <protection locked="0"/>
    </xf>
    <xf numFmtId="197" fontId="100" fillId="0" borderId="0">
      <alignment vertical="center"/>
    </xf>
    <xf numFmtId="197" fontId="38" fillId="0" borderId="0">
      <alignment vertical="center"/>
    </xf>
    <xf numFmtId="197" fontId="38" fillId="0" borderId="0">
      <alignment vertical="center"/>
    </xf>
    <xf numFmtId="197" fontId="1" fillId="0" borderId="0"/>
    <xf numFmtId="197" fontId="100" fillId="0" borderId="0">
      <alignment vertical="center"/>
    </xf>
    <xf numFmtId="197" fontId="100" fillId="0" borderId="0">
      <alignment vertical="center"/>
    </xf>
    <xf numFmtId="197" fontId="100" fillId="0" borderId="0">
      <alignment vertical="center"/>
    </xf>
    <xf numFmtId="0" fontId="266" fillId="0" borderId="0" applyNumberFormat="0" applyFill="0" applyBorder="0" applyProtection="0"/>
    <xf numFmtId="0" fontId="267" fillId="35" borderId="0" applyNumberFormat="0" applyBorder="0" applyProtection="0"/>
    <xf numFmtId="0" fontId="268" fillId="0" borderId="161" applyNumberFormat="0" applyFill="0" applyProtection="0"/>
    <xf numFmtId="199" fontId="171" fillId="0" borderId="0" applyFont="0" applyFill="0" applyBorder="0" applyProtection="0"/>
    <xf numFmtId="198" fontId="171" fillId="0" borderId="0" applyFont="0" applyFill="0" applyBorder="0" applyProtection="0"/>
    <xf numFmtId="0" fontId="269" fillId="36" borderId="156" applyNumberFormat="0" applyProtection="0"/>
    <xf numFmtId="0" fontId="270" fillId="37" borderId="159" applyNumberFormat="0" applyProtection="0"/>
    <xf numFmtId="197" fontId="271" fillId="0" borderId="0" applyNumberFormat="0" applyFill="0" applyBorder="0" applyAlignment="0" applyProtection="0">
      <alignment vertical="center"/>
    </xf>
    <xf numFmtId="0" fontId="272" fillId="0" borderId="0" applyNumberFormat="0" applyFill="0" applyBorder="0" applyProtection="0"/>
    <xf numFmtId="0" fontId="273" fillId="0" borderId="0" applyNumberFormat="0" applyFill="0" applyBorder="0" applyProtection="0"/>
    <xf numFmtId="0" fontId="274" fillId="0" borderId="158" applyNumberFormat="0" applyFill="0" applyProtection="0"/>
    <xf numFmtId="43" fontId="17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171" fillId="0" borderId="0" applyFont="0" applyFill="0" applyBorder="0" applyAlignment="0" applyProtection="0">
      <alignment vertical="center"/>
    </xf>
    <xf numFmtId="43" fontId="38" fillId="0" borderId="0" applyFont="0" applyFill="0" applyBorder="0" applyAlignment="0" applyProtection="0">
      <alignment vertical="center"/>
    </xf>
    <xf numFmtId="43" fontId="38" fillId="0" borderId="0" applyFont="0" applyFill="0" applyBorder="0" applyAlignment="0" applyProtection="0">
      <alignment vertical="center"/>
    </xf>
    <xf numFmtId="43" fontId="171" fillId="0" borderId="0" applyFont="0" applyFill="0" applyBorder="0" applyProtection="0"/>
    <xf numFmtId="41" fontId="171" fillId="0" borderId="0" applyFont="0" applyFill="0" applyBorder="0" applyProtection="0"/>
    <xf numFmtId="0" fontId="259" fillId="38" borderId="0" applyNumberFormat="0" applyBorder="0" applyProtection="0"/>
    <xf numFmtId="0" fontId="259" fillId="39" borderId="0" applyNumberFormat="0" applyBorder="0" applyProtection="0"/>
    <xf numFmtId="0" fontId="259" fillId="40" borderId="0" applyNumberFormat="0" applyBorder="0" applyProtection="0"/>
    <xf numFmtId="0" fontId="259" fillId="41" borderId="0" applyNumberFormat="0" applyBorder="0" applyProtection="0"/>
    <xf numFmtId="0" fontId="259" fillId="42" borderId="0" applyNumberFormat="0" applyBorder="0" applyProtection="0"/>
    <xf numFmtId="0" fontId="259" fillId="43" borderId="0" applyNumberFormat="0" applyBorder="0" applyProtection="0"/>
    <xf numFmtId="0" fontId="275" fillId="44" borderId="0" applyNumberFormat="0" applyBorder="0" applyProtection="0"/>
    <xf numFmtId="0" fontId="276" fillId="36" borderId="157" applyNumberFormat="0" applyProtection="0"/>
    <xf numFmtId="0" fontId="277" fillId="45" borderId="156" applyNumberFormat="0" applyProtection="0"/>
    <xf numFmtId="0" fontId="278" fillId="0" borderId="0" applyNumberFormat="0" applyFill="0" applyBorder="0" applyProtection="0"/>
    <xf numFmtId="0" fontId="171" fillId="46" borderId="160" applyNumberFormat="0" applyFont="0" applyProtection="0"/>
    <xf numFmtId="0" fontId="38" fillId="0" borderId="0">
      <alignment vertical="center"/>
    </xf>
  </cellStyleXfs>
  <cellXfs count="338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255" fillId="0" borderId="1" xfId="0" applyFont="1" applyBorder="1" applyAlignment="1" applyProtection="1">
      <alignment vertical="center" wrapText="1"/>
      <protection locked="0"/>
    </xf>
    <xf numFmtId="177" fontId="255" fillId="0" borderId="1" xfId="1" applyNumberFormat="1" applyFont="1" applyFill="1" applyBorder="1" applyAlignment="1" applyProtection="1">
      <alignment vertical="center"/>
      <protection locked="0" hidden="1"/>
    </xf>
    <xf numFmtId="0" fontId="256" fillId="0" borderId="44"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0" fillId="0" borderId="0" xfId="0" applyAlignment="1">
      <alignment horizontal="left"/>
    </xf>
    <xf numFmtId="0" fontId="0" fillId="17" borderId="0" xfId="0" applyFill="1" applyAlignment="1">
      <alignment horizontal="left"/>
    </xf>
    <xf numFmtId="0" fontId="0" fillId="7" borderId="0" xfId="0" applyFill="1" applyAlignment="1">
      <alignment horizontal="left"/>
    </xf>
    <xf numFmtId="49" fontId="99" fillId="0" borderId="1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00" fillId="0" borderId="0" xfId="2"/>
    <xf numFmtId="0" fontId="100" fillId="0" borderId="0" xfId="2" applyNumberFormat="1"/>
    <xf numFmtId="0" fontId="100" fillId="0" borderId="0" xfId="2" applyAlignment="1">
      <alignment horizontal="left"/>
    </xf>
    <xf numFmtId="0" fontId="100" fillId="0" borderId="0" xfId="2" applyAlignment="1">
      <alignment horizontal="left" indent="1"/>
    </xf>
    <xf numFmtId="0" fontId="100" fillId="0" borderId="0" xfId="2" pivotButton="1"/>
    <xf numFmtId="0" fontId="279" fillId="0" borderId="0" xfId="2" applyFont="1" applyAlignment="1">
      <alignment horizontal="center" vertical="center"/>
    </xf>
    <xf numFmtId="14" fontId="279" fillId="0" borderId="0" xfId="2" applyNumberFormat="1" applyFont="1" applyAlignment="1">
      <alignment horizontal="center" vertical="center"/>
    </xf>
    <xf numFmtId="10" fontId="279" fillId="0" borderId="0" xfId="2" applyNumberFormat="1" applyFont="1" applyAlignment="1">
      <alignment horizontal="center" vertical="center"/>
    </xf>
    <xf numFmtId="0" fontId="279" fillId="0" borderId="0" xfId="2" applyFont="1" applyAlignment="1">
      <alignment horizontal="center" vertical="center" shrinkToFit="1"/>
    </xf>
    <xf numFmtId="14" fontId="280" fillId="0" borderId="164" xfId="2" applyNumberFormat="1" applyFont="1" applyBorder="1" applyAlignment="1" applyProtection="1">
      <alignment horizontal="left" vertical="center"/>
      <protection locked="0"/>
    </xf>
    <xf numFmtId="14" fontId="279" fillId="0" borderId="165" xfId="2" applyNumberFormat="1" applyFont="1" applyBorder="1" applyAlignment="1" applyProtection="1">
      <alignment horizontal="center" vertical="center"/>
      <protection locked="0"/>
    </xf>
    <xf numFmtId="43" fontId="279" fillId="21" borderId="165" xfId="2" applyNumberFormat="1" applyFont="1" applyFill="1" applyBorder="1" applyAlignment="1">
      <alignment horizontal="center" vertical="center"/>
    </xf>
    <xf numFmtId="0" fontId="279" fillId="0" borderId="165" xfId="2" applyFont="1" applyBorder="1" applyAlignment="1" applyProtection="1">
      <alignment horizontal="center" vertical="center"/>
      <protection locked="0"/>
    </xf>
    <xf numFmtId="0" fontId="279" fillId="18" borderId="166" xfId="2" applyFont="1" applyFill="1" applyBorder="1" applyAlignment="1" applyProtection="1">
      <alignment horizontal="center" vertical="center"/>
      <protection locked="0"/>
    </xf>
    <xf numFmtId="179" fontId="279" fillId="0" borderId="167" xfId="2" applyNumberFormat="1" applyFont="1" applyBorder="1" applyAlignment="1" applyProtection="1">
      <alignment horizontal="center" vertical="center"/>
      <protection locked="0"/>
    </xf>
    <xf numFmtId="179" fontId="279" fillId="0" borderId="165" xfId="2" applyNumberFormat="1" applyFont="1" applyBorder="1" applyAlignment="1" applyProtection="1">
      <alignment horizontal="center" vertical="center"/>
      <protection locked="0"/>
    </xf>
    <xf numFmtId="10" fontId="279" fillId="0" borderId="165" xfId="2" applyNumberFormat="1" applyFont="1" applyBorder="1" applyAlignment="1" applyProtection="1">
      <alignment horizontal="center" vertical="center"/>
      <protection locked="0"/>
    </xf>
    <xf numFmtId="0" fontId="279" fillId="0" borderId="166" xfId="2" applyFont="1" applyBorder="1" applyAlignment="1" applyProtection="1">
      <alignment horizontal="center" vertical="center"/>
      <protection locked="0"/>
    </xf>
    <xf numFmtId="0" fontId="279" fillId="0" borderId="165" xfId="2" applyFont="1" applyBorder="1" applyAlignment="1" applyProtection="1">
      <alignment horizontal="center" vertical="center" shrinkToFit="1"/>
      <protection locked="0"/>
    </xf>
    <xf numFmtId="0" fontId="279" fillId="0" borderId="168" xfId="2" applyFont="1" applyBorder="1" applyAlignment="1">
      <alignment horizontal="center" vertical="center"/>
    </xf>
    <xf numFmtId="14" fontId="280" fillId="0" borderId="169" xfId="2" applyNumberFormat="1" applyFont="1" applyBorder="1" applyAlignment="1" applyProtection="1">
      <alignment horizontal="left" vertical="center"/>
      <protection locked="0"/>
    </xf>
    <xf numFmtId="14" fontId="279" fillId="0" borderId="166" xfId="2" applyNumberFormat="1" applyFont="1" applyBorder="1" applyAlignment="1" applyProtection="1">
      <alignment horizontal="center" vertical="center"/>
      <protection locked="0"/>
    </xf>
    <xf numFmtId="43" fontId="279" fillId="21" borderId="166" xfId="2" applyNumberFormat="1" applyFont="1" applyFill="1" applyBorder="1" applyAlignment="1">
      <alignment horizontal="center" vertical="center"/>
    </xf>
    <xf numFmtId="179" fontId="279" fillId="0" borderId="166" xfId="2" applyNumberFormat="1" applyFont="1" applyBorder="1" applyAlignment="1" applyProtection="1">
      <alignment horizontal="center" vertical="center"/>
      <protection locked="0"/>
    </xf>
    <xf numFmtId="10" fontId="279" fillId="0" borderId="166" xfId="2" applyNumberFormat="1" applyFont="1" applyBorder="1" applyAlignment="1" applyProtection="1">
      <alignment horizontal="center" vertical="center"/>
      <protection locked="0"/>
    </xf>
    <xf numFmtId="0" fontId="279" fillId="0" borderId="166" xfId="2" applyFont="1" applyBorder="1" applyAlignment="1" applyProtection="1">
      <alignment horizontal="center" vertical="center" shrinkToFit="1"/>
      <protection locked="0"/>
    </xf>
    <xf numFmtId="0" fontId="279" fillId="0" borderId="170" xfId="2" applyFont="1" applyBorder="1" applyAlignment="1">
      <alignment horizontal="center" vertical="center"/>
    </xf>
    <xf numFmtId="179" fontId="281" fillId="3" borderId="166" xfId="2" applyNumberFormat="1" applyFont="1" applyFill="1" applyBorder="1" applyAlignment="1" applyProtection="1">
      <alignment horizontal="center" vertical="center"/>
      <protection locked="0"/>
    </xf>
    <xf numFmtId="0" fontId="281" fillId="3" borderId="166" xfId="2" applyFont="1" applyFill="1" applyBorder="1" applyAlignment="1" applyProtection="1">
      <alignment horizontal="center" vertical="center"/>
      <protection locked="0"/>
    </xf>
    <xf numFmtId="179" fontId="282" fillId="3" borderId="166" xfId="212" applyNumberFormat="1" applyFont="1" applyFill="1" applyBorder="1" applyAlignment="1" applyProtection="1">
      <alignment horizontal="center" vertical="center"/>
      <protection locked="0"/>
    </xf>
    <xf numFmtId="0" fontId="282" fillId="3" borderId="166" xfId="212" applyFont="1" applyFill="1" applyBorder="1" applyAlignment="1" applyProtection="1">
      <alignment horizontal="center" vertical="center" wrapText="1"/>
      <protection locked="0"/>
    </xf>
    <xf numFmtId="0" fontId="282" fillId="3" borderId="166" xfId="212" applyFont="1" applyFill="1" applyBorder="1" applyAlignment="1" applyProtection="1">
      <alignment horizontal="center" vertical="center"/>
      <protection locked="0"/>
    </xf>
    <xf numFmtId="14" fontId="280" fillId="0" borderId="169" xfId="149" applyNumberFormat="1" applyFont="1" applyBorder="1" applyAlignment="1" applyProtection="1">
      <alignment horizontal="center" vertical="center"/>
      <protection locked="0"/>
    </xf>
    <xf numFmtId="14" fontId="279" fillId="0" borderId="166" xfId="149" applyNumberFormat="1" applyFont="1" applyBorder="1" applyAlignment="1" applyProtection="1">
      <alignment horizontal="center" vertical="center"/>
      <protection locked="0"/>
    </xf>
    <xf numFmtId="197" fontId="279" fillId="0" borderId="166" xfId="148" applyFont="1" applyBorder="1" applyAlignment="1" applyProtection="1">
      <alignment horizontal="center" vertical="center"/>
      <protection locked="0"/>
    </xf>
    <xf numFmtId="197" fontId="279" fillId="47" borderId="166" xfId="147" applyFont="1" applyFill="1" applyBorder="1" applyAlignment="1" applyProtection="1">
      <alignment horizontal="center" vertical="center"/>
      <protection locked="0"/>
    </xf>
    <xf numFmtId="179" fontId="279" fillId="0" borderId="166" xfId="146" applyNumberFormat="1" applyFont="1" applyBorder="1" applyAlignment="1" applyProtection="1">
      <alignment horizontal="center" vertical="center"/>
      <protection locked="0"/>
    </xf>
    <xf numFmtId="10" fontId="279" fillId="0" borderId="166" xfId="146" applyNumberFormat="1" applyFont="1" applyBorder="1" applyAlignment="1" applyProtection="1">
      <alignment horizontal="center" vertical="center"/>
      <protection locked="0"/>
    </xf>
    <xf numFmtId="197" fontId="279" fillId="0" borderId="166" xfId="146" applyFont="1" applyBorder="1" applyAlignment="1" applyProtection="1">
      <alignment horizontal="center" vertical="center"/>
      <protection locked="0"/>
    </xf>
    <xf numFmtId="197" fontId="279" fillId="0" borderId="166" xfId="145" applyFont="1" applyBorder="1" applyAlignment="1" applyProtection="1">
      <alignment horizontal="center" vertical="center"/>
      <protection locked="0"/>
    </xf>
    <xf numFmtId="197" fontId="279" fillId="0" borderId="166" xfId="144" applyFont="1" applyBorder="1" applyAlignment="1" applyProtection="1">
      <alignment horizontal="center" vertical="center"/>
      <protection locked="0"/>
    </xf>
    <xf numFmtId="197" fontId="279" fillId="0" borderId="166" xfId="143" applyFont="1" applyBorder="1" applyAlignment="1" applyProtection="1">
      <alignment horizontal="center" vertical="center"/>
      <protection locked="0"/>
    </xf>
    <xf numFmtId="197" fontId="279" fillId="0" borderId="166" xfId="117" applyFont="1" applyBorder="1" applyAlignment="1" applyProtection="1">
      <alignment horizontal="center" vertical="center"/>
      <protection locked="0"/>
    </xf>
    <xf numFmtId="197" fontId="279" fillId="0" borderId="166" xfId="144" applyFont="1" applyBorder="1" applyAlignment="1" applyProtection="1">
      <alignment horizontal="center" vertical="center" wrapText="1"/>
      <protection locked="0"/>
    </xf>
    <xf numFmtId="0" fontId="279" fillId="48" borderId="0" xfId="2" applyFont="1" applyFill="1" applyAlignment="1">
      <alignment horizontal="center" vertical="center"/>
    </xf>
    <xf numFmtId="14" fontId="280" fillId="48" borderId="169" xfId="149" applyNumberFormat="1" applyFont="1" applyFill="1" applyBorder="1" applyAlignment="1" applyProtection="1">
      <alignment horizontal="center" vertical="center"/>
      <protection locked="0"/>
    </xf>
    <xf numFmtId="14" fontId="279" fillId="48" borderId="166" xfId="149" applyNumberFormat="1" applyFont="1" applyFill="1" applyBorder="1" applyAlignment="1" applyProtection="1">
      <alignment horizontal="center" vertical="center"/>
      <protection locked="0"/>
    </xf>
    <xf numFmtId="43" fontId="279" fillId="48" borderId="166" xfId="2" applyNumberFormat="1" applyFont="1" applyFill="1" applyBorder="1" applyAlignment="1">
      <alignment horizontal="center" vertical="center"/>
    </xf>
    <xf numFmtId="197" fontId="279" fillId="48" borderId="166" xfId="148" applyFont="1" applyFill="1" applyBorder="1" applyAlignment="1" applyProtection="1">
      <alignment horizontal="center" vertical="center"/>
      <protection locked="0"/>
    </xf>
    <xf numFmtId="197" fontId="279" fillId="48" borderId="166" xfId="147" applyFont="1" applyFill="1" applyBorder="1" applyAlignment="1" applyProtection="1">
      <alignment horizontal="center" vertical="center"/>
      <protection locked="0"/>
    </xf>
    <xf numFmtId="179" fontId="279" fillId="48" borderId="166" xfId="146" applyNumberFormat="1" applyFont="1" applyFill="1" applyBorder="1" applyAlignment="1" applyProtection="1">
      <alignment horizontal="center" vertical="center"/>
      <protection locked="0"/>
    </xf>
    <xf numFmtId="10" fontId="279" fillId="48" borderId="166" xfId="146" applyNumberFormat="1" applyFont="1" applyFill="1" applyBorder="1" applyAlignment="1" applyProtection="1">
      <alignment horizontal="center" vertical="center"/>
      <protection locked="0"/>
    </xf>
    <xf numFmtId="197" fontId="279" fillId="48" borderId="166" xfId="146" applyFont="1" applyFill="1" applyBorder="1" applyAlignment="1" applyProtection="1">
      <alignment horizontal="center" vertical="center"/>
      <protection locked="0"/>
    </xf>
    <xf numFmtId="197" fontId="279" fillId="48" borderId="166" xfId="145" applyFont="1" applyFill="1" applyBorder="1" applyAlignment="1" applyProtection="1">
      <alignment horizontal="center" vertical="center"/>
      <protection locked="0"/>
    </xf>
    <xf numFmtId="197" fontId="279" fillId="48" borderId="166" xfId="144" applyFont="1" applyFill="1" applyBorder="1" applyAlignment="1" applyProtection="1">
      <alignment horizontal="center" vertical="center"/>
      <protection locked="0"/>
    </xf>
    <xf numFmtId="197" fontId="279" fillId="48" borderId="166" xfId="143" applyFont="1" applyFill="1" applyBorder="1" applyAlignment="1" applyProtection="1">
      <alignment horizontal="center" vertical="center"/>
      <protection locked="0"/>
    </xf>
    <xf numFmtId="197" fontId="279" fillId="48" borderId="166" xfId="117" applyFont="1" applyFill="1" applyBorder="1" applyAlignment="1" applyProtection="1">
      <alignment horizontal="center" vertical="center"/>
      <protection locked="0"/>
    </xf>
    <xf numFmtId="0" fontId="279" fillId="48" borderId="170" xfId="2" applyFont="1" applyFill="1" applyBorder="1" applyAlignment="1">
      <alignment horizontal="center" vertical="center"/>
    </xf>
    <xf numFmtId="197" fontId="279" fillId="0" borderId="166" xfId="145" applyFont="1" applyFill="1" applyBorder="1" applyAlignment="1" applyProtection="1">
      <alignment horizontal="center" vertical="center"/>
      <protection locked="0"/>
    </xf>
    <xf numFmtId="49" fontId="279" fillId="0" borderId="166" xfId="144" applyNumberFormat="1" applyFont="1" applyBorder="1" applyAlignment="1" applyProtection="1">
      <alignment horizontal="center" vertical="center"/>
      <protection locked="0"/>
    </xf>
    <xf numFmtId="197" fontId="279" fillId="5" borderId="166" xfId="145" applyFont="1" applyFill="1" applyBorder="1" applyAlignment="1" applyProtection="1">
      <alignment horizontal="center" vertical="center"/>
      <protection locked="0"/>
    </xf>
    <xf numFmtId="9" fontId="280" fillId="0" borderId="169" xfId="149" applyNumberFormat="1" applyFont="1" applyBorder="1" applyAlignment="1" applyProtection="1">
      <alignment horizontal="center" vertical="center"/>
      <protection locked="0"/>
    </xf>
    <xf numFmtId="49" fontId="279" fillId="0" borderId="166" xfId="144" quotePrefix="1" applyNumberFormat="1" applyFont="1" applyBorder="1" applyAlignment="1" applyProtection="1">
      <alignment horizontal="center" vertical="center"/>
      <protection locked="0"/>
    </xf>
    <xf numFmtId="0" fontId="286" fillId="0" borderId="0" xfId="2" applyFont="1" applyAlignment="1">
      <alignment horizontal="center" vertical="center"/>
    </xf>
    <xf numFmtId="0" fontId="279" fillId="0" borderId="0" xfId="2" applyFont="1" applyAlignment="1">
      <alignment horizontal="left"/>
    </xf>
    <xf numFmtId="0" fontId="288" fillId="0" borderId="0" xfId="2" applyFont="1" applyAlignment="1">
      <alignment horizontal="center" vertical="center"/>
    </xf>
    <xf numFmtId="176" fontId="100" fillId="0" borderId="0" xfId="2" applyNumberFormat="1"/>
    <xf numFmtId="43" fontId="100" fillId="0" borderId="0" xfId="2" applyNumberFormat="1"/>
    <xf numFmtId="2" fontId="100" fillId="0" borderId="0" xfId="2" applyNumberFormat="1"/>
    <xf numFmtId="0" fontId="100" fillId="0" borderId="0" xfId="2" applyAlignment="1">
      <alignment wrapText="1"/>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222" fillId="6" borderId="1" xfId="0" applyFont="1" applyFill="1" applyBorder="1" applyAlignment="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283" fillId="50" borderId="174" xfId="2" applyFont="1" applyFill="1" applyBorder="1" applyAlignment="1">
      <alignment horizontal="center" vertical="center" wrapText="1"/>
    </xf>
    <xf numFmtId="0" fontId="283" fillId="50" borderId="171" xfId="2" applyFont="1" applyFill="1" applyBorder="1" applyAlignment="1">
      <alignment horizontal="center" vertical="center" wrapText="1"/>
    </xf>
    <xf numFmtId="0" fontId="283" fillId="50" borderId="173" xfId="2" applyFont="1" applyFill="1" applyBorder="1" applyAlignment="1">
      <alignment horizontal="center" vertical="center" wrapText="1"/>
    </xf>
    <xf numFmtId="0" fontId="283" fillId="50" borderId="166" xfId="2" applyFont="1" applyFill="1" applyBorder="1" applyAlignment="1">
      <alignment horizontal="center" vertical="center" wrapText="1"/>
    </xf>
    <xf numFmtId="0" fontId="288" fillId="0" borderId="47" xfId="2" applyFont="1" applyBorder="1" applyAlignment="1">
      <alignment horizontal="center" vertical="center"/>
    </xf>
    <xf numFmtId="0" fontId="287" fillId="0" borderId="176" xfId="2" applyFont="1" applyBorder="1" applyAlignment="1">
      <alignment horizontal="center" vertical="center"/>
    </xf>
    <xf numFmtId="4" fontId="283" fillId="51" borderId="176" xfId="2" applyNumberFormat="1" applyFont="1" applyFill="1" applyBorder="1" applyAlignment="1" applyProtection="1">
      <alignment horizontal="center" vertical="center"/>
      <protection locked="0"/>
    </xf>
    <xf numFmtId="0" fontId="283" fillId="50" borderId="175" xfId="2" applyFont="1" applyFill="1" applyBorder="1" applyAlignment="1">
      <alignment horizontal="center" vertical="center" wrapText="1"/>
    </xf>
    <xf numFmtId="0" fontId="283" fillId="50" borderId="170" xfId="2" applyFont="1" applyFill="1" applyBorder="1" applyAlignment="1">
      <alignment horizontal="center" vertical="center" wrapText="1"/>
    </xf>
    <xf numFmtId="0" fontId="283" fillId="49" borderId="172" xfId="2" applyFont="1" applyFill="1" applyBorder="1" applyAlignment="1">
      <alignment horizontal="center" vertical="center" wrapText="1"/>
    </xf>
    <xf numFmtId="0" fontId="283" fillId="49" borderId="169" xfId="2" applyFont="1" applyFill="1" applyBorder="1" applyAlignment="1">
      <alignment horizontal="center" vertical="center" wrapText="1"/>
    </xf>
    <xf numFmtId="0" fontId="284" fillId="50" borderId="173" xfId="2" applyFont="1" applyFill="1" applyBorder="1" applyAlignment="1">
      <alignment horizontal="center" vertical="center" wrapText="1"/>
    </xf>
    <xf numFmtId="0" fontId="284" fillId="50" borderId="166" xfId="2" applyFont="1" applyFill="1" applyBorder="1" applyAlignment="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213">
    <cellStyle name=" 3]_x000d__x000a_Zoomed=1_x000d__x000a_Row=0_x000d__x000a_Column=0_x000d__x000a_Height=300_x000d__x000a_Width=300_x000d__x000a_FontName=細明體_x000d__x000a_FontStyle=0_x000d__x000a_FontSize=9_x000d__x000a_PrtFontName=Co" xfId="17" xr:uid="{00000000-0005-0000-0000-000000000000}"/>
    <cellStyle name="_ET_STYLE_NoName_00__数据库" xfId="18" xr:uid="{00000000-0005-0000-0000-000001000000}"/>
    <cellStyle name="20% - 强调文字颜色 1 2" xfId="19" xr:uid="{00000000-0005-0000-0000-000002000000}"/>
    <cellStyle name="20% - 强调文字颜色 2 2" xfId="20" xr:uid="{00000000-0005-0000-0000-000003000000}"/>
    <cellStyle name="20% - 强调文字颜色 3 2" xfId="21" xr:uid="{00000000-0005-0000-0000-000004000000}"/>
    <cellStyle name="20% - 强调文字颜色 4 2" xfId="22" xr:uid="{00000000-0005-0000-0000-000005000000}"/>
    <cellStyle name="20% - 强调文字颜色 5 2" xfId="23" xr:uid="{00000000-0005-0000-0000-000006000000}"/>
    <cellStyle name="20% - 强调文字颜色 6 2" xfId="24" xr:uid="{00000000-0005-0000-0000-000007000000}"/>
    <cellStyle name="40% - 强调文字颜色 1 2" xfId="25" xr:uid="{00000000-0005-0000-0000-000008000000}"/>
    <cellStyle name="40% - 强调文字颜色 2 2" xfId="26" xr:uid="{00000000-0005-0000-0000-000009000000}"/>
    <cellStyle name="40% - 强调文字颜色 3 2" xfId="27" xr:uid="{00000000-0005-0000-0000-00000A000000}"/>
    <cellStyle name="40% - 强调文字颜色 4 2" xfId="28" xr:uid="{00000000-0005-0000-0000-00000B000000}"/>
    <cellStyle name="40% - 强调文字颜色 5 2" xfId="29" xr:uid="{00000000-0005-0000-0000-00000C000000}"/>
    <cellStyle name="40% - 强调文字颜色 6 2" xfId="30" xr:uid="{00000000-0005-0000-0000-00000D000000}"/>
    <cellStyle name="60% - 强调文字颜色 1 2" xfId="31" xr:uid="{00000000-0005-0000-0000-00000E000000}"/>
    <cellStyle name="60% - 强调文字颜色 2 2" xfId="32" xr:uid="{00000000-0005-0000-0000-00000F000000}"/>
    <cellStyle name="60% - 强调文字颜色 3 2" xfId="33" xr:uid="{00000000-0005-0000-0000-000010000000}"/>
    <cellStyle name="60% - 强调文字颜色 4 2" xfId="34" xr:uid="{00000000-0005-0000-0000-000011000000}"/>
    <cellStyle name="60% - 强调文字颜色 5 2" xfId="35" xr:uid="{00000000-0005-0000-0000-000012000000}"/>
    <cellStyle name="60% - 强调文字颜色 6 2" xfId="36" xr:uid="{00000000-0005-0000-0000-000013000000}"/>
    <cellStyle name="Comma" xfId="37" xr:uid="{00000000-0005-0000-0000-000014000000}"/>
    <cellStyle name="Comma [0]" xfId="38" xr:uid="{00000000-0005-0000-0000-000015000000}"/>
    <cellStyle name="Currency" xfId="39" xr:uid="{00000000-0005-0000-0000-000016000000}"/>
    <cellStyle name="Currency [0]" xfId="40" xr:uid="{00000000-0005-0000-0000-000017000000}"/>
    <cellStyle name="Currency [0] 2" xfId="41" xr:uid="{00000000-0005-0000-0000-000018000000}"/>
    <cellStyle name="Currency 2" xfId="42" xr:uid="{00000000-0005-0000-0000-000019000000}"/>
    <cellStyle name="Normal" xfId="43" xr:uid="{00000000-0005-0000-0000-00001A000000}"/>
    <cellStyle name="Normal 2" xfId="44" xr:uid="{00000000-0005-0000-0000-00001B000000}"/>
    <cellStyle name="Normal 3" xfId="45" xr:uid="{00000000-0005-0000-0000-00001C000000}"/>
    <cellStyle name="Normal 3 2" xfId="46" xr:uid="{00000000-0005-0000-0000-00001D000000}"/>
    <cellStyle name="Normal 3 3" xfId="47" xr:uid="{00000000-0005-0000-0000-00001E000000}"/>
    <cellStyle name="Normal 4" xfId="48" xr:uid="{00000000-0005-0000-0000-00001F000000}"/>
    <cellStyle name="Normal 5" xfId="49" xr:uid="{00000000-0005-0000-0000-000020000000}"/>
    <cellStyle name="Normal 6" xfId="50" xr:uid="{00000000-0005-0000-0000-000021000000}"/>
    <cellStyle name="Normal 7" xfId="51" xr:uid="{00000000-0005-0000-0000-000022000000}"/>
    <cellStyle name="Percent" xfId="52" xr:uid="{00000000-0005-0000-0000-000023000000}"/>
    <cellStyle name="百分比 2" xfId="14" xr:uid="{00000000-0005-0000-0000-000024000000}"/>
    <cellStyle name="百分比 2 2" xfId="53" xr:uid="{00000000-0005-0000-0000-000025000000}"/>
    <cellStyle name="百分比 2 2 2" xfId="54" xr:uid="{00000000-0005-0000-0000-000026000000}"/>
    <cellStyle name="百分比 2 2 3" xfId="55" xr:uid="{00000000-0005-0000-0000-000027000000}"/>
    <cellStyle name="百分比 2 2 4" xfId="56" xr:uid="{00000000-0005-0000-0000-000028000000}"/>
    <cellStyle name="百分比 2 2 5" xfId="57" xr:uid="{00000000-0005-0000-0000-000029000000}"/>
    <cellStyle name="百分比 2 2 6" xfId="58" xr:uid="{00000000-0005-0000-0000-00002A000000}"/>
    <cellStyle name="百分比 2 2 7" xfId="59" xr:uid="{00000000-0005-0000-0000-00002B000000}"/>
    <cellStyle name="百分比 2 2 8" xfId="60" xr:uid="{00000000-0005-0000-0000-00002C000000}"/>
    <cellStyle name="百分比 2 2 9" xfId="61" xr:uid="{00000000-0005-0000-0000-00002D000000}"/>
    <cellStyle name="百分比 2 3" xfId="62" xr:uid="{00000000-0005-0000-0000-00002E000000}"/>
    <cellStyle name="百分比 2 4" xfId="63" xr:uid="{00000000-0005-0000-0000-00002F000000}"/>
    <cellStyle name="百分比 2 5" xfId="64" xr:uid="{00000000-0005-0000-0000-000030000000}"/>
    <cellStyle name="百分比 2 6" xfId="65" xr:uid="{00000000-0005-0000-0000-000031000000}"/>
    <cellStyle name="百分比 2 7" xfId="66" xr:uid="{00000000-0005-0000-0000-000032000000}"/>
    <cellStyle name="百分比 2 8" xfId="67" xr:uid="{00000000-0005-0000-0000-000033000000}"/>
    <cellStyle name="百分比 2 9" xfId="68" xr:uid="{00000000-0005-0000-0000-000034000000}"/>
    <cellStyle name="百分比 3" xfId="69" xr:uid="{00000000-0005-0000-0000-000035000000}"/>
    <cellStyle name="百分比 4" xfId="70" xr:uid="{00000000-0005-0000-0000-000036000000}"/>
    <cellStyle name="百分比 5" xfId="71" xr:uid="{00000000-0005-0000-0000-000037000000}"/>
    <cellStyle name="百分比 6" xfId="72" xr:uid="{00000000-0005-0000-0000-000038000000}"/>
    <cellStyle name="百分比 9" xfId="73" xr:uid="{00000000-0005-0000-0000-000039000000}"/>
    <cellStyle name="标题 1 2" xfId="74" xr:uid="{00000000-0005-0000-0000-00003A000000}"/>
    <cellStyle name="标题 2 2" xfId="75" xr:uid="{00000000-0005-0000-0000-00003B000000}"/>
    <cellStyle name="标题 3 2" xfId="76" xr:uid="{00000000-0005-0000-0000-00003C000000}"/>
    <cellStyle name="标题 4 2" xfId="77" xr:uid="{00000000-0005-0000-0000-00003D000000}"/>
    <cellStyle name="标题 5" xfId="78" xr:uid="{00000000-0005-0000-0000-00003E000000}"/>
    <cellStyle name="差 2" xfId="79" xr:uid="{00000000-0005-0000-0000-00003F000000}"/>
    <cellStyle name="常规" xfId="0" builtinId="0"/>
    <cellStyle name="常规 10" xfId="80" xr:uid="{00000000-0005-0000-0000-000041000000}"/>
    <cellStyle name="常规 11" xfId="81" xr:uid="{00000000-0005-0000-0000-000042000000}"/>
    <cellStyle name="常规 12" xfId="82" xr:uid="{00000000-0005-0000-0000-000043000000}"/>
    <cellStyle name="常规 13" xfId="83" xr:uid="{00000000-0005-0000-0000-000044000000}"/>
    <cellStyle name="常规 14" xfId="84" xr:uid="{00000000-0005-0000-0000-000045000000}"/>
    <cellStyle name="常规 15" xfId="85" xr:uid="{00000000-0005-0000-0000-000046000000}"/>
    <cellStyle name="常规 16" xfId="10" xr:uid="{00000000-0005-0000-0000-000047000000}"/>
    <cellStyle name="常规 17" xfId="86" xr:uid="{00000000-0005-0000-0000-000048000000}"/>
    <cellStyle name="常规 18" xfId="87" xr:uid="{00000000-0005-0000-0000-000049000000}"/>
    <cellStyle name="常规 19" xfId="88" xr:uid="{00000000-0005-0000-0000-00004A000000}"/>
    <cellStyle name="常规 2" xfId="1" xr:uid="{00000000-0005-0000-0000-00004B000000}"/>
    <cellStyle name="常规 2 10" xfId="89" xr:uid="{00000000-0005-0000-0000-00004C000000}"/>
    <cellStyle name="常规 2 11" xfId="90" xr:uid="{00000000-0005-0000-0000-00004D000000}"/>
    <cellStyle name="常规 2 12" xfId="91" xr:uid="{00000000-0005-0000-0000-00004E000000}"/>
    <cellStyle name="常规 2 13" xfId="92" xr:uid="{00000000-0005-0000-0000-00004F000000}"/>
    <cellStyle name="常规 2 14" xfId="93" xr:uid="{00000000-0005-0000-0000-000050000000}"/>
    <cellStyle name="常规 2 15" xfId="94" xr:uid="{00000000-0005-0000-0000-000051000000}"/>
    <cellStyle name="常规 2 16" xfId="95" xr:uid="{00000000-0005-0000-0000-000052000000}"/>
    <cellStyle name="常规 2 17" xfId="96" xr:uid="{00000000-0005-0000-0000-000053000000}"/>
    <cellStyle name="常规 2 18" xfId="97" xr:uid="{00000000-0005-0000-0000-000054000000}"/>
    <cellStyle name="常规 2 2" xfId="8" xr:uid="{00000000-0005-0000-0000-000055000000}"/>
    <cellStyle name="常规 2 2 10" xfId="98" xr:uid="{00000000-0005-0000-0000-000056000000}"/>
    <cellStyle name="常规 2 2 2" xfId="99" xr:uid="{00000000-0005-0000-0000-000057000000}"/>
    <cellStyle name="常规 2 2 2 2" xfId="100" xr:uid="{00000000-0005-0000-0000-000058000000}"/>
    <cellStyle name="常规 2 2 2 2 3" xfId="15" xr:uid="{00000000-0005-0000-0000-000059000000}"/>
    <cellStyle name="常规 2 2 2 3" xfId="101" xr:uid="{00000000-0005-0000-0000-00005A000000}"/>
    <cellStyle name="常规 2 2 2 4" xfId="102" xr:uid="{00000000-0005-0000-0000-00005B000000}"/>
    <cellStyle name="常规 2 2 2 5" xfId="103" xr:uid="{00000000-0005-0000-0000-00005C000000}"/>
    <cellStyle name="常规 2 2 2 6" xfId="104" xr:uid="{00000000-0005-0000-0000-00005D000000}"/>
    <cellStyle name="常规 2 2 2 7" xfId="105" xr:uid="{00000000-0005-0000-0000-00005E000000}"/>
    <cellStyle name="常规 2 2 2 8" xfId="106" xr:uid="{00000000-0005-0000-0000-00005F000000}"/>
    <cellStyle name="常规 2 2 2 9" xfId="107" xr:uid="{00000000-0005-0000-0000-000060000000}"/>
    <cellStyle name="常规 2 2 3" xfId="108" xr:uid="{00000000-0005-0000-0000-000061000000}"/>
    <cellStyle name="常规 2 2 4" xfId="109" xr:uid="{00000000-0005-0000-0000-000062000000}"/>
    <cellStyle name="常规 2 2 5" xfId="110" xr:uid="{00000000-0005-0000-0000-000063000000}"/>
    <cellStyle name="常规 2 2 6" xfId="111" xr:uid="{00000000-0005-0000-0000-000064000000}"/>
    <cellStyle name="常规 2 2 7" xfId="112" xr:uid="{00000000-0005-0000-0000-000065000000}"/>
    <cellStyle name="常规 2 2 8" xfId="113" xr:uid="{00000000-0005-0000-0000-000066000000}"/>
    <cellStyle name="常规 2 2 9" xfId="114" xr:uid="{00000000-0005-0000-0000-000067000000}"/>
    <cellStyle name="常规 2 3" xfId="115" xr:uid="{00000000-0005-0000-0000-000068000000}"/>
    <cellStyle name="常规 2 4" xfId="116" xr:uid="{00000000-0005-0000-0000-000069000000}"/>
    <cellStyle name="常规 2 5" xfId="117" xr:uid="{00000000-0005-0000-0000-00006A000000}"/>
    <cellStyle name="常规 2 6" xfId="118" xr:uid="{00000000-0005-0000-0000-00006B000000}"/>
    <cellStyle name="常规 2 7" xfId="119" xr:uid="{00000000-0005-0000-0000-00006C000000}"/>
    <cellStyle name="常规 2 8" xfId="120" xr:uid="{00000000-0005-0000-0000-00006D000000}"/>
    <cellStyle name="常规 2 9" xfId="121" xr:uid="{00000000-0005-0000-0000-00006E000000}"/>
    <cellStyle name="常规 20" xfId="122" xr:uid="{00000000-0005-0000-0000-00006F000000}"/>
    <cellStyle name="常规 21" xfId="123" xr:uid="{00000000-0005-0000-0000-000070000000}"/>
    <cellStyle name="常规 22" xfId="124" xr:uid="{00000000-0005-0000-0000-000071000000}"/>
    <cellStyle name="常规 23" xfId="125" xr:uid="{00000000-0005-0000-0000-000072000000}"/>
    <cellStyle name="常规 24" xfId="126" xr:uid="{00000000-0005-0000-0000-000073000000}"/>
    <cellStyle name="常规 25" xfId="127" xr:uid="{00000000-0005-0000-0000-000074000000}"/>
    <cellStyle name="常规 26" xfId="128" xr:uid="{00000000-0005-0000-0000-000075000000}"/>
    <cellStyle name="常规 27" xfId="129" xr:uid="{00000000-0005-0000-0000-000076000000}"/>
    <cellStyle name="常规 28" xfId="130" xr:uid="{00000000-0005-0000-0000-000077000000}"/>
    <cellStyle name="常规 29" xfId="131" xr:uid="{00000000-0005-0000-0000-000078000000}"/>
    <cellStyle name="常规 3" xfId="2" xr:uid="{00000000-0005-0000-0000-000079000000}"/>
    <cellStyle name="常规 3 2" xfId="3" xr:uid="{00000000-0005-0000-0000-00007A000000}"/>
    <cellStyle name="常规 3 2 2" xfId="132" xr:uid="{00000000-0005-0000-0000-00007B000000}"/>
    <cellStyle name="常规 3 3" xfId="133" xr:uid="{00000000-0005-0000-0000-00007C000000}"/>
    <cellStyle name="常规 3 3 2" xfId="134" xr:uid="{00000000-0005-0000-0000-00007D000000}"/>
    <cellStyle name="常规 3 4" xfId="135" xr:uid="{00000000-0005-0000-0000-00007E000000}"/>
    <cellStyle name="常规 3 5" xfId="136" xr:uid="{00000000-0005-0000-0000-00007F000000}"/>
    <cellStyle name="常规 3 6" xfId="137" xr:uid="{00000000-0005-0000-0000-000080000000}"/>
    <cellStyle name="常规 3 7" xfId="138" xr:uid="{00000000-0005-0000-0000-000081000000}"/>
    <cellStyle name="常规 3 8" xfId="139" xr:uid="{00000000-0005-0000-0000-000082000000}"/>
    <cellStyle name="常规 30" xfId="140" xr:uid="{00000000-0005-0000-0000-000083000000}"/>
    <cellStyle name="常规 31" xfId="141" xr:uid="{00000000-0005-0000-0000-000084000000}"/>
    <cellStyle name="常规 32" xfId="142" xr:uid="{00000000-0005-0000-0000-000085000000}"/>
    <cellStyle name="常规 33" xfId="143" xr:uid="{00000000-0005-0000-0000-000086000000}"/>
    <cellStyle name="常规 34" xfId="144" xr:uid="{00000000-0005-0000-0000-000087000000}"/>
    <cellStyle name="常规 35" xfId="145" xr:uid="{00000000-0005-0000-0000-000088000000}"/>
    <cellStyle name="常规 36" xfId="146" xr:uid="{00000000-0005-0000-0000-000089000000}"/>
    <cellStyle name="常规 37" xfId="147" xr:uid="{00000000-0005-0000-0000-00008A000000}"/>
    <cellStyle name="常规 38" xfId="148" xr:uid="{00000000-0005-0000-0000-00008B000000}"/>
    <cellStyle name="常规 39" xfId="149" xr:uid="{00000000-0005-0000-0000-00008C000000}"/>
    <cellStyle name="常规 4" xfId="4" xr:uid="{00000000-0005-0000-0000-00008D000000}"/>
    <cellStyle name="常规 4 10" xfId="150" xr:uid="{00000000-0005-0000-0000-00008E000000}"/>
    <cellStyle name="常规 4 11" xfId="151" xr:uid="{00000000-0005-0000-0000-00008F000000}"/>
    <cellStyle name="常规 4 12" xfId="152" xr:uid="{00000000-0005-0000-0000-000090000000}"/>
    <cellStyle name="常规 4 13" xfId="212" xr:uid="{00000000-0005-0000-0000-000091000000}"/>
    <cellStyle name="常规 4 2" xfId="153" xr:uid="{00000000-0005-0000-0000-000092000000}"/>
    <cellStyle name="常规 4 2 10" xfId="154" xr:uid="{00000000-0005-0000-0000-000093000000}"/>
    <cellStyle name="常规 4 2 11" xfId="155" xr:uid="{00000000-0005-0000-0000-000094000000}"/>
    <cellStyle name="常规 4 2 12" xfId="156" xr:uid="{00000000-0005-0000-0000-000095000000}"/>
    <cellStyle name="常规 4 2 13" xfId="157" xr:uid="{00000000-0005-0000-0000-000096000000}"/>
    <cellStyle name="常规 4 2 2" xfId="158" xr:uid="{00000000-0005-0000-0000-000097000000}"/>
    <cellStyle name="常规 4 2 3" xfId="159" xr:uid="{00000000-0005-0000-0000-000098000000}"/>
    <cellStyle name="常规 4 2 4" xfId="160" xr:uid="{00000000-0005-0000-0000-000099000000}"/>
    <cellStyle name="常规 4 2 5" xfId="161" xr:uid="{00000000-0005-0000-0000-00009A000000}"/>
    <cellStyle name="常规 4 2 6" xfId="162" xr:uid="{00000000-0005-0000-0000-00009B000000}"/>
    <cellStyle name="常规 4 2 7" xfId="163" xr:uid="{00000000-0005-0000-0000-00009C000000}"/>
    <cellStyle name="常规 4 2 8" xfId="164" xr:uid="{00000000-0005-0000-0000-00009D000000}"/>
    <cellStyle name="常规 4 2 9" xfId="165" xr:uid="{00000000-0005-0000-0000-00009E000000}"/>
    <cellStyle name="常规 4 3" xfId="166" xr:uid="{00000000-0005-0000-0000-00009F000000}"/>
    <cellStyle name="常规 4 4" xfId="167" xr:uid="{00000000-0005-0000-0000-0000A0000000}"/>
    <cellStyle name="常规 4 5" xfId="168" xr:uid="{00000000-0005-0000-0000-0000A1000000}"/>
    <cellStyle name="常规 4 6" xfId="169" xr:uid="{00000000-0005-0000-0000-0000A2000000}"/>
    <cellStyle name="常规 4 7" xfId="170" xr:uid="{00000000-0005-0000-0000-0000A3000000}"/>
    <cellStyle name="常规 4 8" xfId="171" xr:uid="{00000000-0005-0000-0000-0000A4000000}"/>
    <cellStyle name="常规 4 9" xfId="172" xr:uid="{00000000-0005-0000-0000-0000A5000000}"/>
    <cellStyle name="常规 5" xfId="5" xr:uid="{00000000-0005-0000-0000-0000A6000000}"/>
    <cellStyle name="常规 5 2" xfId="173" xr:uid="{00000000-0005-0000-0000-0000A7000000}"/>
    <cellStyle name="常规 5 3" xfId="174" xr:uid="{00000000-0005-0000-0000-0000A8000000}"/>
    <cellStyle name="常规 5 6 52" xfId="175" xr:uid="{00000000-0005-0000-0000-0000A9000000}"/>
    <cellStyle name="常规 5 6 52 10" xfId="176" xr:uid="{00000000-0005-0000-0000-0000AA000000}"/>
    <cellStyle name="常规 6" xfId="6" xr:uid="{00000000-0005-0000-0000-0000AB000000}"/>
    <cellStyle name="常规 6 2" xfId="9" xr:uid="{00000000-0005-0000-0000-0000AC000000}"/>
    <cellStyle name="常规 6 2 2" xfId="16" xr:uid="{00000000-0005-0000-0000-0000AD000000}"/>
    <cellStyle name="常规 6 2 3" xfId="13" xr:uid="{00000000-0005-0000-0000-0000AE000000}"/>
    <cellStyle name="常规 6 3" xfId="177" xr:uid="{00000000-0005-0000-0000-0000AF000000}"/>
    <cellStyle name="常规 6 4" xfId="178" xr:uid="{00000000-0005-0000-0000-0000B0000000}"/>
    <cellStyle name="常规 7" xfId="7" xr:uid="{00000000-0005-0000-0000-0000B1000000}"/>
    <cellStyle name="常规 7 10" xfId="179" xr:uid="{00000000-0005-0000-0000-0000B2000000}"/>
    <cellStyle name="常规 8" xfId="11" xr:uid="{00000000-0005-0000-0000-0000B3000000}"/>
    <cellStyle name="常规 8 2" xfId="180" xr:uid="{00000000-0005-0000-0000-0000B4000000}"/>
    <cellStyle name="常规 9" xfId="12" xr:uid="{00000000-0005-0000-0000-0000B5000000}"/>
    <cellStyle name="超链接 2" xfId="181" xr:uid="{00000000-0005-0000-0000-0000B6000000}"/>
    <cellStyle name="好 2" xfId="182" xr:uid="{00000000-0005-0000-0000-0000B7000000}"/>
    <cellStyle name="汇总 2" xfId="183" xr:uid="{00000000-0005-0000-0000-0000B8000000}"/>
    <cellStyle name="货币 2" xfId="184" xr:uid="{00000000-0005-0000-0000-0000B9000000}"/>
    <cellStyle name="货币[0] 2" xfId="185" xr:uid="{00000000-0005-0000-0000-0000BA000000}"/>
    <cellStyle name="计算 2" xfId="186" xr:uid="{00000000-0005-0000-0000-0000BB000000}"/>
    <cellStyle name="检查单元格 2" xfId="187" xr:uid="{00000000-0005-0000-0000-0000BC000000}"/>
    <cellStyle name="解释性文本 2" xfId="188" xr:uid="{00000000-0005-0000-0000-0000BD000000}"/>
    <cellStyle name="解释性文本 3" xfId="189" xr:uid="{00000000-0005-0000-0000-0000BE000000}"/>
    <cellStyle name="警告文本 2" xfId="190" xr:uid="{00000000-0005-0000-0000-0000BF000000}"/>
    <cellStyle name="链接单元格 2" xfId="191" xr:uid="{00000000-0005-0000-0000-0000C0000000}"/>
    <cellStyle name="千位分隔 2" xfId="192" xr:uid="{00000000-0005-0000-0000-0000C1000000}"/>
    <cellStyle name="千位分隔 3" xfId="193" xr:uid="{00000000-0005-0000-0000-0000C2000000}"/>
    <cellStyle name="千位分隔 3 2" xfId="194" xr:uid="{00000000-0005-0000-0000-0000C3000000}"/>
    <cellStyle name="千位分隔 3 3" xfId="195" xr:uid="{00000000-0005-0000-0000-0000C4000000}"/>
    <cellStyle name="千位分隔 4" xfId="196" xr:uid="{00000000-0005-0000-0000-0000C5000000}"/>
    <cellStyle name="千位分隔 4 2" xfId="197" xr:uid="{00000000-0005-0000-0000-0000C6000000}"/>
    <cellStyle name="千位分隔 5" xfId="198" xr:uid="{00000000-0005-0000-0000-0000C7000000}"/>
    <cellStyle name="千位分隔 6" xfId="199" xr:uid="{00000000-0005-0000-0000-0000C8000000}"/>
    <cellStyle name="千位分隔[0] 2" xfId="200" xr:uid="{00000000-0005-0000-0000-0000C9000000}"/>
    <cellStyle name="强调文字颜色 1 2" xfId="201" xr:uid="{00000000-0005-0000-0000-0000CA000000}"/>
    <cellStyle name="强调文字颜色 2 2" xfId="202" xr:uid="{00000000-0005-0000-0000-0000CB000000}"/>
    <cellStyle name="强调文字颜色 3 2" xfId="203" xr:uid="{00000000-0005-0000-0000-0000CC000000}"/>
    <cellStyle name="强调文字颜色 4 2" xfId="204" xr:uid="{00000000-0005-0000-0000-0000CD000000}"/>
    <cellStyle name="强调文字颜色 5 2" xfId="205" xr:uid="{00000000-0005-0000-0000-0000CE000000}"/>
    <cellStyle name="强调文字颜色 6 2" xfId="206" xr:uid="{00000000-0005-0000-0000-0000CF000000}"/>
    <cellStyle name="适中 2" xfId="207" xr:uid="{00000000-0005-0000-0000-0000D0000000}"/>
    <cellStyle name="输出 2" xfId="208" xr:uid="{00000000-0005-0000-0000-0000D1000000}"/>
    <cellStyle name="输入 2" xfId="209" xr:uid="{00000000-0005-0000-0000-0000D2000000}"/>
    <cellStyle name="已访问的超链接" xfId="210" xr:uid="{00000000-0005-0000-0000-0000D3000000}"/>
    <cellStyle name="注释 2" xfId="211" xr:uid="{00000000-0005-0000-0000-0000D4000000}"/>
  </cellStyles>
  <dxfs count="265">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1441</xdr:colOff>
      <xdr:row>1</xdr:row>
      <xdr:rowOff>390525</xdr:rowOff>
    </xdr:to>
    <xdr:pic>
      <xdr:nvPicPr>
        <xdr:cNvPr id="2" name="图片 1">
          <a:extLst>
            <a:ext uri="{FF2B5EF4-FFF2-40B4-BE49-F238E27FC236}">
              <a16:creationId xmlns:a16="http://schemas.microsoft.com/office/drawing/2014/main" id="{1246DF89-A02B-4404-ACA5-9E816D1766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5800" y="171450"/>
          <a:ext cx="2744641" cy="1714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84881</xdr:colOff>
      <xdr:row>22</xdr:row>
      <xdr:rowOff>45721</xdr:rowOff>
    </xdr:to>
    <xdr:pic>
      <xdr:nvPicPr>
        <xdr:cNvPr id="2" name="图片 1">
          <a:extLst>
            <a:ext uri="{FF2B5EF4-FFF2-40B4-BE49-F238E27FC236}">
              <a16:creationId xmlns:a16="http://schemas.microsoft.com/office/drawing/2014/main" id="{56158D82-A254-4A31-8D3F-F85314F412E3}"/>
            </a:ext>
          </a:extLst>
        </xdr:cNvPr>
        <xdr:cNvPicPr>
          <a:picLocks noChangeAspect="1"/>
        </xdr:cNvPicPr>
      </xdr:nvPicPr>
      <xdr:blipFill>
        <a:blip xmlns:r="http://schemas.openxmlformats.org/officeDocument/2006/relationships" r:embed="rId1"/>
        <a:stretch>
          <a:fillRect/>
        </a:stretch>
      </xdr:blipFill>
      <xdr:spPr>
        <a:xfrm>
          <a:off x="0" y="1"/>
          <a:ext cx="6180881" cy="4069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58739</xdr:colOff>
      <xdr:row>25</xdr:row>
      <xdr:rowOff>47625</xdr:rowOff>
    </xdr:to>
    <xdr:pic>
      <xdr:nvPicPr>
        <xdr:cNvPr id="2" name="图片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xfrm>
          <a:off x="1" y="0"/>
          <a:ext cx="5545138" cy="4333875"/>
        </a:xfrm>
        <a:prstGeom prst="rect">
          <a:avLst/>
        </a:prstGeom>
      </xdr:spPr>
    </xdr:pic>
    <xdr:clientData/>
  </xdr:twoCellAnchor>
  <xdr:twoCellAnchor editAs="oneCell">
    <xdr:from>
      <xdr:col>8</xdr:col>
      <xdr:colOff>0</xdr:colOff>
      <xdr:row>0</xdr:row>
      <xdr:rowOff>1</xdr:rowOff>
    </xdr:from>
    <xdr:to>
      <xdr:col>15</xdr:col>
      <xdr:colOff>417213</xdr:colOff>
      <xdr:row>24</xdr:row>
      <xdr:rowOff>152401</xdr:rowOff>
    </xdr:to>
    <xdr:pic>
      <xdr:nvPicPr>
        <xdr:cNvPr id="3" name="图片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5486400" y="1"/>
          <a:ext cx="5217813" cy="4267200"/>
        </a:xfrm>
        <a:prstGeom prst="rect">
          <a:avLst/>
        </a:prstGeom>
      </xdr:spPr>
    </xdr:pic>
    <xdr:clientData/>
  </xdr:twoCellAnchor>
  <xdr:twoCellAnchor editAs="oneCell">
    <xdr:from>
      <xdr:col>9</xdr:col>
      <xdr:colOff>30480</xdr:colOff>
      <xdr:row>25</xdr:row>
      <xdr:rowOff>137161</xdr:rowOff>
    </xdr:from>
    <xdr:to>
      <xdr:col>15</xdr:col>
      <xdr:colOff>478959</xdr:colOff>
      <xdr:row>45</xdr:row>
      <xdr:rowOff>175261</xdr:rowOff>
    </xdr:to>
    <xdr:pic>
      <xdr:nvPicPr>
        <xdr:cNvPr id="4" name="图片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3"/>
        <a:stretch>
          <a:fillRect/>
        </a:stretch>
      </xdr:blipFill>
      <xdr:spPr>
        <a:xfrm>
          <a:off x="5516880" y="4709161"/>
          <a:ext cx="4106079" cy="3695700"/>
        </a:xfrm>
        <a:prstGeom prst="rect">
          <a:avLst/>
        </a:prstGeom>
      </xdr:spPr>
    </xdr:pic>
    <xdr:clientData/>
  </xdr:twoCellAnchor>
  <xdr:twoCellAnchor editAs="oneCell">
    <xdr:from>
      <xdr:col>0</xdr:col>
      <xdr:colOff>0</xdr:colOff>
      <xdr:row>26</xdr:row>
      <xdr:rowOff>1</xdr:rowOff>
    </xdr:from>
    <xdr:to>
      <xdr:col>7</xdr:col>
      <xdr:colOff>628649</xdr:colOff>
      <xdr:row>52</xdr:row>
      <xdr:rowOff>102871</xdr:rowOff>
    </xdr:to>
    <xdr:pic>
      <xdr:nvPicPr>
        <xdr:cNvPr id="5" name="图片 4">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4"/>
        <a:stretch>
          <a:fillRect/>
        </a:stretch>
      </xdr:blipFill>
      <xdr:spPr>
        <a:xfrm>
          <a:off x="0" y="4457701"/>
          <a:ext cx="5429249" cy="45605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zhang/Desktop/CMBS&#36164;&#26009;&#25910;&#38598;/&#24120;&#24030;&#37329;&#22363;/4&#12289;GC009&#37329;&#22363;&#21566;&#24742;-&#31199;&#36161;&#21488;&#36134;202002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填表说明"/>
      <sheetName val="1.1基础数据"/>
      <sheetName val="1.2租赁商户明细"/>
      <sheetName val="2.0重点品牌商务条件&amp;销售"/>
      <sheetName val="业态分类"/>
    </sheetNames>
    <sheetDataSet>
      <sheetData sheetId="0" refreshError="1"/>
      <sheetData sheetId="1" refreshError="1"/>
      <sheetData sheetId="2"/>
      <sheetData sheetId="3" refreshError="1"/>
      <sheetData sheetId="4">
        <row r="1">
          <cell r="A1" t="str">
            <v>主力店</v>
          </cell>
          <cell r="B1" t="str">
            <v>次主力店</v>
          </cell>
          <cell r="C1" t="str">
            <v>一般商铺</v>
          </cell>
        </row>
      </sheetData>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23545;&#20844;&#20107;&#19994;&#37096;&#8212;&#30005;&#31639;&#34920;-&#25151;&#22320;&#20135;-&#39033;&#30446;...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3900.645421990739" createdVersion="3" refreshedVersion="4" minRefreshableVersion="3" recordCount="209" xr:uid="{00000000-000A-0000-FFFF-FFFF00000000}">
  <cacheSource type="worksheet">
    <worksheetSource ref="B4:P217" sheet="租赁商户明细" r:id="rId2"/>
  </cacheSource>
  <cacheFields count="14">
    <cacheField name="序号" numFmtId="0">
      <sharedItems containsString="0" containsBlank="1" containsNumber="1" containsInteger="1" minValue="1" maxValue="209"/>
    </cacheField>
    <cacheField name="类别" numFmtId="0">
      <sharedItems containsBlank="1"/>
    </cacheField>
    <cacheField name="楼层" numFmtId="0">
      <sharedItems containsBlank="1" count="6">
        <m/>
        <s v="1F"/>
        <s v="2F"/>
        <s v="3F"/>
        <s v="4F"/>
        <s v="BF"/>
      </sharedItems>
    </cacheField>
    <cacheField name="铺位号" numFmtId="0">
      <sharedItems containsBlank="1" containsMixedTypes="1" containsNumber="1" containsInteger="1" minValue="3028" maxValue="3028"/>
    </cacheField>
    <cacheField name="经营业态" numFmtId="0">
      <sharedItems containsBlank="1" count="7">
        <m/>
        <s v="主次力店"/>
        <s v="服饰配套"/>
        <s v="餐饮业态"/>
        <s v="服装服饰"/>
        <s v="生活配套"/>
        <s v="儿童业态"/>
      </sharedItems>
    </cacheField>
    <cacheField name="品牌" numFmtId="0">
      <sharedItems containsBlank="1"/>
    </cacheField>
    <cacheField name="是否为抽成商户" numFmtId="0">
      <sharedItems containsBlank="1"/>
    </cacheField>
    <cacheField name="租金收缴标准" numFmtId="0">
      <sharedItems containsBlank="1"/>
    </cacheField>
    <cacheField name="若为抽成，请填写抽成比例" numFmtId="0">
      <sharedItems containsString="0" containsBlank="1" containsNumber="1" minValue="1.7500000000000002E-2" maxValue="0.11"/>
    </cacheField>
    <cacheField name="租赁面积_x000a_（单位：㎡）" numFmtId="0">
      <sharedItems containsString="0" containsBlank="1" containsNumber="1" minValue="13.78" maxValue="5641.5" count="191">
        <m/>
        <n v="1332.6"/>
        <n v="89.73"/>
        <n v="149.78"/>
        <n v="132.94"/>
        <n v="113.76"/>
        <n v="96.02"/>
        <n v="85.44"/>
        <n v="272.20999999999998"/>
        <n v="262.74"/>
        <n v="118.02"/>
        <n v="114.09"/>
        <n v="110.52"/>
        <n v="155.88"/>
        <n v="133.76"/>
        <n v="104.37"/>
        <n v="46.24"/>
        <n v="80.62"/>
        <n v="286.26"/>
        <n v="80.8"/>
        <n v="100.3"/>
        <n v="148.32"/>
        <n v="72.72"/>
        <n v="83.63"/>
        <n v="128.94"/>
        <n v="122.75"/>
        <n v="154.78"/>
        <n v="146.36000000000001"/>
        <n v="135.52000000000001"/>
        <n v="114.11"/>
        <n v="116.83"/>
        <n v="53.18"/>
        <n v="193.76"/>
        <n v="162.56"/>
        <n v="165.97"/>
        <n v="165.96"/>
        <n v="94.91"/>
        <n v="84.48"/>
        <n v="146.72"/>
        <n v="107.55"/>
        <n v="129.34"/>
        <n v="133.65"/>
        <n v="135.80000000000001"/>
        <n v="122.28"/>
        <n v="126.85"/>
        <n v="91.19"/>
        <n v="57.06"/>
        <n v="99.93"/>
        <n v="88.73"/>
        <n v="936.76"/>
        <n v="1031.43"/>
        <n v="267.85000000000002"/>
        <n v="1536.62"/>
        <n v="79.55"/>
        <n v="329.33"/>
        <n v="179.4"/>
        <n v="189.59"/>
        <n v="81.25"/>
        <n v="101.47"/>
        <n v="79.48"/>
        <n v="180.39"/>
        <n v="173.73"/>
        <n v="80.959999999999994"/>
        <n v="31.33"/>
        <n v="218.05"/>
        <n v="162.74"/>
        <n v="66.790000000000006"/>
        <n v="87.7"/>
        <n v="110.55"/>
        <n v="87.38"/>
        <n v="108.58"/>
        <n v="311.45999999999998"/>
        <n v="102.56"/>
        <n v="146.08000000000001"/>
        <n v="152.82"/>
        <n v="103"/>
        <n v="102.34"/>
        <n v="47.33"/>
        <n v="59.91"/>
        <n v="93.67"/>
        <n v="133.94"/>
        <n v="161.4"/>
        <n v="161.79"/>
        <n v="159.28"/>
        <n v="89.96"/>
        <n v="80.59"/>
        <n v="57.55"/>
        <n v="86.64"/>
        <n v="154.6"/>
        <n v="119.8"/>
        <n v="214.55"/>
        <n v="127.1"/>
        <n v="124.01"/>
        <n v="64.36"/>
        <n v="1024.92"/>
        <n v="1215.0999999999999"/>
        <n v="171.84"/>
        <n v="182.33"/>
        <n v="2452.91"/>
        <n v="117.57"/>
        <n v="346.02"/>
        <n v="252.45"/>
        <n v="81.099999999999994"/>
        <n v="31.41"/>
        <n v="94.97"/>
        <n v="82.91"/>
        <n v="71.89"/>
        <n v="400.3"/>
        <n v="132.34"/>
        <n v="377.24"/>
        <n v="135.44999999999999"/>
        <n v="248.33"/>
        <n v="152.83000000000001"/>
        <n v="103.47"/>
        <n v="102.31"/>
        <n v="86.2"/>
        <n v="128.6"/>
        <n v="136.49"/>
        <n v="77.099999999999994"/>
        <n v="93.85"/>
        <n v="134.58000000000001"/>
        <n v="162.04"/>
        <n v="159.6"/>
        <n v="214.81"/>
        <n v="247.13"/>
        <n v="43.09"/>
        <n v="80.94"/>
        <n v="2539.0300000000002"/>
        <n v="5641.5"/>
        <n v="220.41"/>
        <n v="264.7"/>
        <n v="143.30000000000001"/>
        <n v="97.95"/>
        <n v="238.54"/>
        <n v="249.45"/>
        <n v="132.86000000000001"/>
        <n v="92.93"/>
        <n v="79.83"/>
        <n v="283.89"/>
        <n v="308.39"/>
        <n v="369.94"/>
        <n v="135.84"/>
        <n v="100.86"/>
        <n v="329.53"/>
        <n v="228.62"/>
        <n v="73.22"/>
        <n v="86.93"/>
        <n v="98.61"/>
        <n v="286.98"/>
        <n v="59.92"/>
        <n v="227.61"/>
        <n v="276.72000000000003"/>
        <n v="159.91"/>
        <n v="144.19"/>
        <n v="274.41000000000003"/>
        <n v="214.82"/>
        <n v="247.35"/>
        <n v="124.02"/>
        <n v="57.98"/>
        <n v="67.099999999999994"/>
        <n v="52.13"/>
        <n v="14.2"/>
        <n v="15.22"/>
        <n v="18.649999999999999"/>
        <n v="1434"/>
        <n v="17.260000000000002"/>
        <n v="17.53"/>
        <n v="32.479999999999997"/>
        <n v="18.3"/>
        <n v="18.600000000000001"/>
        <n v="120"/>
        <n v="25.76"/>
        <n v="19.260000000000002"/>
        <n v="14.16"/>
        <n v="95"/>
        <n v="62.47"/>
        <n v="47.8"/>
        <n v="30.77"/>
        <n v="16.600000000000001"/>
        <n v="13.78"/>
        <n v="38.770000000000003"/>
        <n v="39.479999999999997"/>
        <n v="30.01"/>
        <n v="26.03"/>
        <n v="29"/>
        <n v="21.19"/>
        <n v="28.41"/>
        <n v="74.5"/>
        <n v="28.95"/>
        <n v="63.7"/>
        <n v="32.79"/>
      </sharedItems>
    </cacheField>
    <cacheField name="租金标准_x000a_（单位：元/㎡/月）" numFmtId="0">
      <sharedItems containsString="0" containsBlank="1" containsNumber="1" minValue="20.54" maxValue="300" count="64">
        <m/>
        <n v="62"/>
        <n v="185"/>
        <n v="200"/>
        <n v="230"/>
        <n v="225"/>
        <n v="190"/>
        <n v="68.34"/>
        <n v="56.56"/>
        <n v="220"/>
        <n v="210"/>
        <n v="270"/>
        <n v="180"/>
        <n v="80"/>
        <n v="195"/>
        <n v="255"/>
        <n v="226.2"/>
        <n v="175"/>
        <n v="215"/>
        <n v="265"/>
        <n v="170"/>
        <n v="140"/>
        <n v="235"/>
        <n v="60"/>
        <n v="59.58"/>
        <n v="126.18"/>
        <n v="45"/>
        <n v="85"/>
        <n v="100"/>
        <n v="155"/>
        <n v="260"/>
        <n v="150"/>
        <n v="115"/>
        <n v="205"/>
        <n v="300"/>
        <n v="130"/>
        <n v="165"/>
        <n v="50"/>
        <n v="53"/>
        <n v="105"/>
        <n v="70"/>
        <n v="31"/>
        <n v="145"/>
        <n v="90"/>
        <n v="120"/>
        <n v="160"/>
        <n v="125"/>
        <n v="75"/>
        <n v="56"/>
        <n v="20.54"/>
        <n v="135"/>
        <n v="110"/>
        <n v="108"/>
        <n v="82"/>
        <n v="23.2"/>
        <n v="76"/>
        <n v="67"/>
        <n v="55"/>
        <n v="147"/>
        <n v="42"/>
        <n v="151"/>
        <n v="188"/>
        <n v="65"/>
        <n v="88"/>
      </sharedItems>
    </cacheField>
    <cacheField name="月租金标准（元）" numFmtId="0">
      <sharedItems containsString="0" containsBlank="1" containsNumber="1" minValue="1246.2" maxValue="142185.68000000002"/>
    </cacheField>
    <cacheField name="管理费标准_x000a_（单位：元/㎡/月）" numFmtId="0">
      <sharedItems containsString="0" containsBlank="1" containsNumber="1" minValue="8" maxValue="55" count="14">
        <m/>
        <n v="18"/>
        <n v="55"/>
        <n v="35"/>
        <n v="40"/>
        <n v="20"/>
        <n v="50"/>
        <n v="27.27"/>
        <n v="25"/>
        <n v="15"/>
        <n v="8"/>
        <n v="9.81"/>
        <n v="30"/>
        <n v="10"/>
      </sharedItems>
    </cacheField>
    <cacheField name="月管理费标准（元）" numFmtId="0">
      <sharedItems containsString="0" containsBlank="1" containsNumber="1" minValue="206.7" maxValue="55343.11500000000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09">
  <r>
    <m/>
    <m/>
    <x v="0"/>
    <m/>
    <x v="0"/>
    <m/>
    <m/>
    <m/>
    <m/>
    <x v="0"/>
    <x v="0"/>
    <m/>
    <x v="0"/>
    <m/>
  </r>
  <r>
    <n v="1"/>
    <s v="次主力店"/>
    <x v="1"/>
    <s v="1001,1056,1057"/>
    <x v="1"/>
    <s v="美特斯邦威"/>
    <s v="否"/>
    <s v="固定租金"/>
    <m/>
    <x v="1"/>
    <x v="1"/>
    <n v="82621.2"/>
    <x v="1"/>
    <n v="23986.799999999999"/>
  </r>
  <r>
    <n v="2"/>
    <s v="一般商铺"/>
    <x v="1"/>
    <s v="1002"/>
    <x v="2"/>
    <s v="SAMSUNG"/>
    <s v="否"/>
    <s v="固定租金"/>
    <m/>
    <x v="2"/>
    <x v="2"/>
    <n v="16600.05"/>
    <x v="2"/>
    <n v="4935.1500000000005"/>
  </r>
  <r>
    <n v="3"/>
    <s v="一般商铺"/>
    <x v="1"/>
    <s v="1003"/>
    <x v="2"/>
    <s v="小米"/>
    <s v="否"/>
    <s v="固定租金"/>
    <m/>
    <x v="3"/>
    <x v="3"/>
    <n v="29956"/>
    <x v="2"/>
    <n v="8237.9"/>
  </r>
  <r>
    <n v="4"/>
    <s v="一般商铺"/>
    <x v="1"/>
    <s v="1005"/>
    <x v="2"/>
    <s v="HUAWEI"/>
    <s v="否"/>
    <s v="固定租金"/>
    <m/>
    <x v="4"/>
    <x v="4"/>
    <n v="30576.2"/>
    <x v="2"/>
    <n v="7311.7"/>
  </r>
  <r>
    <n v="5"/>
    <s v="一般商铺"/>
    <x v="1"/>
    <s v="1006"/>
    <x v="2"/>
    <s v="中国黄金"/>
    <s v="否"/>
    <s v="固定租金"/>
    <m/>
    <x v="5"/>
    <x v="5"/>
    <n v="25596"/>
    <x v="2"/>
    <n v="6256.8"/>
  </r>
  <r>
    <n v="6"/>
    <s v="一般商铺"/>
    <x v="1"/>
    <s v="1007"/>
    <x v="2"/>
    <s v="钻石世家"/>
    <s v="否"/>
    <s v="固定租金"/>
    <m/>
    <x v="6"/>
    <x v="4"/>
    <n v="22084.6"/>
    <x v="2"/>
    <n v="5281.0999999999995"/>
  </r>
  <r>
    <n v="7"/>
    <s v="一般商铺"/>
    <x v="1"/>
    <s v="1008-1"/>
    <x v="3"/>
    <s v="布莱登"/>
    <s v="否"/>
    <s v="固定租金"/>
    <m/>
    <x v="7"/>
    <x v="6"/>
    <n v="16233.6"/>
    <x v="2"/>
    <n v="4699.2"/>
  </r>
  <r>
    <n v="8"/>
    <s v="一般商铺"/>
    <x v="1"/>
    <s v="1009-1,1010"/>
    <x v="2"/>
    <s v="屈臣氏"/>
    <s v="是"/>
    <s v="抽成租金"/>
    <n v="0.06"/>
    <x v="8"/>
    <x v="7"/>
    <n v="18602.831399999999"/>
    <x v="3"/>
    <n v="9527.3499999999985"/>
  </r>
  <r>
    <n v="9"/>
    <s v="一般商铺"/>
    <x v="1"/>
    <s v="1009-2"/>
    <x v="3"/>
    <s v="汉堡王"/>
    <s v="是"/>
    <s v="抽成租金"/>
    <n v="7.0000000000000007E-2"/>
    <x v="9"/>
    <x v="8"/>
    <n v="14860.574400000001"/>
    <x v="4"/>
    <n v="10509.6"/>
  </r>
  <r>
    <n v="10"/>
    <s v="一般商铺"/>
    <x v="1"/>
    <s v="1011"/>
    <x v="2"/>
    <s v="菁一"/>
    <s v="否"/>
    <s v="固定租金"/>
    <m/>
    <x v="10"/>
    <x v="9"/>
    <n v="25964.399999999998"/>
    <x v="2"/>
    <n v="6491.0999999999995"/>
  </r>
  <r>
    <n v="11"/>
    <s v="一般商铺"/>
    <x v="1"/>
    <s v="1012"/>
    <x v="4"/>
    <s v="恩岚"/>
    <s v="否"/>
    <s v="固定租金"/>
    <m/>
    <x v="11"/>
    <x v="5"/>
    <n v="25670.25"/>
    <x v="2"/>
    <n v="6274.95"/>
  </r>
  <r>
    <n v="12"/>
    <s v="一般商铺"/>
    <x v="1"/>
    <s v="1013"/>
    <x v="4"/>
    <s v="Pote"/>
    <s v="否"/>
    <s v="固定租金"/>
    <m/>
    <x v="12"/>
    <x v="10"/>
    <n v="23209.200000000001"/>
    <x v="2"/>
    <n v="6078.5999999999995"/>
  </r>
  <r>
    <n v="13"/>
    <s v="一般商铺"/>
    <x v="1"/>
    <s v="1015"/>
    <x v="4"/>
    <s v="拉夏贝尔"/>
    <s v="否"/>
    <s v="固定租金"/>
    <m/>
    <x v="13"/>
    <x v="2"/>
    <n v="28837.8"/>
    <x v="2"/>
    <n v="8573.4"/>
  </r>
  <r>
    <n v="14"/>
    <s v="一般商铺"/>
    <x v="1"/>
    <s v="1016"/>
    <x v="2"/>
    <s v="卡帝乐鳄鱼"/>
    <s v="否"/>
    <s v="固定租金"/>
    <m/>
    <x v="14"/>
    <x v="9"/>
    <n v="29427.199999999997"/>
    <x v="2"/>
    <n v="7356.7999999999993"/>
  </r>
  <r>
    <n v="15"/>
    <s v="一般商铺"/>
    <x v="1"/>
    <s v="1017"/>
    <x v="4"/>
    <s v="木与山"/>
    <s v="否"/>
    <s v="固定租金"/>
    <m/>
    <x v="15"/>
    <x v="5"/>
    <n v="23483.25"/>
    <x v="2"/>
    <n v="5740.35"/>
  </r>
  <r>
    <n v="16"/>
    <s v="一般商铺"/>
    <x v="1"/>
    <s v="1018"/>
    <x v="2"/>
    <s v="LOHO"/>
    <s v="否"/>
    <s v="固定租金"/>
    <m/>
    <x v="16"/>
    <x v="11"/>
    <n v="12484.800000000001"/>
    <x v="2"/>
    <n v="2543.2000000000003"/>
  </r>
  <r>
    <n v="17"/>
    <s v="一般商铺"/>
    <x v="1"/>
    <s v="1019"/>
    <x v="3"/>
    <s v="满记甜品"/>
    <s v="否"/>
    <s v="固定租金"/>
    <m/>
    <x v="17"/>
    <x v="12"/>
    <n v="14511.6"/>
    <x v="2"/>
    <n v="4434.1000000000004"/>
  </r>
  <r>
    <n v="18"/>
    <s v="一般商铺"/>
    <x v="1"/>
    <s v="1020,1021"/>
    <x v="4"/>
    <s v="ONLY"/>
    <s v="否"/>
    <s v="固定租金"/>
    <m/>
    <x v="18"/>
    <x v="13"/>
    <n v="22900.799999999999"/>
    <x v="2"/>
    <n v="15744.3"/>
  </r>
  <r>
    <n v="19"/>
    <s v="一般商铺"/>
    <x v="1"/>
    <s v="1022"/>
    <x v="2"/>
    <s v="LANO"/>
    <s v="否"/>
    <s v="固定租金"/>
    <m/>
    <x v="19"/>
    <x v="4"/>
    <n v="18584"/>
    <x v="2"/>
    <n v="4444"/>
  </r>
  <r>
    <n v="20"/>
    <s v="一般商铺"/>
    <x v="1"/>
    <s v="1023"/>
    <x v="4"/>
    <s v="波司登"/>
    <s v="否"/>
    <s v="固定租金"/>
    <m/>
    <x v="20"/>
    <x v="14"/>
    <n v="19558.5"/>
    <x v="2"/>
    <n v="5516.5"/>
  </r>
  <r>
    <n v="21"/>
    <s v="一般商铺"/>
    <x v="1"/>
    <s v="1025"/>
    <x v="4"/>
    <s v="波司登"/>
    <s v="否"/>
    <s v="固定租金"/>
    <m/>
    <x v="21"/>
    <x v="14"/>
    <n v="28922.399999999998"/>
    <x v="2"/>
    <n v="8157.5999999999995"/>
  </r>
  <r>
    <n v="22"/>
    <s v="一般商铺"/>
    <x v="1"/>
    <s v="1026"/>
    <x v="2"/>
    <s v="莱绅通灵"/>
    <s v="否"/>
    <s v="固定租金"/>
    <m/>
    <x v="22"/>
    <x v="15"/>
    <n v="18543.599999999999"/>
    <x v="2"/>
    <n v="3999.6"/>
  </r>
  <r>
    <n v="23"/>
    <s v="一般商铺"/>
    <x v="1"/>
    <s v="1027"/>
    <x v="2"/>
    <s v="克徕帝"/>
    <s v="否"/>
    <s v="固定租金"/>
    <m/>
    <x v="23"/>
    <x v="15"/>
    <n v="21325.649999999998"/>
    <x v="2"/>
    <n v="4599.6499999999996"/>
  </r>
  <r>
    <n v="24"/>
    <s v="一般商铺"/>
    <x v="1"/>
    <s v="1029"/>
    <x v="3"/>
    <s v="星巴克"/>
    <s v="是"/>
    <s v="抽成租金"/>
    <n v="7.0000000000000007E-2"/>
    <x v="24"/>
    <x v="16"/>
    <n v="29166.227999999999"/>
    <x v="5"/>
    <n v="2578.8000000000002"/>
  </r>
  <r>
    <n v="25"/>
    <s v="一般商铺"/>
    <x v="1"/>
    <s v="1030"/>
    <x v="2"/>
    <s v="周大福"/>
    <s v="否"/>
    <s v="固定租金"/>
    <m/>
    <x v="25"/>
    <x v="3"/>
    <n v="24550"/>
    <x v="6"/>
    <n v="6137.5"/>
  </r>
  <r>
    <n v="26"/>
    <s v="一般商铺"/>
    <x v="1"/>
    <s v="1031"/>
    <x v="4"/>
    <s v="YOUNGOR"/>
    <s v="否"/>
    <s v="固定租金"/>
    <m/>
    <x v="26"/>
    <x v="17"/>
    <n v="27086.5"/>
    <x v="2"/>
    <n v="8512.9"/>
  </r>
  <r>
    <n v="27"/>
    <s v="一般商铺"/>
    <x v="1"/>
    <s v="1032"/>
    <x v="4"/>
    <s v="阿玛施"/>
    <s v="否"/>
    <s v="固定租金"/>
    <m/>
    <x v="27"/>
    <x v="17"/>
    <n v="25613.000000000004"/>
    <x v="2"/>
    <n v="8049.8000000000011"/>
  </r>
  <r>
    <n v="28"/>
    <s v="一般商铺"/>
    <x v="1"/>
    <s v="1033"/>
    <x v="4"/>
    <s v="哥弟"/>
    <s v="否"/>
    <s v="固定租金"/>
    <m/>
    <x v="28"/>
    <x v="17"/>
    <n v="23716"/>
    <x v="2"/>
    <n v="7453.6"/>
  </r>
  <r>
    <n v="29"/>
    <s v="一般商铺"/>
    <x v="1"/>
    <s v="1035"/>
    <x v="4"/>
    <s v="唯弋"/>
    <s v="否"/>
    <s v="固定租金"/>
    <m/>
    <x v="29"/>
    <x v="18"/>
    <n v="24533.65"/>
    <x v="2"/>
    <n v="6276.05"/>
  </r>
  <r>
    <n v="30"/>
    <s v="一般商铺"/>
    <x v="1"/>
    <s v="1036"/>
    <x v="4"/>
    <s v="Firstview"/>
    <s v="否"/>
    <s v="固定租金"/>
    <m/>
    <x v="30"/>
    <x v="4"/>
    <n v="26870.899999999998"/>
    <x v="2"/>
    <n v="6425.65"/>
  </r>
  <r>
    <n v="31"/>
    <s v="一般商铺"/>
    <x v="1"/>
    <s v="1037"/>
    <x v="2"/>
    <s v="德莎"/>
    <s v="否"/>
    <s v="固定租金"/>
    <m/>
    <x v="31"/>
    <x v="19"/>
    <n v="14092.7"/>
    <x v="2"/>
    <n v="2924.9"/>
  </r>
  <r>
    <n v="32"/>
    <s v="一般商铺"/>
    <x v="1"/>
    <s v="1038"/>
    <x v="4"/>
    <s v="杰克琼斯"/>
    <s v="否"/>
    <s v="固定租金"/>
    <m/>
    <x v="32"/>
    <x v="13"/>
    <n v="15500.8"/>
    <x v="2"/>
    <n v="10656.8"/>
  </r>
  <r>
    <n v="33"/>
    <s v="一般商铺"/>
    <x v="1"/>
    <s v="1039"/>
    <x v="4"/>
    <s v="VERO MODA"/>
    <s v="否"/>
    <s v="固定租金"/>
    <m/>
    <x v="33"/>
    <x v="13"/>
    <n v="13004.8"/>
    <x v="2"/>
    <n v="8940.7999999999993"/>
  </r>
  <r>
    <n v="34"/>
    <s v="一般商铺"/>
    <x v="1"/>
    <s v="1040"/>
    <x v="4"/>
    <s v="海澜之家"/>
    <s v="否"/>
    <s v="固定租金"/>
    <m/>
    <x v="34"/>
    <x v="20"/>
    <n v="28214.9"/>
    <x v="2"/>
    <n v="9128.35"/>
  </r>
  <r>
    <n v="35"/>
    <s v="一般商铺"/>
    <x v="1"/>
    <s v="1041"/>
    <x v="4"/>
    <s v="秋水伊人"/>
    <s v="否"/>
    <s v="固定租金"/>
    <m/>
    <x v="35"/>
    <x v="21"/>
    <n v="23234.400000000001"/>
    <x v="2"/>
    <n v="9127.8000000000011"/>
  </r>
  <r>
    <n v="36"/>
    <s v="一般商铺"/>
    <x v="1"/>
    <s v="1042"/>
    <x v="2"/>
    <s v="潮宏基"/>
    <s v="否"/>
    <s v="固定租金"/>
    <m/>
    <x v="36"/>
    <x v="10"/>
    <n v="19931.099999999999"/>
    <x v="2"/>
    <n v="5220.05"/>
  </r>
  <r>
    <n v="37"/>
    <s v="一般商铺"/>
    <x v="1"/>
    <s v="1043"/>
    <x v="2"/>
    <s v="金伯利"/>
    <s v="否"/>
    <s v="固定租金"/>
    <m/>
    <x v="37"/>
    <x v="15"/>
    <n v="21542.400000000001"/>
    <x v="2"/>
    <n v="4646.4000000000005"/>
  </r>
  <r>
    <n v="38"/>
    <s v="一般商铺"/>
    <x v="1"/>
    <s v="1045"/>
    <x v="4"/>
    <s v="思莱德"/>
    <s v="否"/>
    <s v="固定租金"/>
    <m/>
    <x v="38"/>
    <x v="13"/>
    <n v="11737.6"/>
    <x v="2"/>
    <n v="8069.6"/>
  </r>
  <r>
    <n v="39"/>
    <s v="一般商铺"/>
    <x v="1"/>
    <s v="1046"/>
    <x v="4"/>
    <s v="达衣岩"/>
    <s v="否"/>
    <s v="固定租金"/>
    <m/>
    <x v="39"/>
    <x v="10"/>
    <n v="22585.5"/>
    <x v="2"/>
    <n v="5915.25"/>
  </r>
  <r>
    <n v="40"/>
    <s v="一般商铺"/>
    <x v="1"/>
    <s v="1047"/>
    <x v="4"/>
    <s v="SETIROM"/>
    <s v="否"/>
    <s v="固定租金"/>
    <m/>
    <x v="40"/>
    <x v="10"/>
    <n v="27161.4"/>
    <x v="2"/>
    <n v="7113.7"/>
  </r>
  <r>
    <n v="41"/>
    <s v="一般商铺"/>
    <x v="1"/>
    <s v="1048"/>
    <x v="4"/>
    <s v="FProfessor"/>
    <s v="否"/>
    <s v="固定租金"/>
    <m/>
    <x v="41"/>
    <x v="10"/>
    <n v="28066.5"/>
    <x v="2"/>
    <n v="7350.75"/>
  </r>
  <r>
    <n v="42"/>
    <s v="一般商铺"/>
    <x v="1"/>
    <s v="1049"/>
    <x v="4"/>
    <s v="POLO SPORT"/>
    <s v="否"/>
    <s v="固定租金"/>
    <m/>
    <x v="42"/>
    <x v="9"/>
    <n v="29876.000000000004"/>
    <x v="2"/>
    <n v="7469.0000000000009"/>
  </r>
  <r>
    <n v="43"/>
    <s v="一般商铺"/>
    <x v="1"/>
    <s v="1050"/>
    <x v="4"/>
    <s v="La Babite"/>
    <s v="否"/>
    <s v="固定租金"/>
    <m/>
    <x v="43"/>
    <x v="3"/>
    <n v="24456"/>
    <x v="2"/>
    <n v="6725.4"/>
  </r>
  <r>
    <n v="44"/>
    <s v="一般商铺"/>
    <x v="1"/>
    <s v="1051"/>
    <x v="4"/>
    <s v="S.DEER"/>
    <s v="否"/>
    <s v="固定租金"/>
    <m/>
    <x v="44"/>
    <x v="10"/>
    <n v="26638.5"/>
    <x v="2"/>
    <n v="6976.75"/>
  </r>
  <r>
    <n v="45"/>
    <s v="一般商铺"/>
    <x v="1"/>
    <s v="1052-1"/>
    <x v="2"/>
    <s v="YEEZY"/>
    <s v="否"/>
    <s v="固定租金"/>
    <m/>
    <x v="45"/>
    <x v="4"/>
    <n v="20973.7"/>
    <x v="2"/>
    <n v="5015.45"/>
  </r>
  <r>
    <n v="46"/>
    <s v="一般商铺"/>
    <x v="1"/>
    <s v="1052-2"/>
    <x v="2"/>
    <s v="蜜思肤"/>
    <s v="否"/>
    <s v="固定租金"/>
    <m/>
    <x v="46"/>
    <x v="4"/>
    <n v="13123.800000000001"/>
    <x v="2"/>
    <n v="3138.3"/>
  </r>
  <r>
    <n v="47"/>
    <s v="一般商铺"/>
    <x v="1"/>
    <s v="1053"/>
    <x v="2"/>
    <s v="苹果体验店"/>
    <s v="否"/>
    <s v="固定租金"/>
    <m/>
    <x v="47"/>
    <x v="18"/>
    <n v="21484.95"/>
    <x v="2"/>
    <n v="5496.1500000000005"/>
  </r>
  <r>
    <n v="48"/>
    <s v="一般商铺"/>
    <x v="1"/>
    <s v="1055"/>
    <x v="2"/>
    <s v="CARVING TIME"/>
    <s v="否"/>
    <s v="固定租金"/>
    <m/>
    <x v="48"/>
    <x v="22"/>
    <n v="20851.55"/>
    <x v="2"/>
    <n v="4880.1500000000005"/>
  </r>
  <r>
    <n v="49"/>
    <s v="次主力店"/>
    <x v="1"/>
    <s v="1058"/>
    <x v="1"/>
    <s v="多走路"/>
    <s v="否"/>
    <s v="固定租金"/>
    <m/>
    <x v="49"/>
    <x v="23"/>
    <n v="56205.599999999999"/>
    <x v="1"/>
    <n v="16861.68"/>
  </r>
  <r>
    <n v="50"/>
    <s v="一般商铺"/>
    <x v="2"/>
    <s v="1008-2,2008,2009,2010,2007"/>
    <x v="3"/>
    <s v="海底捞"/>
    <s v="是"/>
    <s v="保底+抽成租金"/>
    <n v="1.7500000000000002E-2"/>
    <x v="50"/>
    <x v="24"/>
    <n v="61452.599399999999"/>
    <x v="7"/>
    <n v="28127.096100000002"/>
  </r>
  <r>
    <n v="51"/>
    <s v="一般商铺"/>
    <x v="1"/>
    <s v="1028,2029-2"/>
    <x v="3"/>
    <s v="肯德基"/>
    <s v="是"/>
    <s v="抽成租金"/>
    <n v="0.06"/>
    <x v="51"/>
    <x v="25"/>
    <n v="33797.313000000002"/>
    <x v="8"/>
    <n v="6696.2500000000009"/>
  </r>
  <r>
    <n v="52"/>
    <s v="次主力店"/>
    <x v="2"/>
    <s v="2001"/>
    <x v="1"/>
    <s v="多奇妙"/>
    <s v="否"/>
    <s v="固定租金"/>
    <m/>
    <x v="52"/>
    <x v="26"/>
    <n v="69147.899999999994"/>
    <x v="9"/>
    <n v="23049.3"/>
  </r>
  <r>
    <n v="53"/>
    <s v="一般商铺"/>
    <x v="2"/>
    <s v="2002"/>
    <x v="2"/>
    <s v="陆小陆"/>
    <s v="否"/>
    <s v="固定租金"/>
    <m/>
    <x v="53"/>
    <x v="3"/>
    <n v="15910"/>
    <x v="2"/>
    <n v="4375.25"/>
  </r>
  <r>
    <n v="54"/>
    <s v="一般商铺"/>
    <x v="2"/>
    <s v="2003,2005"/>
    <x v="5"/>
    <s v="罗莱"/>
    <s v="否"/>
    <s v="固定租金"/>
    <m/>
    <x v="54"/>
    <x v="27"/>
    <n v="27993.05"/>
    <x v="6"/>
    <n v="16466.5"/>
  </r>
  <r>
    <n v="55"/>
    <s v="一般商铺"/>
    <x v="2"/>
    <s v="2006"/>
    <x v="5"/>
    <s v="名创优品"/>
    <s v="否"/>
    <s v="固定租金"/>
    <m/>
    <x v="55"/>
    <x v="21"/>
    <n v="25116"/>
    <x v="2"/>
    <n v="9867"/>
  </r>
  <r>
    <n v="56"/>
    <s v="一般商铺"/>
    <x v="2"/>
    <s v="2011"/>
    <x v="5"/>
    <s v="棱镜密室逃脱"/>
    <s v="否"/>
    <s v="固定租金"/>
    <m/>
    <x v="56"/>
    <x v="28"/>
    <n v="18959"/>
    <x v="2"/>
    <n v="10427.450000000001"/>
  </r>
  <r>
    <n v="57"/>
    <s v="一般商铺"/>
    <x v="2"/>
    <s v="2012"/>
    <x v="2"/>
    <s v="曼妮芬"/>
    <s v="否"/>
    <s v="固定租金"/>
    <m/>
    <x v="57"/>
    <x v="18"/>
    <n v="17468.75"/>
    <x v="2"/>
    <n v="4468.75"/>
  </r>
  <r>
    <n v="58"/>
    <s v="一般商铺"/>
    <x v="2"/>
    <s v="2013"/>
    <x v="4"/>
    <s v="计术"/>
    <s v="否"/>
    <s v="固定租金"/>
    <m/>
    <x v="58"/>
    <x v="10"/>
    <n v="21308.7"/>
    <x v="2"/>
    <n v="5580.85"/>
  </r>
  <r>
    <n v="59"/>
    <s v="一般商铺"/>
    <x v="2"/>
    <s v="2015"/>
    <x v="5"/>
    <s v="同德眼科"/>
    <s v="否"/>
    <s v="固定租金"/>
    <m/>
    <x v="59"/>
    <x v="4"/>
    <n v="18280.400000000001"/>
    <x v="2"/>
    <n v="4371.4000000000005"/>
  </r>
  <r>
    <n v="60"/>
    <s v="一般商铺"/>
    <x v="2"/>
    <s v="2016"/>
    <x v="4"/>
    <s v="JOEONE"/>
    <s v="否"/>
    <s v="固定租金"/>
    <m/>
    <x v="60"/>
    <x v="29"/>
    <n v="27960.449999999997"/>
    <x v="2"/>
    <n v="9921.4499999999989"/>
  </r>
  <r>
    <n v="61"/>
    <s v="一般商铺"/>
    <x v="2"/>
    <s v="2017"/>
    <x v="2"/>
    <s v="HANNA′SU"/>
    <s v="否"/>
    <s v="固定租金"/>
    <m/>
    <x v="61"/>
    <x v="29"/>
    <n v="26928.149999999998"/>
    <x v="2"/>
    <n v="9555.15"/>
  </r>
  <r>
    <n v="62"/>
    <s v="一般商铺"/>
    <x v="2"/>
    <s v="2018"/>
    <x v="4"/>
    <s v="KzrKze"/>
    <s v="否"/>
    <s v="固定租金"/>
    <m/>
    <x v="62"/>
    <x v="3"/>
    <n v="16191.999999999998"/>
    <x v="2"/>
    <n v="4452.7999999999993"/>
  </r>
  <r>
    <n v="63"/>
    <s v="一般商铺"/>
    <x v="2"/>
    <s v="2019"/>
    <x v="2"/>
    <s v="麦吉丽"/>
    <s v="否"/>
    <s v="固定租金"/>
    <m/>
    <x v="63"/>
    <x v="30"/>
    <n v="8145.7999999999993"/>
    <x v="2"/>
    <n v="1723.1499999999999"/>
  </r>
  <r>
    <n v="64"/>
    <s v="一般商铺"/>
    <x v="2"/>
    <s v="2020,2021"/>
    <x v="2"/>
    <s v="生活逗点"/>
    <s v="否"/>
    <s v="固定租金"/>
    <m/>
    <x v="64"/>
    <x v="31"/>
    <n v="32707.5"/>
    <x v="2"/>
    <n v="11992.75"/>
  </r>
  <r>
    <n v="65"/>
    <s v="一般商铺"/>
    <x v="2"/>
    <s v="2022"/>
    <x v="2"/>
    <s v="OMO"/>
    <s v="否"/>
    <s v="固定租金"/>
    <m/>
    <x v="65"/>
    <x v="17"/>
    <n v="28479.5"/>
    <x v="2"/>
    <n v="8950.7000000000007"/>
  </r>
  <r>
    <n v="66"/>
    <s v="一般商铺"/>
    <x v="2"/>
    <s v="2023"/>
    <x v="2"/>
    <s v="荣泰"/>
    <s v="否"/>
    <s v="固定租金"/>
    <m/>
    <x v="66"/>
    <x v="18"/>
    <n v="14359.850000000002"/>
    <x v="2"/>
    <n v="3673.4500000000003"/>
  </r>
  <r>
    <n v="67"/>
    <s v="一般商铺"/>
    <x v="2"/>
    <s v="2025"/>
    <x v="4"/>
    <s v="本涩女装"/>
    <s v="否"/>
    <s v="固定租金"/>
    <m/>
    <x v="67"/>
    <x v="10"/>
    <n v="18417"/>
    <x v="2"/>
    <n v="4823.5"/>
  </r>
  <r>
    <n v="68"/>
    <s v="一般商铺"/>
    <x v="2"/>
    <s v="2026"/>
    <x v="4"/>
    <s v="Sen Lin Niao "/>
    <s v="否"/>
    <s v="固定租金"/>
    <m/>
    <x v="68"/>
    <x v="6"/>
    <n v="21004.5"/>
    <x v="2"/>
    <n v="6080.25"/>
  </r>
  <r>
    <n v="69"/>
    <s v="一般商铺"/>
    <x v="2"/>
    <s v="2027"/>
    <x v="4"/>
    <s v="banti"/>
    <s v="否"/>
    <s v="固定租金"/>
    <m/>
    <x v="69"/>
    <x v="5"/>
    <n v="19660.5"/>
    <x v="2"/>
    <n v="4805.8999999999996"/>
  </r>
  <r>
    <n v="70"/>
    <s v="一般商铺"/>
    <x v="2"/>
    <s v="2028"/>
    <x v="2"/>
    <s v="秀黛"/>
    <s v="否"/>
    <s v="固定租金"/>
    <m/>
    <x v="70"/>
    <x v="6"/>
    <n v="20630.2"/>
    <x v="2"/>
    <n v="5971.9"/>
  </r>
  <r>
    <n v="71"/>
    <s v="一般商铺"/>
    <x v="2"/>
    <s v="2030,2029-1"/>
    <x v="5"/>
    <s v="维意定制"/>
    <s v="否"/>
    <s v="固定租金"/>
    <m/>
    <x v="71"/>
    <x v="32"/>
    <n v="35817.899999999994"/>
    <x v="2"/>
    <n v="17130.3"/>
  </r>
  <r>
    <n v="72"/>
    <s v="一般商铺"/>
    <x v="2"/>
    <s v="2031"/>
    <x v="5"/>
    <s v="红豆居家"/>
    <s v="否"/>
    <s v="固定租金"/>
    <m/>
    <x v="72"/>
    <x v="3"/>
    <n v="20512"/>
    <x v="2"/>
    <n v="5640.8"/>
  </r>
  <r>
    <n v="73"/>
    <s v="一般商铺"/>
    <x v="2"/>
    <s v="2032"/>
    <x v="2"/>
    <s v="蜘蛛王"/>
    <s v="否"/>
    <s v="固定租金"/>
    <m/>
    <x v="73"/>
    <x v="3"/>
    <n v="29216.000000000004"/>
    <x v="2"/>
    <n v="8034.4000000000005"/>
  </r>
  <r>
    <n v="74"/>
    <s v="一般商铺"/>
    <x v="2"/>
    <s v="2033"/>
    <x v="4"/>
    <s v="shop 1972"/>
    <s v="否"/>
    <s v="固定租金"/>
    <m/>
    <x v="74"/>
    <x v="12"/>
    <n v="27507.599999999999"/>
    <x v="2"/>
    <n v="8405.1"/>
  </r>
  <r>
    <n v="75"/>
    <s v="一般商铺"/>
    <x v="2"/>
    <s v="2035"/>
    <x v="4"/>
    <s v="yarou雅柔"/>
    <s v="否"/>
    <s v="固定租金"/>
    <m/>
    <x v="75"/>
    <x v="33"/>
    <n v="21115"/>
    <x v="2"/>
    <n v="5665"/>
  </r>
  <r>
    <n v="76"/>
    <s v="一般商铺"/>
    <x v="2"/>
    <s v="2036"/>
    <x v="4"/>
    <s v="哩哩柠檬"/>
    <s v="否"/>
    <s v="固定租金"/>
    <m/>
    <x v="76"/>
    <x v="10"/>
    <n v="21491.4"/>
    <x v="2"/>
    <n v="5628.7"/>
  </r>
  <r>
    <n v="77"/>
    <s v="一般商铺"/>
    <x v="2"/>
    <s v="2037"/>
    <x v="3"/>
    <s v="一点点"/>
    <s v="否"/>
    <s v="固定租金"/>
    <m/>
    <x v="77"/>
    <x v="34"/>
    <n v="14199"/>
    <x v="2"/>
    <n v="2603.15"/>
  </r>
  <r>
    <n v="78"/>
    <s v="一般商铺"/>
    <x v="2"/>
    <s v="2038"/>
    <x v="2"/>
    <s v="宝岛眼镜"/>
    <s v="否"/>
    <s v="固定租金"/>
    <m/>
    <x v="78"/>
    <x v="9"/>
    <n v="13180.199999999999"/>
    <x v="2"/>
    <n v="3295.0499999999997"/>
  </r>
  <r>
    <n v="79"/>
    <s v="一般商铺"/>
    <x v="2"/>
    <s v="2039"/>
    <x v="4"/>
    <s v="彩库"/>
    <s v="否"/>
    <s v="固定租金"/>
    <m/>
    <x v="79"/>
    <x v="10"/>
    <n v="19670.7"/>
    <x v="2"/>
    <n v="5151.8500000000004"/>
  </r>
  <r>
    <n v="80"/>
    <s v="一般商铺"/>
    <x v="2"/>
    <s v="2040"/>
    <x v="4"/>
    <s v="IRA "/>
    <s v="否"/>
    <s v="固定租金"/>
    <m/>
    <x v="80"/>
    <x v="6"/>
    <n v="25448.6"/>
    <x v="2"/>
    <n v="7366.7"/>
  </r>
  <r>
    <n v="81"/>
    <s v="一般商铺"/>
    <x v="2"/>
    <s v="2041"/>
    <x v="4"/>
    <s v="M.D.Y"/>
    <s v="否"/>
    <s v="固定租金"/>
    <m/>
    <x v="81"/>
    <x v="17"/>
    <n v="28245"/>
    <x v="2"/>
    <n v="8877"/>
  </r>
  <r>
    <n v="82"/>
    <s v="一般商铺"/>
    <x v="2"/>
    <s v="2042"/>
    <x v="2"/>
    <s v="乐优家"/>
    <s v="否"/>
    <s v="固定租金"/>
    <m/>
    <x v="82"/>
    <x v="35"/>
    <n v="21032.7"/>
    <x v="2"/>
    <n v="8898.4499999999989"/>
  </r>
  <r>
    <n v="83"/>
    <s v="一般商铺"/>
    <x v="2"/>
    <s v="2043"/>
    <x v="4"/>
    <s v="柒牌"/>
    <s v="否"/>
    <s v="固定租金"/>
    <m/>
    <x v="83"/>
    <x v="36"/>
    <n v="26281.200000000001"/>
    <x v="2"/>
    <n v="8760.4"/>
  </r>
  <r>
    <n v="84"/>
    <s v="一般商铺"/>
    <x v="2"/>
    <s v="2045"/>
    <x v="2"/>
    <s v="伶俐精选"/>
    <s v="否"/>
    <s v="固定租金"/>
    <m/>
    <x v="84"/>
    <x v="18"/>
    <n v="19341.399999999998"/>
    <x v="2"/>
    <n v="4947.7999999999993"/>
  </r>
  <r>
    <n v="85"/>
    <s v="一般商铺"/>
    <x v="2"/>
    <s v="2046"/>
    <x v="2"/>
    <s v="OMI"/>
    <s v="否"/>
    <s v="固定租金"/>
    <m/>
    <x v="85"/>
    <x v="9"/>
    <n v="17729.8"/>
    <x v="2"/>
    <n v="4432.45"/>
  </r>
  <r>
    <n v="86"/>
    <s v="一般商铺"/>
    <x v="2"/>
    <s v="2047"/>
    <x v="2"/>
    <s v="茉莉屋"/>
    <s v="否"/>
    <s v="固定租金"/>
    <m/>
    <x v="86"/>
    <x v="9"/>
    <n v="12661"/>
    <x v="2"/>
    <n v="3165.25"/>
  </r>
  <r>
    <n v="87"/>
    <s v="一般商铺"/>
    <x v="2"/>
    <s v="2048"/>
    <x v="4"/>
    <s v="朗香"/>
    <s v="否"/>
    <s v="固定租金"/>
    <m/>
    <x v="87"/>
    <x v="10"/>
    <n v="18194.400000000001"/>
    <x v="2"/>
    <n v="4765.2"/>
  </r>
  <r>
    <n v="88"/>
    <s v="一般商铺"/>
    <x v="2"/>
    <s v="2049"/>
    <x v="4"/>
    <s v="MEFFAIR"/>
    <s v="否"/>
    <s v="固定租金"/>
    <m/>
    <x v="88"/>
    <x v="12"/>
    <n v="27828"/>
    <x v="2"/>
    <n v="8503"/>
  </r>
  <r>
    <n v="89"/>
    <s v="一般商铺"/>
    <x v="2"/>
    <s v="2050"/>
    <x v="2"/>
    <s v="YRC"/>
    <s v="否"/>
    <s v="固定租金"/>
    <m/>
    <x v="89"/>
    <x v="6"/>
    <n v="22762"/>
    <x v="2"/>
    <n v="6589"/>
  </r>
  <r>
    <n v="90"/>
    <s v="一般商铺"/>
    <x v="2"/>
    <s v="2051,2052"/>
    <x v="4"/>
    <s v="LILANZ"/>
    <s v="否"/>
    <s v="固定租金"/>
    <m/>
    <x v="90"/>
    <x v="6"/>
    <n v="40764.5"/>
    <x v="2"/>
    <n v="11800.25"/>
  </r>
  <r>
    <n v="91"/>
    <s v="一般商铺"/>
    <x v="2"/>
    <s v="2053"/>
    <x v="4"/>
    <s v="七匹狼"/>
    <s v="否"/>
    <s v="固定租金"/>
    <m/>
    <x v="91"/>
    <x v="3"/>
    <n v="25420"/>
    <x v="2"/>
    <n v="6990.5"/>
  </r>
  <r>
    <n v="92"/>
    <s v="一般商铺"/>
    <x v="2"/>
    <s v="2055"/>
    <x v="2"/>
    <s v="意尔康"/>
    <s v="否"/>
    <s v="固定租金"/>
    <m/>
    <x v="89"/>
    <x v="6"/>
    <n v="22762"/>
    <x v="2"/>
    <n v="6589"/>
  </r>
  <r>
    <n v="93"/>
    <s v="一般商铺"/>
    <x v="2"/>
    <s v="2056"/>
    <x v="5"/>
    <s v="笠禾"/>
    <s v="否"/>
    <s v="固定租金"/>
    <m/>
    <x v="92"/>
    <x v="2"/>
    <n v="22941.850000000002"/>
    <x v="2"/>
    <n v="6820.55"/>
  </r>
  <r>
    <n v="94"/>
    <s v="一般商铺"/>
    <x v="2"/>
    <s v="2057"/>
    <x v="2"/>
    <s v="北仓门"/>
    <s v="否"/>
    <s v="固定租金"/>
    <m/>
    <x v="93"/>
    <x v="4"/>
    <n v="14802.8"/>
    <x v="2"/>
    <n v="3539.8"/>
  </r>
  <r>
    <n v="95"/>
    <s v="次主力店"/>
    <x v="2"/>
    <s v="2058"/>
    <x v="1"/>
    <s v="滔博运动"/>
    <s v="否"/>
    <s v="固定租金"/>
    <m/>
    <x v="94"/>
    <x v="37"/>
    <n v="51246"/>
    <x v="1"/>
    <n v="18448.560000000001"/>
  </r>
  <r>
    <n v="96"/>
    <s v="主力店"/>
    <x v="3"/>
    <s v="3001"/>
    <x v="1"/>
    <s v="天空之城"/>
    <s v="否"/>
    <s v="固定租金"/>
    <m/>
    <x v="95"/>
    <x v="38"/>
    <n v="64400.299999999996"/>
    <x v="1"/>
    <n v="21871.8"/>
  </r>
  <r>
    <n v="97"/>
    <s v="一般商铺"/>
    <x v="3"/>
    <s v="3002"/>
    <x v="6"/>
    <s v="南冰"/>
    <s v="否"/>
    <s v="固定租金"/>
    <m/>
    <x v="96"/>
    <x v="39"/>
    <n v="18043.2"/>
    <x v="2"/>
    <n v="9451.2000000000007"/>
  </r>
  <r>
    <n v="98"/>
    <s v="一般商铺"/>
    <x v="3"/>
    <s v="3003"/>
    <x v="6"/>
    <s v="珠江"/>
    <s v="否"/>
    <s v="固定租金"/>
    <m/>
    <x v="97"/>
    <x v="40"/>
    <n v="12763.1"/>
    <x v="6"/>
    <n v="9116.5"/>
  </r>
  <r>
    <n v="99"/>
    <s v="主力店"/>
    <x v="3"/>
    <s v="3005"/>
    <x v="1"/>
    <s v="爱尚铜锣湾"/>
    <s v="否"/>
    <s v="固定租金"/>
    <m/>
    <x v="98"/>
    <x v="41"/>
    <n v="76040.209999999992"/>
    <x v="10"/>
    <n v="19623.28"/>
  </r>
  <r>
    <n v="100"/>
    <s v="一般商铺"/>
    <x v="3"/>
    <s v="3006"/>
    <x v="3"/>
    <s v="CoCo都可茶饮"/>
    <s v="否"/>
    <s v="固定租金"/>
    <m/>
    <x v="99"/>
    <x v="42"/>
    <n v="17047.649999999998"/>
    <x v="2"/>
    <n v="6466.3499999999995"/>
  </r>
  <r>
    <n v="101"/>
    <s v="一般商铺"/>
    <x v="3"/>
    <s v="3007"/>
    <x v="6"/>
    <s v="Little bee toys"/>
    <s v="否"/>
    <s v="固定租金"/>
    <m/>
    <x v="58"/>
    <x v="35"/>
    <n v="13191.1"/>
    <x v="2"/>
    <n v="5580.85"/>
  </r>
  <r>
    <n v="102"/>
    <s v="一般商铺"/>
    <x v="3"/>
    <s v="3008,3009"/>
    <x v="3"/>
    <s v="大渝火锅"/>
    <s v="否"/>
    <s v="固定租金"/>
    <m/>
    <x v="100"/>
    <x v="35"/>
    <n v="44982.6"/>
    <x v="2"/>
    <n v="19031.099999999999"/>
  </r>
  <r>
    <n v="103"/>
    <s v="一般商铺"/>
    <x v="3"/>
    <s v="3010"/>
    <x v="3"/>
    <s v="蛙知道"/>
    <s v="否"/>
    <s v="固定租金"/>
    <m/>
    <x v="101"/>
    <x v="43"/>
    <n v="22720.5"/>
    <x v="2"/>
    <n v="13884.75"/>
  </r>
  <r>
    <n v="104"/>
    <s v="一般商铺"/>
    <x v="3"/>
    <s v="3011"/>
    <x v="3"/>
    <s v="聪记香港糯米糍"/>
    <s v="否"/>
    <s v="固定租金"/>
    <m/>
    <x v="102"/>
    <x v="17"/>
    <n v="14192.499999999998"/>
    <x v="2"/>
    <n v="4460.5"/>
  </r>
  <r>
    <n v="105"/>
    <s v="一般商铺"/>
    <x v="3"/>
    <s v="3012"/>
    <x v="3"/>
    <s v="VQ"/>
    <s v="否"/>
    <s v="固定租金"/>
    <m/>
    <x v="103"/>
    <x v="34"/>
    <n v="9423"/>
    <x v="2"/>
    <n v="1727.55"/>
  </r>
  <r>
    <n v="106"/>
    <s v="一般商铺"/>
    <x v="3"/>
    <s v="3015"/>
    <x v="6"/>
    <s v="凤绫儿"/>
    <s v="否"/>
    <s v="固定租金"/>
    <m/>
    <x v="104"/>
    <x v="36"/>
    <n v="15670.05"/>
    <x v="2"/>
    <n v="5223.3500000000004"/>
  </r>
  <r>
    <n v="107"/>
    <s v="一般商铺"/>
    <x v="3"/>
    <s v="3016"/>
    <x v="5"/>
    <s v="巡茶"/>
    <s v="否"/>
    <s v="固定租金"/>
    <m/>
    <x v="105"/>
    <x v="17"/>
    <n v="14509.25"/>
    <x v="2"/>
    <n v="4560.05"/>
  </r>
  <r>
    <n v="108"/>
    <s v="一般商铺"/>
    <x v="3"/>
    <s v="3017"/>
    <x v="6"/>
    <s v="科思摩尔"/>
    <s v="否"/>
    <s v="固定租金"/>
    <m/>
    <x v="106"/>
    <x v="12"/>
    <n v="12940.2"/>
    <x v="2"/>
    <n v="3953.95"/>
  </r>
  <r>
    <n v="109"/>
    <s v="一般商铺"/>
    <x v="3"/>
    <s v="3018-1,3018-2"/>
    <x v="6"/>
    <s v="爱婴室"/>
    <s v="否"/>
    <s v="固定租金"/>
    <m/>
    <x v="107"/>
    <x v="39"/>
    <n v="42031.5"/>
    <x v="2"/>
    <n v="22016.5"/>
  </r>
  <r>
    <n v="110"/>
    <s v="一般商铺"/>
    <x v="3"/>
    <s v="3019"/>
    <x v="6"/>
    <s v="鱼乐贝贝"/>
    <s v="否"/>
    <s v="固定租金"/>
    <m/>
    <x v="108"/>
    <x v="44"/>
    <n v="15880.800000000001"/>
    <x v="2"/>
    <n v="7278.7"/>
  </r>
  <r>
    <n v="111"/>
    <s v="一般商铺"/>
    <x v="3"/>
    <s v="3020,3021"/>
    <x v="6"/>
    <s v="爱贝"/>
    <s v="否"/>
    <s v="固定租金"/>
    <m/>
    <x v="109"/>
    <x v="40"/>
    <n v="26406.799999999999"/>
    <x v="6"/>
    <n v="18862"/>
  </r>
  <r>
    <n v="112"/>
    <s v="一般商铺"/>
    <x v="3"/>
    <s v="3022"/>
    <x v="5"/>
    <s v="东方水润"/>
    <s v="否"/>
    <s v="固定租金"/>
    <m/>
    <x v="110"/>
    <x v="13"/>
    <n v="10836"/>
    <x v="6"/>
    <n v="6772.4999999999991"/>
  </r>
  <r>
    <n v="113"/>
    <s v="一般商铺"/>
    <x v="3"/>
    <s v="3023,3025"/>
    <x v="6"/>
    <s v="蕃茄田"/>
    <s v="否"/>
    <s v="固定租金"/>
    <m/>
    <x v="111"/>
    <x v="40"/>
    <n v="17383.100000000002"/>
    <x v="6"/>
    <n v="12416.5"/>
  </r>
  <r>
    <n v="114"/>
    <s v="一般商铺"/>
    <x v="3"/>
    <s v="3026"/>
    <x v="6"/>
    <s v="anta kids"/>
    <s v="否"/>
    <s v="固定租金"/>
    <m/>
    <x v="112"/>
    <x v="35"/>
    <n v="19867.900000000001"/>
    <x v="2"/>
    <n v="8405.6500000000015"/>
  </r>
  <r>
    <n v="115"/>
    <s v="一般商铺"/>
    <x v="3"/>
    <s v="3027"/>
    <x v="6"/>
    <s v="ADIDAS"/>
    <s v="否"/>
    <s v="固定租金"/>
    <m/>
    <x v="113"/>
    <x v="35"/>
    <n v="13451.1"/>
    <x v="2"/>
    <n v="5690.85"/>
  </r>
  <r>
    <n v="116"/>
    <s v="一般商铺"/>
    <x v="3"/>
    <n v="3028"/>
    <x v="6"/>
    <s v="NikeKids"/>
    <s v="否"/>
    <s v="固定租金"/>
    <m/>
    <x v="114"/>
    <x v="35"/>
    <n v="13300.300000000001"/>
    <x v="2"/>
    <n v="5627.05"/>
  </r>
  <r>
    <n v="117"/>
    <s v="一般商铺"/>
    <x v="3"/>
    <s v="3029-1"/>
    <x v="3"/>
    <s v="machi"/>
    <s v="否"/>
    <s v="固定租金"/>
    <m/>
    <x v="115"/>
    <x v="45"/>
    <n v="13792"/>
    <x v="2"/>
    <n v="4741"/>
  </r>
  <r>
    <n v="118"/>
    <s v="一般商铺"/>
    <x v="3"/>
    <s v="3029-2"/>
    <x v="3"/>
    <s v="谭鸭血"/>
    <s v="否"/>
    <s v="固定租金"/>
    <m/>
    <x v="116"/>
    <x v="46"/>
    <n v="16075"/>
    <x v="2"/>
    <n v="7073"/>
  </r>
  <r>
    <n v="119"/>
    <s v="一般商铺"/>
    <x v="3"/>
    <s v="3030"/>
    <x v="3"/>
    <s v="谭鸭血"/>
    <s v="否"/>
    <s v="固定租金"/>
    <m/>
    <x v="117"/>
    <x v="46"/>
    <n v="17061.25"/>
    <x v="2"/>
    <n v="7506.9500000000007"/>
  </r>
  <r>
    <n v="120"/>
    <s v="一般商铺"/>
    <x v="3"/>
    <s v="3031"/>
    <x v="3"/>
    <s v="谭鸭血"/>
    <s v="否"/>
    <s v="固定租金"/>
    <m/>
    <x v="118"/>
    <x v="46"/>
    <n v="9637.5"/>
    <x v="2"/>
    <n v="4240.5"/>
  </r>
  <r>
    <n v="121"/>
    <s v="一般商铺"/>
    <x v="3"/>
    <s v="3032"/>
    <x v="6"/>
    <s v="2平米"/>
    <s v="否"/>
    <s v="固定租金"/>
    <m/>
    <x v="78"/>
    <x v="36"/>
    <n v="9885.15"/>
    <x v="2"/>
    <n v="3295.0499999999997"/>
  </r>
  <r>
    <n v="122"/>
    <s v="一般商铺"/>
    <x v="3"/>
    <s v="3033"/>
    <x v="6"/>
    <s v="巴布豆"/>
    <s v="否"/>
    <s v="固定租金"/>
    <m/>
    <x v="119"/>
    <x v="20"/>
    <n v="15954.499999999998"/>
    <x v="2"/>
    <n v="5161.75"/>
  </r>
  <r>
    <n v="123"/>
    <s v="一般商铺"/>
    <x v="3"/>
    <s v="3035"/>
    <x v="6"/>
    <s v="cocoTree"/>
    <s v="否"/>
    <s v="固定租金"/>
    <m/>
    <x v="120"/>
    <x v="42"/>
    <n v="19514.100000000002"/>
    <x v="2"/>
    <n v="7401.9000000000005"/>
  </r>
  <r>
    <n v="124"/>
    <s v="一般商铺"/>
    <x v="3"/>
    <s v="3036"/>
    <x v="2"/>
    <s v="失恋博物馆"/>
    <s v="否"/>
    <s v="固定租金"/>
    <m/>
    <x v="81"/>
    <x v="28"/>
    <n v="16140"/>
    <x v="2"/>
    <n v="8877"/>
  </r>
  <r>
    <n v="125"/>
    <s v="一般商铺"/>
    <x v="3"/>
    <s v="3037"/>
    <x v="6"/>
    <s v="男生女生"/>
    <s v="否"/>
    <s v="固定租金"/>
    <m/>
    <x v="121"/>
    <x v="42"/>
    <n v="23495.8"/>
    <x v="2"/>
    <n v="8912.1999999999989"/>
  </r>
  <r>
    <n v="126"/>
    <s v="一般商铺"/>
    <x v="3"/>
    <s v="3038"/>
    <x v="6"/>
    <s v="361°（童装）"/>
    <s v="否"/>
    <s v="固定租金"/>
    <m/>
    <x v="122"/>
    <x v="35"/>
    <n v="20748"/>
    <x v="2"/>
    <n v="8778"/>
  </r>
  <r>
    <n v="127"/>
    <s v="一般商铺"/>
    <x v="3"/>
    <s v="3039"/>
    <x v="6"/>
    <s v="贝贝依依"/>
    <s v="否"/>
    <s v="固定租金"/>
    <m/>
    <x v="84"/>
    <x v="29"/>
    <n v="13943.8"/>
    <x v="2"/>
    <n v="4947.7999999999993"/>
  </r>
  <r>
    <n v="128"/>
    <s v="一般商铺"/>
    <x v="3"/>
    <s v="3040"/>
    <x v="6"/>
    <s v="jnby by JNBY"/>
    <s v="否"/>
    <s v="固定租金"/>
    <m/>
    <x v="85"/>
    <x v="42"/>
    <n v="11685.550000000001"/>
    <x v="2"/>
    <n v="4432.45"/>
  </r>
  <r>
    <n v="129"/>
    <s v="一般商铺"/>
    <x v="3"/>
    <s v="3041"/>
    <x v="6"/>
    <s v="泰兰尼斯"/>
    <s v="否"/>
    <s v="固定租金"/>
    <m/>
    <x v="86"/>
    <x v="36"/>
    <n v="9495.75"/>
    <x v="2"/>
    <n v="3165.25"/>
  </r>
  <r>
    <n v="130"/>
    <s v="一般商铺"/>
    <x v="3"/>
    <s v="3042"/>
    <x v="6"/>
    <s v="Succi's Home"/>
    <s v="否"/>
    <s v="固定租金"/>
    <m/>
    <x v="87"/>
    <x v="20"/>
    <n v="14728.8"/>
    <x v="2"/>
    <n v="4765.2"/>
  </r>
  <r>
    <n v="131"/>
    <s v="一般商铺"/>
    <x v="3"/>
    <s v="3043"/>
    <x v="6"/>
    <s v="ABC KIDS"/>
    <s v="否"/>
    <s v="固定租金"/>
    <m/>
    <x v="88"/>
    <x v="42"/>
    <n v="22417"/>
    <x v="2"/>
    <n v="8503"/>
  </r>
  <r>
    <n v="132"/>
    <s v="一般商铺"/>
    <x v="3"/>
    <s v="3045"/>
    <x v="6"/>
    <s v="考拉飞车"/>
    <s v="否"/>
    <s v="固定租金"/>
    <m/>
    <x v="89"/>
    <x v="47"/>
    <n v="8985"/>
    <x v="2"/>
    <n v="6589"/>
  </r>
  <r>
    <n v="133"/>
    <s v="一般商铺"/>
    <x v="3"/>
    <s v="3046,3047"/>
    <x v="6"/>
    <s v="考拉飞车"/>
    <s v="否"/>
    <s v="固定租金"/>
    <m/>
    <x v="123"/>
    <x v="47"/>
    <n v="16110.75"/>
    <x v="2"/>
    <n v="11814.55"/>
  </r>
  <r>
    <n v="134"/>
    <s v="一般商铺"/>
    <x v="3"/>
    <s v="3048,3049"/>
    <x v="6"/>
    <s v="巴拉巴拉"/>
    <s v="否"/>
    <s v="固定租金"/>
    <m/>
    <x v="124"/>
    <x v="21"/>
    <n v="34598.199999999997"/>
    <x v="2"/>
    <n v="13592.15"/>
  </r>
  <r>
    <n v="135"/>
    <s v="一般商铺"/>
    <x v="3"/>
    <s v="3050-1"/>
    <x v="3"/>
    <s v="Sweet Fans"/>
    <s v="否"/>
    <s v="固定租金"/>
    <m/>
    <x v="125"/>
    <x v="34"/>
    <n v="12927.000000000002"/>
    <x v="2"/>
    <n v="2369.9500000000003"/>
  </r>
  <r>
    <n v="136"/>
    <s v="一般商铺"/>
    <x v="3"/>
    <s v="3050-2"/>
    <x v="6"/>
    <s v="笛莎"/>
    <s v="否"/>
    <s v="固定租金"/>
    <m/>
    <x v="126"/>
    <x v="45"/>
    <n v="12950.4"/>
    <x v="2"/>
    <n v="4451.7"/>
  </r>
  <r>
    <n v="137"/>
    <s v="一般商铺"/>
    <x v="3"/>
    <s v="3051"/>
    <x v="6"/>
    <s v="护童"/>
    <s v="否"/>
    <s v="固定租金"/>
    <m/>
    <x v="93"/>
    <x v="36"/>
    <n v="10619.4"/>
    <x v="2"/>
    <n v="3539.8"/>
  </r>
  <r>
    <n v="138"/>
    <s v="主力店"/>
    <x v="3"/>
    <s v="3013,4053"/>
    <x v="1"/>
    <s v="银吉姆"/>
    <s v="否"/>
    <s v="固定租金"/>
    <m/>
    <x v="127"/>
    <x v="48"/>
    <n v="142185.68000000002"/>
    <x v="1"/>
    <n v="45702.54"/>
  </r>
  <r>
    <n v="139"/>
    <s v="主力店"/>
    <x v="4"/>
    <s v="4001"/>
    <x v="1"/>
    <s v="星轶影院"/>
    <s v="是"/>
    <s v="抽成租金"/>
    <n v="0.11"/>
    <x v="128"/>
    <x v="49"/>
    <n v="115876.40999999999"/>
    <x v="11"/>
    <n v="55343.115000000005"/>
  </r>
  <r>
    <n v="140"/>
    <s v="一般商铺"/>
    <x v="4"/>
    <s v="4002,4003"/>
    <x v="3"/>
    <s v="诺丁"/>
    <s v="否"/>
    <s v="固定租金"/>
    <m/>
    <x v="129"/>
    <x v="50"/>
    <n v="29755.35"/>
    <x v="2"/>
    <n v="12122.55"/>
  </r>
  <r>
    <n v="141"/>
    <s v="一般商铺"/>
    <x v="4"/>
    <s v="4005"/>
    <x v="3"/>
    <s v="邵东家"/>
    <s v="否"/>
    <s v="固定租金"/>
    <m/>
    <x v="130"/>
    <x v="32"/>
    <n v="30440.5"/>
    <x v="2"/>
    <n v="14558.5"/>
  </r>
  <r>
    <n v="142"/>
    <s v="一般商铺"/>
    <x v="4"/>
    <s v="4006"/>
    <x v="3"/>
    <s v="新战点"/>
    <s v="否"/>
    <s v="固定租金"/>
    <m/>
    <x v="131"/>
    <x v="35"/>
    <n v="18629"/>
    <x v="2"/>
    <n v="7881.5000000000009"/>
  </r>
  <r>
    <n v="143"/>
    <s v="一般商铺"/>
    <x v="4"/>
    <s v="4007"/>
    <x v="3"/>
    <s v="落端云"/>
    <s v="否"/>
    <s v="固定租金"/>
    <m/>
    <x v="58"/>
    <x v="21"/>
    <n v="14205.8"/>
    <x v="2"/>
    <n v="5580.85"/>
  </r>
  <r>
    <n v="144"/>
    <s v="一般商铺"/>
    <x v="4"/>
    <s v="4008"/>
    <x v="3"/>
    <s v="淀川刺身"/>
    <s v="否"/>
    <s v="固定租金"/>
    <m/>
    <x v="132"/>
    <x v="29"/>
    <n v="15182.25"/>
    <x v="2"/>
    <n v="5387.25"/>
  </r>
  <r>
    <n v="145"/>
    <s v="一般商铺"/>
    <x v="4"/>
    <s v="4009"/>
    <x v="3"/>
    <s v="张记"/>
    <s v="否"/>
    <s v="固定租金"/>
    <m/>
    <x v="133"/>
    <x v="51"/>
    <n v="26239.399999999998"/>
    <x v="2"/>
    <n v="13119.699999999999"/>
  </r>
  <r>
    <n v="146"/>
    <s v="一般商铺"/>
    <x v="4"/>
    <s v="4010"/>
    <x v="3"/>
    <s v="氿熹"/>
    <s v="否"/>
    <s v="固定租金"/>
    <m/>
    <x v="134"/>
    <x v="51"/>
    <n v="27439.5"/>
    <x v="2"/>
    <n v="13719.75"/>
  </r>
  <r>
    <n v="147"/>
    <s v="一般商铺"/>
    <x v="4"/>
    <s v="4011"/>
    <x v="3"/>
    <s v="吾饮良品"/>
    <s v="否"/>
    <s v="固定租金"/>
    <m/>
    <x v="102"/>
    <x v="42"/>
    <n v="11759.5"/>
    <x v="2"/>
    <n v="4460.5"/>
  </r>
  <r>
    <n v="148"/>
    <s v="一般商铺"/>
    <x v="4"/>
    <s v="4012"/>
    <x v="3"/>
    <s v="又卷烧饼"/>
    <s v="否"/>
    <s v="固定租金"/>
    <m/>
    <x v="63"/>
    <x v="11"/>
    <n v="8459.1"/>
    <x v="2"/>
    <n v="1723.1499999999999"/>
  </r>
  <r>
    <n v="149"/>
    <s v="一般商铺"/>
    <x v="4"/>
    <s v="4013"/>
    <x v="3"/>
    <s v="新三不牛腩"/>
    <s v="否"/>
    <s v="固定租金"/>
    <m/>
    <x v="135"/>
    <x v="42"/>
    <n v="19264.7"/>
    <x v="2"/>
    <n v="7307.3000000000011"/>
  </r>
  <r>
    <n v="150"/>
    <s v="一般商铺"/>
    <x v="4"/>
    <s v="4015"/>
    <x v="3"/>
    <s v="酱记"/>
    <s v="否"/>
    <s v="固定租金"/>
    <m/>
    <x v="136"/>
    <x v="46"/>
    <n v="11616.25"/>
    <x v="2"/>
    <n v="5111.1500000000005"/>
  </r>
  <r>
    <n v="151"/>
    <s v="一般商铺"/>
    <x v="4"/>
    <s v="4016"/>
    <x v="3"/>
    <s v="何记花甲"/>
    <s v="否"/>
    <s v="固定租金"/>
    <m/>
    <x v="137"/>
    <x v="36"/>
    <n v="13171.949999999999"/>
    <x v="2"/>
    <n v="4390.6499999999996"/>
  </r>
  <r>
    <n v="152"/>
    <s v="一般商铺"/>
    <x v="4"/>
    <s v="4017,4018—1"/>
    <x v="3"/>
    <s v="鱼情味了"/>
    <s v="否"/>
    <s v="固定租金"/>
    <m/>
    <x v="138"/>
    <x v="51"/>
    <n v="31227.899999999998"/>
    <x v="2"/>
    <n v="15613.949999999999"/>
  </r>
  <r>
    <n v="153"/>
    <s v="一般商铺"/>
    <x v="4"/>
    <s v="4018—2,4019"/>
    <x v="3"/>
    <s v="曦大叔正港味"/>
    <s v="否"/>
    <s v="固定租金"/>
    <m/>
    <x v="139"/>
    <x v="39"/>
    <n v="32380.949999999997"/>
    <x v="2"/>
    <n v="16961.45"/>
  </r>
  <r>
    <n v="154"/>
    <s v="一般商铺"/>
    <x v="4"/>
    <s v="4020,4021"/>
    <x v="3"/>
    <s v="德庄"/>
    <s v="否"/>
    <s v="固定租金"/>
    <m/>
    <x v="140"/>
    <x v="42"/>
    <n v="53641.3"/>
    <x v="2"/>
    <n v="20346.7"/>
  </r>
  <r>
    <n v="155"/>
    <s v="一般商铺"/>
    <x v="4"/>
    <s v="4022"/>
    <x v="3"/>
    <s v="天草寿喜烧"/>
    <s v="否"/>
    <s v="固定租金"/>
    <m/>
    <x v="141"/>
    <x v="51"/>
    <n v="14942.4"/>
    <x v="2"/>
    <n v="7471.2"/>
  </r>
  <r>
    <n v="156"/>
    <s v="一般商铺"/>
    <x v="4"/>
    <s v="4023"/>
    <x v="3"/>
    <s v="澳克士"/>
    <s v="否"/>
    <s v="固定租金"/>
    <m/>
    <x v="142"/>
    <x v="42"/>
    <n v="14624.7"/>
    <x v="2"/>
    <n v="5547.3"/>
  </r>
  <r>
    <n v="157"/>
    <s v="一般商铺"/>
    <x v="4"/>
    <s v="4025,4026"/>
    <x v="3"/>
    <s v="小菜园"/>
    <s v="否"/>
    <s v="固定租金"/>
    <m/>
    <x v="143"/>
    <x v="51"/>
    <n v="36248.299999999996"/>
    <x v="2"/>
    <n v="18124.149999999998"/>
  </r>
  <r>
    <n v="158"/>
    <s v="一般商铺"/>
    <x v="4"/>
    <s v="4027"/>
    <x v="3"/>
    <s v="韩宫宴"/>
    <s v="否"/>
    <s v="固定租金"/>
    <m/>
    <x v="144"/>
    <x v="46"/>
    <n v="28577.5"/>
    <x v="2"/>
    <n v="12574.1"/>
  </r>
  <r>
    <n v="159"/>
    <s v="一般商铺"/>
    <x v="4"/>
    <s v="4028"/>
    <x v="3"/>
    <s v="DQ"/>
    <s v="否"/>
    <s v="固定租金"/>
    <m/>
    <x v="145"/>
    <x v="6"/>
    <n v="13911.8"/>
    <x v="2"/>
    <n v="4027.1"/>
  </r>
  <r>
    <n v="160"/>
    <s v="一般商铺"/>
    <x v="4"/>
    <s v="4029"/>
    <x v="3"/>
    <s v="煎子生"/>
    <s v="否"/>
    <s v="固定租金"/>
    <m/>
    <x v="146"/>
    <x v="29"/>
    <n v="13474.150000000001"/>
    <x v="2"/>
    <n v="4781.1500000000005"/>
  </r>
  <r>
    <n v="161"/>
    <s v="一般商铺"/>
    <x v="4"/>
    <s v="4030"/>
    <x v="3"/>
    <s v="好人民间小吃"/>
    <s v="否"/>
    <s v="固定租金"/>
    <m/>
    <x v="147"/>
    <x v="42"/>
    <n v="14298.45"/>
    <x v="2"/>
    <n v="5423.55"/>
  </r>
  <r>
    <n v="162"/>
    <s v="一般商铺"/>
    <x v="4"/>
    <s v="4031,4032"/>
    <x v="3"/>
    <s v="蘇小二"/>
    <s v="否"/>
    <s v="固定租金"/>
    <m/>
    <x v="148"/>
    <x v="51"/>
    <n v="31567.800000000003"/>
    <x v="2"/>
    <n v="15783.900000000001"/>
  </r>
  <r>
    <n v="163"/>
    <s v="一般商铺"/>
    <x v="4"/>
    <s v="4033"/>
    <x v="3"/>
    <s v="西北杂粮筐"/>
    <s v="否"/>
    <s v="固定租金"/>
    <m/>
    <x v="149"/>
    <x v="4"/>
    <n v="13781.6"/>
    <x v="2"/>
    <n v="3295.6"/>
  </r>
  <r>
    <n v="164"/>
    <s v="一般商铺"/>
    <x v="4"/>
    <s v="4035,4036"/>
    <x v="3"/>
    <s v="新石器烤肉"/>
    <s v="否"/>
    <s v="固定租金"/>
    <m/>
    <x v="150"/>
    <x v="46"/>
    <n v="28451.25"/>
    <x v="2"/>
    <n v="12518.550000000001"/>
  </r>
  <r>
    <n v="165"/>
    <s v="一般商铺"/>
    <x v="4"/>
    <s v="4037,4038"/>
    <x v="3"/>
    <s v="好想牛"/>
    <s v="否"/>
    <s v="固定租金"/>
    <m/>
    <x v="151"/>
    <x v="35"/>
    <n v="35973.600000000006"/>
    <x v="2"/>
    <n v="15219.600000000002"/>
  </r>
  <r>
    <n v="166"/>
    <s v="一般商铺"/>
    <x v="4"/>
    <s v="4039"/>
    <x v="3"/>
    <s v="吾爱蛙"/>
    <s v="否"/>
    <s v="固定租金"/>
    <m/>
    <x v="152"/>
    <x v="35"/>
    <n v="20788.3"/>
    <x v="2"/>
    <n v="8795.0499999999993"/>
  </r>
  <r>
    <n v="167"/>
    <s v="一般商铺"/>
    <x v="4"/>
    <s v="4040"/>
    <x v="3"/>
    <s v="牛呗"/>
    <s v="否"/>
    <s v="固定租金"/>
    <m/>
    <x v="84"/>
    <x v="29"/>
    <n v="13943.8"/>
    <x v="2"/>
    <n v="4947.7999999999993"/>
  </r>
  <r>
    <n v="168"/>
    <s v="一般商铺"/>
    <x v="4"/>
    <s v="4041"/>
    <x v="3"/>
    <s v="一喜日式烧肉"/>
    <s v="否"/>
    <s v="固定租金"/>
    <m/>
    <x v="85"/>
    <x v="45"/>
    <n v="12894.400000000001"/>
    <x v="2"/>
    <n v="4432.45"/>
  </r>
  <r>
    <n v="169"/>
    <s v="一般商铺"/>
    <x v="4"/>
    <s v="4042,4043"/>
    <x v="3"/>
    <s v="红房串香"/>
    <s v="否"/>
    <s v="固定租金"/>
    <m/>
    <x v="153"/>
    <x v="50"/>
    <n v="19465.650000000001"/>
    <x v="2"/>
    <n v="7930.45"/>
  </r>
  <r>
    <n v="170"/>
    <s v="一般商铺"/>
    <x v="4"/>
    <s v="4045,4046"/>
    <x v="3"/>
    <s v="欧诺拉"/>
    <s v="否"/>
    <s v="固定租金"/>
    <m/>
    <x v="154"/>
    <x v="32"/>
    <n v="31557.15"/>
    <x v="2"/>
    <n v="15092.550000000001"/>
  </r>
  <r>
    <n v="171"/>
    <s v="一般商铺"/>
    <x v="4"/>
    <s v="4047,4048"/>
    <x v="3"/>
    <s v="妒鱼"/>
    <s v="否"/>
    <s v="固定租金"/>
    <m/>
    <x v="155"/>
    <x v="51"/>
    <n v="23630.2"/>
    <x v="2"/>
    <n v="11815.1"/>
  </r>
  <r>
    <n v="172"/>
    <s v="一般商铺"/>
    <x v="4"/>
    <s v="4049,4050"/>
    <x v="3"/>
    <s v="溪雨观"/>
    <s v="否"/>
    <s v="固定租金"/>
    <m/>
    <x v="156"/>
    <x v="46"/>
    <n v="30918.75"/>
    <x v="2"/>
    <n v="13604.25"/>
  </r>
  <r>
    <n v="173"/>
    <s v="一般商铺"/>
    <x v="4"/>
    <s v="4051"/>
    <x v="3"/>
    <s v="大鼓米线"/>
    <s v="否"/>
    <s v="固定租金"/>
    <m/>
    <x v="157"/>
    <x v="35"/>
    <n v="16122.6"/>
    <x v="2"/>
    <n v="6821.0999999999995"/>
  </r>
  <r>
    <n v="174"/>
    <s v="一般商铺"/>
    <x v="4"/>
    <s v="4052"/>
    <x v="3"/>
    <s v="朱婆馄饨"/>
    <s v="否"/>
    <s v="固定租金"/>
    <m/>
    <x v="93"/>
    <x v="4"/>
    <n v="14802.8"/>
    <x v="2"/>
    <n v="3539.8"/>
  </r>
  <r>
    <n v="175"/>
    <s v="一般商铺"/>
    <x v="5"/>
    <s v="B1F-01"/>
    <x v="2"/>
    <s v="MOSOO"/>
    <s v="否"/>
    <s v="固定租金"/>
    <m/>
    <x v="158"/>
    <x v="52"/>
    <n v="6261.8399999999992"/>
    <x v="12"/>
    <n v="1739.3999999999999"/>
  </r>
  <r>
    <n v="176"/>
    <s v="一般商铺"/>
    <x v="5"/>
    <s v="B1F-02,B1F-03"/>
    <x v="5"/>
    <s v="来伊份"/>
    <s v="否"/>
    <s v="固定租金"/>
    <m/>
    <x v="159"/>
    <x v="39"/>
    <n v="7045.4999999999991"/>
    <x v="12"/>
    <n v="2012.9999999999998"/>
  </r>
  <r>
    <n v="177"/>
    <s v="一般商铺"/>
    <x v="5"/>
    <s v="B1F-04"/>
    <x v="5"/>
    <s v="康美"/>
    <s v="否"/>
    <s v="固定租金"/>
    <m/>
    <x v="160"/>
    <x v="27"/>
    <n v="4431.05"/>
    <x v="12"/>
    <n v="1563.9"/>
  </r>
  <r>
    <n v="178"/>
    <s v="一般商铺"/>
    <x v="5"/>
    <s v="B1F-05"/>
    <x v="3"/>
    <s v="永记铺"/>
    <s v="否"/>
    <s v="固定租金"/>
    <m/>
    <x v="161"/>
    <x v="28"/>
    <n v="1420"/>
    <x v="2"/>
    <n v="781"/>
  </r>
  <r>
    <n v="179"/>
    <s v="一般商铺"/>
    <x v="5"/>
    <s v="B1F-06"/>
    <x v="5"/>
    <s v="爱美发艺"/>
    <s v="否"/>
    <s v="固定租金"/>
    <m/>
    <x v="162"/>
    <x v="28"/>
    <n v="1522"/>
    <x v="12"/>
    <n v="456.6"/>
  </r>
  <r>
    <n v="180"/>
    <s v="一般商铺"/>
    <x v="5"/>
    <s v="B1F-07"/>
    <x v="5"/>
    <s v="唯恒国旅"/>
    <s v="否"/>
    <s v="固定租金"/>
    <m/>
    <x v="163"/>
    <x v="53"/>
    <n v="1529.3"/>
    <x v="12"/>
    <n v="559.5"/>
  </r>
  <r>
    <n v="181"/>
    <s v="一般商铺"/>
    <x v="5"/>
    <s v="B1F-08"/>
    <x v="5"/>
    <s v="欧伟仕"/>
    <s v="否"/>
    <s v="固定租金"/>
    <m/>
    <x v="164"/>
    <x v="54"/>
    <n v="33268.799999999996"/>
    <x v="13"/>
    <n v="14340"/>
  </r>
  <r>
    <n v="182"/>
    <s v="一般商铺"/>
    <x v="5"/>
    <s v="B1F-09"/>
    <x v="3"/>
    <s v="糖三样"/>
    <s v="否"/>
    <s v="固定租金"/>
    <m/>
    <x v="165"/>
    <x v="27"/>
    <n v="1467.1000000000001"/>
    <x v="12"/>
    <n v="517.80000000000007"/>
  </r>
  <r>
    <n v="183"/>
    <s v="一般商铺"/>
    <x v="5"/>
    <s v="B1F-10"/>
    <x v="5"/>
    <s v="蚝串香"/>
    <s v="否"/>
    <s v="固定租金"/>
    <m/>
    <x v="166"/>
    <x v="55"/>
    <n v="1332.2800000000002"/>
    <x v="9"/>
    <n v="262.95000000000005"/>
  </r>
  <r>
    <n v="184"/>
    <s v="一般商铺"/>
    <x v="5"/>
    <s v="B1F-11,B1F-12"/>
    <x v="5"/>
    <s v="宝岛卤味"/>
    <s v="否"/>
    <s v="固定租金"/>
    <m/>
    <x v="167"/>
    <x v="44"/>
    <n v="3897.5999999999995"/>
    <x v="9"/>
    <n v="487.19999999999993"/>
  </r>
  <r>
    <n v="185"/>
    <s v="一般商铺"/>
    <x v="5"/>
    <s v="B1F-13"/>
    <x v="5"/>
    <s v="见面礼"/>
    <s v="否"/>
    <s v="固定租金"/>
    <m/>
    <x v="168"/>
    <x v="40"/>
    <n v="1281"/>
    <x v="12"/>
    <n v="549"/>
  </r>
  <r>
    <n v="186"/>
    <s v="一般商铺"/>
    <x v="5"/>
    <s v="B1F-15"/>
    <x v="5"/>
    <s v="小罐茶"/>
    <s v="否"/>
    <s v="固定租金"/>
    <m/>
    <x v="169"/>
    <x v="56"/>
    <n v="1246.2"/>
    <x v="12"/>
    <n v="558"/>
  </r>
  <r>
    <n v="187"/>
    <s v="一般商铺"/>
    <x v="5"/>
    <s v="B1F-16"/>
    <x v="5"/>
    <s v="采果食鲜"/>
    <s v="否"/>
    <s v="固定租金"/>
    <m/>
    <x v="170"/>
    <x v="57"/>
    <n v="6600"/>
    <x v="9"/>
    <n v="1800"/>
  </r>
  <r>
    <n v="189"/>
    <s v="一般商铺"/>
    <x v="5"/>
    <s v="B1F-18"/>
    <x v="5"/>
    <s v="梅板娘"/>
    <s v="否"/>
    <s v="固定租金"/>
    <m/>
    <x v="171"/>
    <x v="39"/>
    <n v="2704.8"/>
    <x v="12"/>
    <n v="772.80000000000007"/>
  </r>
  <r>
    <n v="190"/>
    <s v="一般商铺"/>
    <x v="5"/>
    <s v="B1F-19"/>
    <x v="5"/>
    <s v="SQ Flower"/>
    <s v="否"/>
    <s v="固定租金"/>
    <m/>
    <x v="172"/>
    <x v="43"/>
    <n v="1733.4"/>
    <x v="12"/>
    <n v="577.80000000000007"/>
  </r>
  <r>
    <n v="191"/>
    <s v="一般商铺"/>
    <x v="5"/>
    <s v="B1F-20"/>
    <x v="5"/>
    <s v="爱回收"/>
    <s v="否"/>
    <s v="固定租金"/>
    <m/>
    <x v="173"/>
    <x v="58"/>
    <n v="2081.52"/>
    <x v="12"/>
    <n v="424.8"/>
  </r>
  <r>
    <n v="192"/>
    <s v="一般商铺"/>
    <x v="5"/>
    <s v="B1F-21-1"/>
    <x v="5"/>
    <s v="康泰大药房"/>
    <s v="否"/>
    <s v="固定租金"/>
    <m/>
    <x v="174"/>
    <x v="59"/>
    <n v="3990"/>
    <x v="9"/>
    <n v="1425"/>
  </r>
  <r>
    <n v="193"/>
    <s v="一般商铺"/>
    <x v="5"/>
    <s v="B1F-22-1,B1F-22-2,B1F-22-3,B1F-22-4,B1F-22-5,B1F-22-6,B1F-22-7,B1F-22-8,B1F-22-9,B1F-23-1,B1F-23-2,B1F-23-3,B1F-23-4,B1F-23-5,B1F-23-6,B1F-23-7,B1F-23-8,B1F-23-9,B1F-23-10,B1F-23-11,B1F-23-12,B1F-23-13,B1F-23-14"/>
    <x v="5"/>
    <s v="建华蔬菜"/>
    <s v="否"/>
    <s v="固定租金"/>
    <m/>
    <x v="175"/>
    <x v="23"/>
    <n v="3748.2"/>
    <x v="9"/>
    <n v="937.05"/>
  </r>
  <r>
    <n v="194"/>
    <s v="一般商铺"/>
    <x v="5"/>
    <s v="B1F-24-1,B1F-24-2,B1F-24-3,B1F-24-4,B1F-24-5,B1F-24-6,B1F-24-7,B1F-24-8,B1F-24-9,B1F-24-10,B1F-24-11,B1F-24-12,B1F-24-13,B1F-24-14,B1F-24-15,B1F-24-16"/>
    <x v="5"/>
    <s v="康鲜时蔬"/>
    <s v="否"/>
    <s v="固定租金"/>
    <m/>
    <x v="176"/>
    <x v="47"/>
    <n v="3585"/>
    <x v="9"/>
    <n v="717"/>
  </r>
  <r>
    <n v="195"/>
    <s v="一般商铺"/>
    <x v="5"/>
    <s v="B1F-25-1,B1F-25-2,B1F-25-3,B1F-25-4,B1F-25-5,B1F-25-6,B1F-25-7,B1F-25-8"/>
    <x v="5"/>
    <s v="磊源冻品"/>
    <s v="否"/>
    <s v="固定租金"/>
    <m/>
    <x v="177"/>
    <x v="13"/>
    <n v="2461.6"/>
    <x v="9"/>
    <n v="461.55"/>
  </r>
  <r>
    <n v="196"/>
    <s v="一般商铺"/>
    <x v="5"/>
    <s v="B1F-26"/>
    <x v="5"/>
    <s v="杨氏肉品"/>
    <s v="否"/>
    <s v="固定租金"/>
    <m/>
    <x v="178"/>
    <x v="60"/>
    <n v="2506.6000000000004"/>
    <x v="9"/>
    <n v="249.00000000000003"/>
  </r>
  <r>
    <n v="197"/>
    <s v="一般商铺"/>
    <x v="5"/>
    <s v="B1F-27"/>
    <x v="5"/>
    <s v="土猪一号"/>
    <s v="否"/>
    <s v="固定租金"/>
    <m/>
    <x v="179"/>
    <x v="28"/>
    <n v="1378"/>
    <x v="9"/>
    <n v="206.7"/>
  </r>
  <r>
    <n v="198"/>
    <s v="一般商铺"/>
    <x v="5"/>
    <s v="B1F-28"/>
    <x v="5"/>
    <s v="梁飞肉品"/>
    <s v="否"/>
    <s v="固定租金"/>
    <m/>
    <x v="179"/>
    <x v="61"/>
    <n v="2590.64"/>
    <x v="9"/>
    <n v="206.7"/>
  </r>
  <r>
    <n v="199"/>
    <s v="一般商铺"/>
    <x v="5"/>
    <s v="B1F-29-1,B1F-29-2,B1F-29-3,B1F-29-4,B1F-29-5,B1F-29-6,B1F-29-7,B1F-29-8"/>
    <x v="5"/>
    <s v="顾氏肉品"/>
    <s v="否"/>
    <s v="固定租金"/>
    <m/>
    <x v="180"/>
    <x v="26"/>
    <n v="1744.65"/>
    <x v="9"/>
    <n v="581.55000000000007"/>
  </r>
  <r>
    <n v="200"/>
    <s v="一般商铺"/>
    <x v="5"/>
    <s v="B1F-30-1,B1F-30-2,B1F-30-3,B1F-30-4,B1F-30-5,B1F-30-6,B1F-30-7,B1F-30-8,B1F-30-9,B1F-30-10,B1F-30-11,B1F-30-12,B1F-30-13,B1F-30-14,B1F-30-15,B1F-30-16"/>
    <x v="5"/>
    <s v="正大鸡蛋"/>
    <s v="否"/>
    <s v="固定租金"/>
    <m/>
    <x v="181"/>
    <x v="43"/>
    <n v="3553.2"/>
    <x v="9"/>
    <n v="592.19999999999993"/>
  </r>
  <r>
    <n v="201"/>
    <s v="一般商铺"/>
    <x v="5"/>
    <s v="B1F-31-1,B1F-31-2,B1F-31-3,B1F-31-4,B1F-31-5,B1F-31-6,B1F-31-7,B1F-31-8,B1F-31-9,B1F-31-10,B1F-31-11,B1F-31-12"/>
    <x v="5"/>
    <s v="建华食品"/>
    <s v="否"/>
    <s v="固定租金"/>
    <m/>
    <x v="182"/>
    <x v="23"/>
    <n v="1800.6000000000001"/>
    <x v="9"/>
    <n v="450.15000000000003"/>
  </r>
  <r>
    <n v="202"/>
    <s v="一般商铺"/>
    <x v="5"/>
    <s v="B1F-32-1,B1F-32-2,B1F-32-3,B1F-32-4,B1F-32-5,B1F-32-6,B1F-32-7,B1F-32-8"/>
    <x v="5"/>
    <s v="陶先生干果铺"/>
    <s v="否"/>
    <s v="固定租金"/>
    <m/>
    <x v="183"/>
    <x v="1"/>
    <n v="1613.8600000000001"/>
    <x v="9"/>
    <n v="390.45000000000005"/>
  </r>
  <r>
    <n v="203"/>
    <s v="一般商铺"/>
    <x v="5"/>
    <s v="B1F-33-1,B1F-33-2,B1F-33-3,B1F-33-4,B1F-33-5,B1F-33-6,B1F-33-7,B1F-33-8,B1F-33-9,B1F-33-10"/>
    <x v="5"/>
    <s v="张记豆制品"/>
    <s v="否"/>
    <s v="固定租金"/>
    <m/>
    <x v="184"/>
    <x v="62"/>
    <n v="1885"/>
    <x v="9"/>
    <n v="435"/>
  </r>
  <r>
    <n v="204"/>
    <s v="一般商铺"/>
    <x v="5"/>
    <s v="B1F-34-1,B1F-34-2,B1F-34-3,B1F-34-4,B1F-34-5,B1F-34-6,B1F-34-7,B1F-34-8,B1F-34-9,B1F-34-10"/>
    <x v="5"/>
    <s v="启盛水产"/>
    <s v="否"/>
    <s v="固定租金"/>
    <m/>
    <x v="185"/>
    <x v="63"/>
    <n v="1864.72"/>
    <x v="9"/>
    <n v="317.85000000000002"/>
  </r>
  <r>
    <n v="205"/>
    <s v="一般商铺"/>
    <x v="5"/>
    <s v="B1F-35-1,B1F-35-2,B1F-35-3,B1F-35-4,B1F-35-5,B1F-35-6,B1F-35-7,B1F-35-8,B1F-35-9,B1F-35-10,B1F-35-11,B1F-35-12"/>
    <x v="5"/>
    <s v="董氏水产"/>
    <s v="否"/>
    <s v="固定租金"/>
    <m/>
    <x v="186"/>
    <x v="47"/>
    <n v="2130.75"/>
    <x v="9"/>
    <n v="426.15"/>
  </r>
  <r>
    <n v="206"/>
    <s v="一般商铺"/>
    <x v="5"/>
    <s v="B1F-36"/>
    <x v="5"/>
    <s v="天新海鲜"/>
    <s v="否"/>
    <s v="固定租金"/>
    <m/>
    <x v="187"/>
    <x v="37"/>
    <n v="3725"/>
    <x v="9"/>
    <n v="1117.5"/>
  </r>
  <r>
    <n v="207"/>
    <s v="一般商铺"/>
    <x v="5"/>
    <s v="B1F-37"/>
    <x v="5"/>
    <s v="维武切面店"/>
    <s v="否"/>
    <s v="固定租金"/>
    <m/>
    <x v="188"/>
    <x v="47"/>
    <n v="2171.25"/>
    <x v="9"/>
    <n v="434.25"/>
  </r>
  <r>
    <n v="208"/>
    <s v="一般商铺"/>
    <x v="5"/>
    <s v="B1F-38,B1F-39"/>
    <x v="5"/>
    <s v="汤氏面点"/>
    <s v="否"/>
    <s v="固定租金"/>
    <m/>
    <x v="189"/>
    <x v="40"/>
    <n v="4459"/>
    <x v="9"/>
    <n v="955.5"/>
  </r>
  <r>
    <n v="209"/>
    <s v="一般商铺"/>
    <x v="5"/>
    <s v="B1F-40"/>
    <x v="5"/>
    <s v="玖子料理"/>
    <s v="否"/>
    <s v="固定租金"/>
    <m/>
    <x v="190"/>
    <x v="40"/>
    <n v="2295.2999999999997"/>
    <x v="9"/>
    <n v="491.8499999999999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2600-000000000000}" name="数据透视表1" cacheId="0" applyNumberFormats="0" applyBorderFormats="0" applyFontFormats="0" applyPatternFormats="0" applyAlignmentFormats="0" applyWidthHeightFormats="1" dataCaption="值" updatedVersion="3" minRefreshableVersion="3" showCalcMbrs="0" useAutoFormatting="1" itemPrintTitles="1" createdVersion="3" indent="0" outline="1" outlineData="1" multipleFieldFilters="0">
  <location ref="A3:D31" firstHeaderRow="1" firstDataRow="2" firstDataCol="1"/>
  <pivotFields count="14">
    <pivotField showAll="0"/>
    <pivotField showAll="0"/>
    <pivotField axis="axisRow" showAll="0">
      <items count="7">
        <item x="1"/>
        <item x="2"/>
        <item x="3"/>
        <item x="4"/>
        <item x="5"/>
        <item x="0"/>
        <item t="default"/>
      </items>
    </pivotField>
    <pivotField showAll="0"/>
    <pivotField axis="axisRow" showAll="0">
      <items count="8">
        <item x="3"/>
        <item x="6"/>
        <item x="2"/>
        <item x="4"/>
        <item x="5"/>
        <item x="1"/>
        <item x="0"/>
        <item t="default"/>
      </items>
    </pivotField>
    <pivotField showAll="0"/>
    <pivotField showAll="0"/>
    <pivotField showAll="0"/>
    <pivotField showAll="0"/>
    <pivotField dataField="1" showAll="0">
      <items count="192">
        <item x="179"/>
        <item x="173"/>
        <item x="161"/>
        <item x="162"/>
        <item x="178"/>
        <item x="165"/>
        <item x="166"/>
        <item x="168"/>
        <item x="169"/>
        <item x="163"/>
        <item x="172"/>
        <item x="185"/>
        <item x="171"/>
        <item x="183"/>
        <item x="186"/>
        <item x="188"/>
        <item x="184"/>
        <item x="182"/>
        <item x="177"/>
        <item x="63"/>
        <item x="103"/>
        <item x="167"/>
        <item x="190"/>
        <item x="180"/>
        <item x="181"/>
        <item x="125"/>
        <item x="16"/>
        <item x="77"/>
        <item x="176"/>
        <item x="160"/>
        <item x="31"/>
        <item x="46"/>
        <item x="86"/>
        <item x="158"/>
        <item x="78"/>
        <item x="149"/>
        <item x="175"/>
        <item x="189"/>
        <item x="93"/>
        <item x="66"/>
        <item x="159"/>
        <item x="106"/>
        <item x="22"/>
        <item x="145"/>
        <item x="187"/>
        <item x="118"/>
        <item x="59"/>
        <item x="53"/>
        <item x="137"/>
        <item x="85"/>
        <item x="17"/>
        <item x="19"/>
        <item x="126"/>
        <item x="62"/>
        <item x="102"/>
        <item x="57"/>
        <item x="105"/>
        <item x="23"/>
        <item x="37"/>
        <item x="7"/>
        <item x="115"/>
        <item x="87"/>
        <item x="146"/>
        <item x="69"/>
        <item x="67"/>
        <item x="48"/>
        <item x="2"/>
        <item x="84"/>
        <item x="45"/>
        <item x="136"/>
        <item x="79"/>
        <item x="119"/>
        <item x="36"/>
        <item x="104"/>
        <item x="174"/>
        <item x="6"/>
        <item x="132"/>
        <item x="147"/>
        <item x="47"/>
        <item x="20"/>
        <item x="142"/>
        <item x="58"/>
        <item x="114"/>
        <item x="76"/>
        <item x="72"/>
        <item x="75"/>
        <item x="113"/>
        <item x="15"/>
        <item x="39"/>
        <item x="70"/>
        <item x="12"/>
        <item x="68"/>
        <item x="5"/>
        <item x="11"/>
        <item x="29"/>
        <item x="30"/>
        <item x="99"/>
        <item x="10"/>
        <item x="89"/>
        <item x="170"/>
        <item x="43"/>
        <item x="25"/>
        <item x="92"/>
        <item x="157"/>
        <item x="44"/>
        <item x="91"/>
        <item x="116"/>
        <item x="24"/>
        <item x="40"/>
        <item x="108"/>
        <item x="135"/>
        <item x="4"/>
        <item x="41"/>
        <item x="14"/>
        <item x="80"/>
        <item x="120"/>
        <item x="110"/>
        <item x="28"/>
        <item x="42"/>
        <item x="141"/>
        <item x="117"/>
        <item x="131"/>
        <item x="153"/>
        <item x="73"/>
        <item x="27"/>
        <item x="38"/>
        <item x="21"/>
        <item x="3"/>
        <item x="74"/>
        <item x="112"/>
        <item x="88"/>
        <item x="26"/>
        <item x="13"/>
        <item x="83"/>
        <item x="122"/>
        <item x="152"/>
        <item x="81"/>
        <item x="82"/>
        <item x="121"/>
        <item x="33"/>
        <item x="65"/>
        <item x="35"/>
        <item x="34"/>
        <item x="96"/>
        <item x="61"/>
        <item x="55"/>
        <item x="60"/>
        <item x="97"/>
        <item x="56"/>
        <item x="32"/>
        <item x="90"/>
        <item x="123"/>
        <item x="155"/>
        <item x="64"/>
        <item x="129"/>
        <item x="150"/>
        <item x="144"/>
        <item x="133"/>
        <item x="124"/>
        <item x="156"/>
        <item x="111"/>
        <item x="134"/>
        <item x="101"/>
        <item x="9"/>
        <item x="130"/>
        <item x="51"/>
        <item x="8"/>
        <item x="154"/>
        <item x="151"/>
        <item x="138"/>
        <item x="18"/>
        <item x="148"/>
        <item x="139"/>
        <item x="71"/>
        <item x="54"/>
        <item x="143"/>
        <item x="100"/>
        <item x="140"/>
        <item x="109"/>
        <item x="107"/>
        <item x="49"/>
        <item x="94"/>
        <item x="50"/>
        <item x="95"/>
        <item x="1"/>
        <item x="164"/>
        <item x="52"/>
        <item x="98"/>
        <item x="127"/>
        <item x="128"/>
        <item x="0"/>
        <item t="default"/>
      </items>
    </pivotField>
    <pivotField dataField="1" showAll="0">
      <items count="65">
        <item x="49"/>
        <item x="54"/>
        <item x="41"/>
        <item x="59"/>
        <item x="26"/>
        <item x="37"/>
        <item x="38"/>
        <item x="57"/>
        <item x="48"/>
        <item x="8"/>
        <item x="24"/>
        <item x="23"/>
        <item x="1"/>
        <item x="62"/>
        <item x="56"/>
        <item x="7"/>
        <item x="40"/>
        <item x="47"/>
        <item x="55"/>
        <item x="13"/>
        <item x="53"/>
        <item x="27"/>
        <item x="63"/>
        <item x="43"/>
        <item x="28"/>
        <item x="39"/>
        <item x="52"/>
        <item x="51"/>
        <item x="32"/>
        <item x="44"/>
        <item x="46"/>
        <item x="25"/>
        <item x="35"/>
        <item x="50"/>
        <item x="21"/>
        <item x="42"/>
        <item x="58"/>
        <item x="31"/>
        <item x="60"/>
        <item x="29"/>
        <item x="45"/>
        <item x="36"/>
        <item x="20"/>
        <item x="17"/>
        <item x="12"/>
        <item x="2"/>
        <item x="61"/>
        <item x="6"/>
        <item x="14"/>
        <item x="3"/>
        <item x="33"/>
        <item x="10"/>
        <item x="18"/>
        <item x="9"/>
        <item x="5"/>
        <item x="16"/>
        <item x="4"/>
        <item x="22"/>
        <item x="15"/>
        <item x="30"/>
        <item x="19"/>
        <item x="11"/>
        <item x="34"/>
        <item x="0"/>
        <item t="default"/>
      </items>
    </pivotField>
    <pivotField showAll="0"/>
    <pivotField dataField="1" showAll="0">
      <items count="15">
        <item x="10"/>
        <item x="11"/>
        <item x="13"/>
        <item x="9"/>
        <item x="1"/>
        <item x="5"/>
        <item x="8"/>
        <item x="7"/>
        <item x="12"/>
        <item x="3"/>
        <item x="4"/>
        <item x="6"/>
        <item x="2"/>
        <item x="0"/>
        <item t="default"/>
      </items>
    </pivotField>
    <pivotField showAll="0"/>
  </pivotFields>
  <rowFields count="2">
    <field x="2"/>
    <field x="4"/>
  </rowFields>
  <rowItems count="27">
    <i>
      <x/>
    </i>
    <i r="1">
      <x/>
    </i>
    <i r="1">
      <x v="2"/>
    </i>
    <i r="1">
      <x v="3"/>
    </i>
    <i r="1">
      <x v="5"/>
    </i>
    <i>
      <x v="1"/>
    </i>
    <i r="1">
      <x/>
    </i>
    <i r="1">
      <x v="2"/>
    </i>
    <i r="1">
      <x v="3"/>
    </i>
    <i r="1">
      <x v="4"/>
    </i>
    <i r="1">
      <x v="5"/>
    </i>
    <i>
      <x v="2"/>
    </i>
    <i r="1">
      <x/>
    </i>
    <i r="1">
      <x v="1"/>
    </i>
    <i r="1">
      <x v="2"/>
    </i>
    <i r="1">
      <x v="4"/>
    </i>
    <i r="1">
      <x v="5"/>
    </i>
    <i>
      <x v="3"/>
    </i>
    <i r="1">
      <x/>
    </i>
    <i r="1">
      <x v="5"/>
    </i>
    <i>
      <x v="4"/>
    </i>
    <i r="1">
      <x/>
    </i>
    <i r="1">
      <x v="2"/>
    </i>
    <i r="1">
      <x v="4"/>
    </i>
    <i>
      <x v="5"/>
    </i>
    <i r="1">
      <x v="6"/>
    </i>
    <i t="grand">
      <x/>
    </i>
  </rowItems>
  <colFields count="1">
    <field x="-2"/>
  </colFields>
  <colItems count="3">
    <i>
      <x/>
    </i>
    <i i="1">
      <x v="1"/>
    </i>
    <i i="2">
      <x v="2"/>
    </i>
  </colItems>
  <dataFields count="3">
    <dataField name="求和项:租赁面积" fld="9" baseField="0" baseItem="0"/>
    <dataField name="平均值项:租金标准" fld="10" subtotal="average" baseField="0" baseItem="0"/>
    <dataField name="平均值项:管理费标准" fld="12" subtotal="average"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1214</v>
      </c>
      <c r="B1" s="1584" t="s">
        <v>1293</v>
      </c>
    </row>
    <row r="2" spans="1:2" s="1589" customFormat="1" ht="16.2" thickTop="1">
      <c r="A2" s="1587" t="s">
        <v>1215</v>
      </c>
      <c r="B2" s="1588" t="str">
        <f>'预评函-封皮'!B37:I37</f>
        <v>出让国有建设用地使用权及在建建筑物房地产抵押价值预评估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6.2" thickBot="1">
      <c r="A5" s="1593" t="s">
        <v>1218</v>
      </c>
      <c r="B5" s="1594" t="str">
        <f>'预评函-封皮'!B49</f>
        <v>康正预评字号</v>
      </c>
    </row>
    <row r="6" spans="1:2" s="1589" customFormat="1" ht="16.2" thickTop="1">
      <c r="A6" s="1587" t="s">
        <v>1219</v>
      </c>
      <c r="B6" s="1588" t="str">
        <f>'预评函-1'!A4</f>
        <v>受贵公司委托，我公司对出让国有建设用地使用权及在建建筑物房地产抵押价值进行了预评估。</v>
      </c>
    </row>
    <row r="7" spans="1:2" s="1592" customFormat="1">
      <c r="A7" s="1590" t="s">
        <v>1259</v>
      </c>
      <c r="B7" s="1591" t="str">
        <f>'预评函-1'!A7</f>
        <v>估价对象为出让国有建设用地使用权及在建建筑物房地产，为所有。根据《国有土地使用证》[]，估价对象（分摊）出让国有建设用地使用权面积为0平方米，建筑面积为73003.73平方米。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出让国有建设用地使用权及在建建筑物房地产,属开发建设的商业项目，该项目尚在开发建设中。根据《国有土地使用证》[]，估价对象（分摊）出让国有建设用地使用权面积为0平方米，规划建筑面积为73003.73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2020年3月31日</v>
      </c>
    </row>
    <row r="13" spans="1:2" s="1592" customFormat="1">
      <c r="A13" s="1590" t="s">
        <v>1222</v>
      </c>
      <c r="B13" s="1591" t="str">
        <f>'预评函-1'!A18</f>
        <v>本次估价的“房地产价值”是指在正常市场情况下，在价值时点2020年3月31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6.2" thickBot="1">
      <c r="A18" s="1593" t="s">
        <v>1227</v>
      </c>
      <c r="B18" s="1594" t="str">
        <f>'预评函-1'!A24</f>
        <v>本次评估采用的主估价方法为成本法和收益法。</v>
      </c>
    </row>
    <row r="19" spans="1:2" s="1589" customFormat="1" ht="16.2"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88217</v>
      </c>
    </row>
    <row r="21" spans="1:2" s="1592" customFormat="1">
      <c r="A21" s="1590" t="s">
        <v>1230</v>
      </c>
      <c r="B21" s="1591">
        <f ca="1">'预评函-2'!D7</f>
        <v>12084</v>
      </c>
    </row>
    <row r="22" spans="1:2" s="1592" customFormat="1">
      <c r="A22" s="1590" t="s">
        <v>1231</v>
      </c>
      <c r="B22" s="1591" t="str">
        <f ca="1">'预评函-2'!D6</f>
        <v>捌亿捌仟贰佰壹拾柒万元整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88217</v>
      </c>
    </row>
    <row r="31" spans="1:2" s="1592" customFormat="1">
      <c r="A31" s="1590" t="s">
        <v>1269</v>
      </c>
      <c r="B31" s="1591">
        <f ca="1">'预评函-2'!D15</f>
        <v>12084</v>
      </c>
    </row>
    <row r="32" spans="1:2" s="1592" customFormat="1">
      <c r="A32" s="1590" t="s">
        <v>1236</v>
      </c>
      <c r="B32" s="1591" t="str">
        <f ca="1">'预评函-2'!D14</f>
        <v>捌亿捌仟贰佰壹拾柒万元整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出让国有建设用地使用权及在建建筑物房地产</v>
      </c>
    </row>
    <row r="42" spans="1:2" s="1592" customFormat="1" ht="31.2">
      <c r="A42" s="1590" t="s">
        <v>1283</v>
      </c>
      <c r="B42" s="1591" t="str">
        <f>'预评函-3'!B2</f>
        <v>建筑面积</v>
      </c>
    </row>
    <row r="43" spans="1:2" s="1592" customFormat="1">
      <c r="A43" s="1590" t="s">
        <v>1284</v>
      </c>
      <c r="B43" s="1591">
        <f>'预评函-3'!B4</f>
        <v>73003.73</v>
      </c>
    </row>
    <row r="44" spans="1:2" s="1592" customFormat="1" ht="31.2">
      <c r="A44" s="1590" t="s">
        <v>1268</v>
      </c>
      <c r="B44" s="1591" t="str">
        <f>'预评函-3'!C2</f>
        <v>(分摊)土地面积</v>
      </c>
    </row>
    <row r="45" spans="1:2" s="1592" customFormat="1">
      <c r="A45" s="1590" t="s">
        <v>1240</v>
      </c>
      <c r="B45" s="1591">
        <f>'预评函-3'!C4</f>
        <v>0</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6.2" thickBot="1">
      <c r="A57" s="1593" t="s">
        <v>1292</v>
      </c>
      <c r="B57" s="1594" t="str">
        <f>'预评函-3'!A6</f>
        <v>估价师知悉的法定优先受偿款</v>
      </c>
    </row>
    <row r="58" spans="1:2" s="1589" customFormat="1" ht="16.2"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（1）根据估价对象《不动产权证书》复印件，截至价值时点，估价对象抵押权未见登记。</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6.2" thickBot="1">
      <c r="A69" s="1593" t="s">
        <v>1254</v>
      </c>
      <c r="B69" s="1595">
        <f>'预评函-4'!C31</f>
        <v>42551</v>
      </c>
    </row>
    <row r="70" spans="1:2" ht="16.2" thickTop="1">
      <c r="A70" s="1596" t="s">
        <v>1255</v>
      </c>
      <c r="B70" s="1597">
        <f>'预评函-4'!A4</f>
        <v>0</v>
      </c>
    </row>
    <row r="71" spans="1:2">
      <c r="A71" s="1590" t="s">
        <v>1256</v>
      </c>
      <c r="B71" s="1591">
        <f>'预评函-4'!B4</f>
        <v>0</v>
      </c>
    </row>
    <row r="72" spans="1:2">
      <c r="A72" s="1590" t="s">
        <v>1257</v>
      </c>
      <c r="B72" s="1599">
        <f>'预评函-4'!A5</f>
        <v>0</v>
      </c>
    </row>
    <row r="73" spans="1:2" s="1586" customFormat="1" ht="16.2" thickBot="1">
      <c r="A73" s="1593" t="s">
        <v>1258</v>
      </c>
      <c r="B73" s="1594">
        <f>'预评函-4'!B5</f>
        <v>0</v>
      </c>
    </row>
    <row r="74" spans="1:2" ht="16.2" thickTop="1">
      <c r="A74" s="1583" t="s">
        <v>1294</v>
      </c>
      <c r="B74" s="160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18" sqref="B18"/>
    </sheetView>
  </sheetViews>
  <sheetFormatPr defaultColWidth="9" defaultRowHeight="14.4"/>
  <cols>
    <col min="1" max="1" width="13.44140625" style="2022" customWidth="1"/>
    <col min="2" max="2" width="23.21875" style="1973" customWidth="1"/>
    <col min="3" max="3" width="13" style="2017" customWidth="1"/>
    <col min="4" max="4" width="5.77734375" style="2014" customWidth="1"/>
    <col min="5" max="5" width="7.109375" style="2014" customWidth="1"/>
    <col min="6" max="6" width="10.6640625" style="2014" customWidth="1"/>
    <col min="7" max="7" width="7.4414062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09375" style="1973" customWidth="1"/>
    <col min="25" max="16384" width="9" style="1973"/>
  </cols>
  <sheetData>
    <row r="1" spans="1:23" s="2011" customFormat="1" ht="28.8">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3087</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85"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5"/>
      <c r="B54" s="2020" t="s">
        <v>860</v>
      </c>
      <c r="C54" s="2017" t="s">
        <v>1276</v>
      </c>
    </row>
    <row r="55" spans="1:4">
      <c r="A55" s="3085"/>
      <c r="B55" s="2020" t="s">
        <v>861</v>
      </c>
      <c r="C55" s="2017" t="s">
        <v>1277</v>
      </c>
    </row>
    <row r="56" spans="1:4">
      <c r="A56" s="3085"/>
      <c r="B56" s="2020" t="s">
        <v>862</v>
      </c>
      <c r="C56" s="2017" t="s">
        <v>1281</v>
      </c>
    </row>
    <row r="57" spans="1:4">
      <c r="A57" s="3085"/>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E8" sqref="E8"/>
    </sheetView>
  </sheetViews>
  <sheetFormatPr defaultColWidth="10" defaultRowHeight="18" customHeight="1"/>
  <cols>
    <col min="1" max="1" width="14.88671875" style="2030" customWidth="1"/>
    <col min="2" max="2" width="10" style="2030" customWidth="1"/>
    <col min="3" max="3" width="11.44140625" style="2030" customWidth="1"/>
    <col min="4" max="6" width="10" style="2030" customWidth="1"/>
    <col min="7" max="7" width="10.77734375" style="2030" customWidth="1"/>
    <col min="8" max="8" width="10" style="2030" customWidth="1"/>
    <col min="9" max="9" width="11.10937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086" t="str">
        <f>IF(B10="北京市","北京市",C10)&amp;F10&amp;IF(结果表!G1="在建","出让国有建设用地使用权及在建建筑物",IF(结果表!G1="土地","出让国有建设用地使用权",))&amp;B9&amp;"预评估"</f>
        <v>出让国有建设用地使用权及在建建筑物房地产抵押价值预评估</v>
      </c>
      <c r="C1" s="3087"/>
      <c r="D1" s="3087"/>
      <c r="E1" s="3087"/>
      <c r="F1" s="3087"/>
      <c r="G1" s="3087"/>
      <c r="H1" s="3087"/>
      <c r="I1" s="3088"/>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3" t="s">
        <v>1772</v>
      </c>
      <c r="B3" s="2034"/>
      <c r="C3" s="2035" t="s">
        <v>1773</v>
      </c>
      <c r="D3" s="2034">
        <v>43921</v>
      </c>
      <c r="E3" s="2024"/>
      <c r="F3" s="2024"/>
      <c r="G3" s="2024"/>
      <c r="H3" s="2024"/>
      <c r="I3" s="2024"/>
      <c r="J3" s="2024"/>
      <c r="K3" s="2025"/>
      <c r="L3" s="2026"/>
      <c r="M3" s="2026"/>
      <c r="N3" s="2027"/>
      <c r="O3" s="2028"/>
      <c r="P3" s="2027"/>
      <c r="Q3" s="2027"/>
      <c r="R3" s="2027"/>
      <c r="S3" s="2029"/>
    </row>
    <row r="4" spans="1:19" ht="18" customHeight="1" thickBot="1">
      <c r="A4" s="2036" t="s">
        <v>1774</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3054</v>
      </c>
      <c r="C8" s="2054"/>
      <c r="D8" s="3089" t="s">
        <v>1779</v>
      </c>
      <c r="E8" s="2055" t="s">
        <v>3055</v>
      </c>
      <c r="F8" s="2056"/>
      <c r="G8" s="2024"/>
      <c r="H8" s="2024"/>
      <c r="I8" s="2024"/>
      <c r="J8" s="2040"/>
      <c r="K8" s="2041"/>
      <c r="L8" s="2026"/>
      <c r="M8" s="2026"/>
      <c r="N8" s="2027"/>
      <c r="O8" s="2028"/>
      <c r="P8" s="2027"/>
      <c r="Q8" s="2027"/>
      <c r="R8" s="2027"/>
    </row>
    <row r="9" spans="1:19" ht="18" customHeight="1" thickBot="1">
      <c r="A9" s="2038" t="s">
        <v>1780</v>
      </c>
      <c r="B9" s="2057" t="s">
        <v>3055</v>
      </c>
      <c r="C9" s="2058"/>
      <c r="D9" s="3090"/>
      <c r="E9" s="2057"/>
      <c r="F9" s="2059"/>
      <c r="G9" s="2060"/>
      <c r="H9" s="2060"/>
      <c r="I9" s="2060"/>
      <c r="J9" s="2040"/>
      <c r="K9" s="2052"/>
      <c r="L9" s="2026"/>
      <c r="M9" s="2026"/>
      <c r="N9" s="2027"/>
      <c r="O9" s="2028"/>
      <c r="P9" s="2027"/>
      <c r="Q9" s="2027"/>
      <c r="R9" s="2027"/>
    </row>
    <row r="10" spans="1:19" ht="18" customHeight="1" thickTop="1">
      <c r="A10" s="2061" t="s">
        <v>1781</v>
      </c>
      <c r="B10" s="2062" t="s">
        <v>3056</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3057</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3058</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c r="E13" s="2078">
        <v>57417</v>
      </c>
      <c r="F13" s="2078"/>
      <c r="G13" s="2078"/>
      <c r="H13" s="2078"/>
      <c r="I13" s="1047"/>
      <c r="J13" s="2040"/>
      <c r="K13" s="2052"/>
      <c r="L13" s="2026"/>
      <c r="M13" s="2026"/>
      <c r="N13" s="2027"/>
      <c r="O13" s="2028"/>
      <c r="P13" s="2027"/>
      <c r="Q13" s="2027"/>
      <c r="R13" s="2027"/>
    </row>
    <row r="14" spans="1:19" ht="18" customHeight="1">
      <c r="A14" s="2075"/>
      <c r="B14" s="2076"/>
      <c r="C14" s="2077" t="s">
        <v>1793</v>
      </c>
      <c r="D14" s="1050"/>
      <c r="E14" s="1050">
        <v>40</v>
      </c>
      <c r="F14" s="1050"/>
      <c r="G14" s="1050"/>
      <c r="H14" s="1050"/>
      <c r="I14" s="1050"/>
      <c r="J14" s="2040"/>
      <c r="K14" s="2079"/>
      <c r="L14" s="2026"/>
      <c r="M14" s="2026"/>
      <c r="N14" s="2027"/>
      <c r="O14" s="2028"/>
      <c r="P14" s="2027"/>
      <c r="Q14" s="2027"/>
      <c r="R14" s="2027"/>
    </row>
    <row r="15" spans="1:19" ht="18" customHeight="1">
      <c r="A15" s="2061"/>
      <c r="B15" s="2080"/>
      <c r="C15" s="2077" t="s">
        <v>1794</v>
      </c>
      <c r="D15" s="1049" t="str">
        <f>IF(B12="出让",IF(D13="","",ROUNDDOWN(MIN((D13-$D$3)/365,D14),2)),D14)</f>
        <v/>
      </c>
      <c r="E15" s="1049">
        <f>IF(B12="出让",IF(E13="","",ROUNDDOWN(MIN((E13-$D$3)/365,E14),2)),E14)</f>
        <v>36.97</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1795</v>
      </c>
      <c r="B16" s="3096"/>
      <c r="C16" s="3097"/>
      <c r="D16" s="3098"/>
      <c r="E16" s="2084" t="s">
        <v>1796</v>
      </c>
      <c r="F16" s="3099"/>
      <c r="G16" s="3100"/>
      <c r="H16" s="3100"/>
      <c r="I16" s="3101"/>
      <c r="J16" s="2027"/>
      <c r="K16" s="2081"/>
      <c r="L16" s="2082"/>
      <c r="M16" s="2082"/>
      <c r="N16" s="2083"/>
      <c r="O16" s="2082"/>
      <c r="P16" s="2083"/>
      <c r="Q16" s="2027"/>
      <c r="R16" s="2027"/>
    </row>
    <row r="17" spans="1:22" ht="18" customHeight="1">
      <c r="A17" s="2085" t="s">
        <v>1797</v>
      </c>
      <c r="B17" s="2033" t="s">
        <v>1798</v>
      </c>
      <c r="C17" s="1054">
        <f>'数据-汇总表'!E3</f>
        <v>73003.73</v>
      </c>
      <c r="D17" s="2086" t="s">
        <v>1799</v>
      </c>
      <c r="E17" s="3102" t="s">
        <v>1800</v>
      </c>
      <c r="F17" s="3103"/>
      <c r="G17" s="3103"/>
      <c r="H17" s="3103"/>
      <c r="I17" s="3104"/>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4">
        <f>'数据-汇总表'!D3</f>
        <v>0</v>
      </c>
      <c r="D18" s="2089" t="s">
        <v>1799</v>
      </c>
      <c r="E18" s="3105" t="s">
        <v>1803</v>
      </c>
      <c r="F18" s="3106"/>
      <c r="G18" s="3106"/>
      <c r="H18" s="3106"/>
      <c r="I18" s="3107"/>
      <c r="J18" s="2027"/>
      <c r="K18" s="2087"/>
      <c r="L18" s="2082"/>
      <c r="M18" s="2082"/>
      <c r="N18" s="2083"/>
      <c r="O18" s="2082"/>
      <c r="P18" s="2083"/>
      <c r="Q18" s="2027"/>
      <c r="R18" s="2027"/>
      <c r="S18" s="2027"/>
      <c r="T18" s="2027"/>
      <c r="U18" s="2027"/>
      <c r="V18" s="2027"/>
    </row>
    <row r="19" spans="1:22" ht="37.5" customHeight="1" thickTop="1" thickBot="1">
      <c r="A19" s="373" t="s">
        <v>1804</v>
      </c>
      <c r="B19" s="352" t="s">
        <v>1805</v>
      </c>
      <c r="C19" s="2090" t="s">
        <v>3059</v>
      </c>
      <c r="D19" s="2091" t="s">
        <v>1806</v>
      </c>
      <c r="E19" s="2092" t="s">
        <v>70</v>
      </c>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92" t="s">
        <v>1808</v>
      </c>
      <c r="C20" s="3093"/>
      <c r="D20" s="3094" t="s">
        <v>1809</v>
      </c>
      <c r="E20" s="3095"/>
      <c r="F20" s="2096" t="s">
        <v>1810</v>
      </c>
      <c r="G20" s="2040"/>
      <c r="H20" s="2040"/>
      <c r="I20" s="2040"/>
      <c r="J20" s="2040"/>
      <c r="K20" s="3091" t="s">
        <v>1811</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6"/>
      <c r="N20" s="2083"/>
      <c r="O20" s="2082"/>
      <c r="P20" s="2083"/>
      <c r="Q20" s="2027"/>
      <c r="R20" s="2027"/>
      <c r="S20" s="2027"/>
      <c r="T20" s="2027"/>
      <c r="U20" s="2027"/>
      <c r="V20" s="2027"/>
    </row>
    <row r="21" spans="1:22" ht="24.75" customHeight="1">
      <c r="A21" s="2095"/>
      <c r="B21" s="2097" t="s">
        <v>3060</v>
      </c>
      <c r="C21" s="2098" t="s">
        <v>3061</v>
      </c>
      <c r="D21" s="2099" t="s">
        <v>1813</v>
      </c>
      <c r="E21" s="2100" t="s">
        <v>1812</v>
      </c>
      <c r="F21" s="2101"/>
      <c r="G21" s="2040"/>
      <c r="H21" s="2040"/>
      <c r="I21" s="2040"/>
      <c r="J21" s="2040"/>
      <c r="K21" s="309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83"/>
      <c r="O21" s="2082"/>
      <c r="P21" s="2083"/>
      <c r="Q21" s="2027"/>
      <c r="R21" s="2027"/>
      <c r="S21" s="2027"/>
      <c r="T21" s="2027"/>
      <c r="U21" s="2027"/>
      <c r="V21" s="2027"/>
    </row>
    <row r="22" spans="1:22" ht="24.75" customHeight="1" thickBot="1">
      <c r="A22" s="2095"/>
      <c r="B22" s="2102" t="s">
        <v>70</v>
      </c>
      <c r="C22" s="2098" t="s">
        <v>70</v>
      </c>
      <c r="D22" s="2024"/>
      <c r="E22" s="2024"/>
      <c r="F22" s="2103"/>
      <c r="G22" s="2040"/>
      <c r="H22" s="2040"/>
      <c r="I22" s="2040"/>
      <c r="J22" s="2040"/>
      <c r="K22" s="309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1814</v>
      </c>
      <c r="B23" s="183" t="s">
        <v>1815</v>
      </c>
      <c r="C23" s="2105"/>
      <c r="D23" s="2106" t="s">
        <v>1815</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1816</v>
      </c>
      <c r="C24" s="2110"/>
      <c r="D24" s="2104" t="s">
        <v>1816</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1817</v>
      </c>
      <c r="C25" s="2110"/>
      <c r="D25" s="2104" t="s">
        <v>1817</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1818</v>
      </c>
      <c r="C26" s="2114"/>
      <c r="D26" s="2115" t="s">
        <v>1819</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109" t="s">
        <v>1820</v>
      </c>
      <c r="B27" s="2061" t="s">
        <v>1821</v>
      </c>
      <c r="C27" s="2118" t="s">
        <v>3062</v>
      </c>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109"/>
      <c r="B28" s="2033" t="s">
        <v>1822</v>
      </c>
      <c r="C28" s="2120" t="s">
        <v>3063</v>
      </c>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109"/>
      <c r="B29" s="2033" t="s">
        <v>1823</v>
      </c>
      <c r="C29" s="2123" t="s">
        <v>3059</v>
      </c>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110"/>
      <c r="B30" s="2033" t="s">
        <v>1824</v>
      </c>
      <c r="C30" s="3111"/>
      <c r="D30" s="3112"/>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113" t="s">
        <v>1825</v>
      </c>
      <c r="B31" s="2125" t="s">
        <v>3064</v>
      </c>
      <c r="C31" s="2126" t="str">
        <f>IF(B31="现房","成新及维护状况正常否",IF(B31="在建","工程状态是否正常",IF(B31="土地","是否闲置","-")))</f>
        <v>成新及维护状况正常否</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114"/>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114"/>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1826</v>
      </c>
      <c r="B34" s="2132" t="s">
        <v>3065</v>
      </c>
      <c r="C34" s="2132" t="s">
        <v>3066</v>
      </c>
      <c r="D34" s="2132" t="s">
        <v>3067</v>
      </c>
      <c r="E34" s="2132" t="s">
        <v>3068</v>
      </c>
      <c r="F34" s="2132" t="s">
        <v>3069</v>
      </c>
      <c r="G34" s="2132" t="s">
        <v>3070</v>
      </c>
      <c r="H34" s="2132"/>
      <c r="I34" s="2040"/>
      <c r="J34" s="2040"/>
      <c r="K34" s="1794">
        <f>COUNTIF(B34:H34,"——")</f>
        <v>0</v>
      </c>
      <c r="L34" s="2073" t="s">
        <v>1827</v>
      </c>
      <c r="M34" s="2073" t="s">
        <v>1828</v>
      </c>
      <c r="N34" s="2073" t="s">
        <v>1829</v>
      </c>
      <c r="O34" s="2073" t="s">
        <v>1830</v>
      </c>
      <c r="P34" s="2073" t="s">
        <v>1831</v>
      </c>
      <c r="Q34" s="2073" t="s">
        <v>1832</v>
      </c>
      <c r="R34" s="2073" t="s">
        <v>1833</v>
      </c>
      <c r="S34" s="3108" t="s">
        <v>1834</v>
      </c>
      <c r="T34" s="2133" t="str">
        <f>NUMBERSTRING(7-K34,1)&amp;"通"</f>
        <v>七通</v>
      </c>
      <c r="U34" s="2027"/>
      <c r="V34" s="2027"/>
    </row>
    <row r="35" spans="1:22" ht="18" customHeight="1">
      <c r="A35" s="2134"/>
      <c r="B35" s="3115" t="s">
        <v>1835</v>
      </c>
      <c r="C35" s="3115"/>
      <c r="D35" s="3115"/>
      <c r="E35" s="3115"/>
      <c r="F35" s="2135">
        <f>C10</f>
        <v>0</v>
      </c>
      <c r="G35" s="2040"/>
      <c r="H35" s="2040"/>
      <c r="I35" s="2040"/>
      <c r="J35" s="2040"/>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08"/>
      <c r="T35" s="48" t="str">
        <f>IF(T34="一通",L35,IF(T34="二通",M35,IF(T34="三通",N35,IF(T34="四通",O35,IF(T34="五通",P35,IF(T34="六通",Q35,R35))))))</f>
        <v>通路、通电、通讯、通上水、通下水、燃气、</v>
      </c>
      <c r="U35" s="2027"/>
      <c r="V35" s="2027"/>
    </row>
    <row r="36" spans="1:22" ht="18" customHeight="1">
      <c r="A36" s="2136"/>
      <c r="B36" s="2135" t="s">
        <v>1836</v>
      </c>
      <c r="C36" s="2135" t="s">
        <v>1837</v>
      </c>
      <c r="D36" s="2135" t="s">
        <v>1838</v>
      </c>
      <c r="E36" s="2135" t="s">
        <v>1839</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1840</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1841</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1842</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1843</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1844</v>
      </c>
      <c r="B42" s="1794" t="s">
        <v>1845</v>
      </c>
      <c r="C42" s="1794" t="s">
        <v>1846</v>
      </c>
      <c r="D42" s="1794" t="s">
        <v>1847</v>
      </c>
      <c r="E42" s="1794" t="s">
        <v>1848</v>
      </c>
      <c r="F42" s="1794" t="s">
        <v>1849</v>
      </c>
      <c r="G42" s="1794" t="s">
        <v>1850</v>
      </c>
      <c r="H42" s="1794" t="s">
        <v>1851</v>
      </c>
      <c r="I42" s="1794" t="s">
        <v>1852</v>
      </c>
      <c r="J42" s="2151" t="s">
        <v>1853</v>
      </c>
      <c r="K42" s="2074" t="s">
        <v>1854</v>
      </c>
      <c r="L42" s="2074" t="s">
        <v>1855</v>
      </c>
      <c r="M42" s="2074" t="s">
        <v>1856</v>
      </c>
      <c r="N42" s="1794" t="s">
        <v>1857</v>
      </c>
      <c r="O42" s="1794" t="s">
        <v>1858</v>
      </c>
      <c r="P42" s="1794" t="s">
        <v>1859</v>
      </c>
      <c r="Q42" s="2073" t="s">
        <v>1860</v>
      </c>
      <c r="R42" s="2073" t="s">
        <v>1861</v>
      </c>
      <c r="S42" s="2027"/>
      <c r="T42" s="2027"/>
      <c r="U42" s="2027"/>
      <c r="V42" s="2027"/>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8671875" defaultRowHeight="13.8"/>
  <cols>
    <col min="1" max="1" width="10.6640625" style="2158" customWidth="1"/>
    <col min="2" max="2" width="11" style="2158" customWidth="1"/>
    <col min="3" max="3" width="10.33203125" style="2158" customWidth="1"/>
    <col min="4" max="4" width="9.109375" style="2158" customWidth="1"/>
    <col min="5" max="6" width="10" style="2221" customWidth="1"/>
    <col min="7" max="8" width="10" style="2158" customWidth="1"/>
    <col min="9" max="9" width="10.6640625" style="2158" customWidth="1"/>
    <col min="10" max="10" width="9.44140625" style="2158" customWidth="1"/>
    <col min="11" max="11" width="11" style="2158" customWidth="1"/>
    <col min="12" max="14" width="9.44140625" style="2158" customWidth="1"/>
    <col min="15" max="15" width="9.88671875" style="2158" customWidth="1"/>
    <col min="16" max="16" width="9.77734375" style="2158" customWidth="1"/>
    <col min="17" max="17" width="9.33203125" style="2158" customWidth="1"/>
    <col min="18" max="18" width="9.21875" style="2158" customWidth="1"/>
    <col min="19" max="19" width="10.88671875" style="2158" customWidth="1"/>
    <col min="20" max="21" width="10.77734375" style="2158" customWidth="1"/>
    <col min="22" max="22" width="10.88671875" style="2158" customWidth="1"/>
    <col min="23" max="27" width="10.77734375" style="2158" customWidth="1"/>
    <col min="28" max="28" width="10.88671875" style="2158" customWidth="1"/>
    <col min="29" max="29" width="11" style="2158" bestFit="1" customWidth="1"/>
    <col min="30" max="30" width="10" style="2158" bestFit="1" customWidth="1"/>
    <col min="31" max="31" width="9.77734375" style="2158" customWidth="1"/>
    <col min="32" max="46" width="9.44140625" style="2158" customWidth="1"/>
    <col min="47" max="47" width="18.109375" style="2158" customWidth="1"/>
    <col min="48" max="50" width="9.77734375" style="2158" customWidth="1"/>
    <col min="51" max="55" width="10.44140625" style="2158" bestFit="1" customWidth="1"/>
    <col min="56" max="56" width="9.44140625" style="2158" bestFit="1" customWidth="1"/>
    <col min="57" max="63" width="9.109375" style="2158" bestFit="1" customWidth="1"/>
    <col min="64" max="64" width="9.44140625" style="2158" bestFit="1" customWidth="1"/>
    <col min="65" max="65" width="9.109375" style="2158" bestFit="1" customWidth="1"/>
    <col min="66" max="66" width="9.44140625" style="2158" bestFit="1" customWidth="1"/>
    <col min="67" max="69" width="9.109375" style="2158" bestFit="1" customWidth="1"/>
    <col min="70" max="70" width="9.44140625" style="2158" bestFit="1" customWidth="1"/>
    <col min="71" max="71" width="9" style="2158" customWidth="1"/>
    <col min="72" max="72" width="9.109375" style="2158" bestFit="1" customWidth="1"/>
    <col min="73" max="16384" width="8.88671875" style="2158"/>
  </cols>
  <sheetData>
    <row r="1" spans="1:72" ht="21">
      <c r="A1" s="2161" t="s">
        <v>1862</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1863</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1864</v>
      </c>
      <c r="B2" s="11" t="s">
        <v>1865</v>
      </c>
      <c r="C2" s="11" t="s">
        <v>1866</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1867</v>
      </c>
      <c r="AZ2" s="1270" t="s">
        <v>1868</v>
      </c>
      <c r="BA2" s="11" t="s">
        <v>1869</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3.2">
      <c r="A3" s="13"/>
      <c r="B3" s="14">
        <f>IF(C3="否",G5-AT5,G5)</f>
        <v>73003.73</v>
      </c>
      <c r="C3" s="2167" t="s">
        <v>1870</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3.2">
      <c r="A5" s="15" t="s">
        <v>1871</v>
      </c>
      <c r="B5" s="1802"/>
      <c r="C5" s="1802"/>
      <c r="D5" s="1805"/>
      <c r="E5" s="16" t="s">
        <v>1</v>
      </c>
      <c r="F5" s="16">
        <f>SUM(F13:F587)</f>
        <v>0</v>
      </c>
      <c r="G5" s="16">
        <f>SUM(G13:G587)</f>
        <v>73003.73</v>
      </c>
      <c r="H5" s="16">
        <f t="shared" ref="H5:AT5" si="0">SUM(H13:H656)</f>
        <v>73003.73</v>
      </c>
      <c r="I5" s="16">
        <f t="shared" si="0"/>
        <v>65654.289999999994</v>
      </c>
      <c r="J5" s="16">
        <f t="shared" si="0"/>
        <v>0</v>
      </c>
      <c r="K5" s="16">
        <f t="shared" si="0"/>
        <v>7349.44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1871</v>
      </c>
      <c r="AW5" s="1802"/>
      <c r="AX5" s="1802"/>
      <c r="AY5" s="17" t="s">
        <v>3</v>
      </c>
      <c r="AZ5" s="18">
        <f t="shared" ref="AZ5:BT5" si="1">SUM(AZ13:AZ656)</f>
        <v>73003.73</v>
      </c>
      <c r="BA5" s="18">
        <f t="shared" si="1"/>
        <v>73003.73</v>
      </c>
      <c r="BB5" s="18">
        <f t="shared" si="1"/>
        <v>65654.289999999994</v>
      </c>
      <c r="BC5" s="18">
        <f t="shared" si="1"/>
        <v>7349.44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3.2">
      <c r="A6" s="15" t="s">
        <v>1872</v>
      </c>
      <c r="B6" s="2173"/>
      <c r="C6" s="2173"/>
      <c r="D6" s="21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1872</v>
      </c>
      <c r="AW6" s="2173"/>
      <c r="AX6" s="21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5.2">
      <c r="A7" s="2108" t="s">
        <v>1873</v>
      </c>
      <c r="B7" s="2108" t="s">
        <v>1874</v>
      </c>
      <c r="C7" s="2108" t="s">
        <v>1875</v>
      </c>
      <c r="D7" s="2108" t="s">
        <v>1876</v>
      </c>
      <c r="E7" s="2108" t="s">
        <v>1877</v>
      </c>
      <c r="F7" s="2108" t="s">
        <v>1878</v>
      </c>
      <c r="G7" s="2177" t="s">
        <v>1879</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1880</v>
      </c>
      <c r="AV7" s="23" t="s">
        <v>1881</v>
      </c>
      <c r="AW7" s="2165" t="s">
        <v>1882</v>
      </c>
      <c r="AX7" s="23" t="s">
        <v>1875</v>
      </c>
      <c r="AY7" s="1802" t="s">
        <v>1883</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1884</v>
      </c>
      <c r="H8" s="2183" t="s">
        <v>1885</v>
      </c>
      <c r="I8" s="2184"/>
      <c r="J8" s="1817"/>
      <c r="K8" s="1817"/>
      <c r="L8" s="1817"/>
      <c r="M8" s="1817"/>
      <c r="N8" s="1817"/>
      <c r="O8" s="1817"/>
      <c r="P8" s="1817"/>
      <c r="Q8" s="1817"/>
      <c r="R8" s="1817"/>
      <c r="S8" s="1817"/>
      <c r="T8" s="1817"/>
      <c r="U8" s="1817"/>
      <c r="V8" s="2185"/>
      <c r="W8" s="1817"/>
      <c r="X8" s="1817"/>
      <c r="Y8" s="1817"/>
      <c r="Z8" s="1817"/>
      <c r="AA8" s="2185"/>
      <c r="AB8" s="2186"/>
      <c r="AC8" s="981" t="s">
        <v>1886</v>
      </c>
      <c r="AD8" s="2187"/>
      <c r="AE8" s="2179"/>
      <c r="AF8" s="1817"/>
      <c r="AG8" s="1817"/>
      <c r="AH8" s="1817"/>
      <c r="AI8" s="1817"/>
      <c r="AJ8" s="1817"/>
      <c r="AK8" s="1817"/>
      <c r="AL8" s="1817"/>
      <c r="AM8" s="1817"/>
      <c r="AN8" s="1817"/>
      <c r="AO8" s="1817"/>
      <c r="AP8" s="1817"/>
      <c r="AQ8" s="1817"/>
      <c r="AR8" s="1817"/>
      <c r="AS8" s="1817"/>
      <c r="AT8" s="1292" t="s">
        <v>1887</v>
      </c>
      <c r="AU8" s="2181" t="s">
        <v>1888</v>
      </c>
      <c r="AV8" s="1292"/>
      <c r="AW8" s="2164"/>
      <c r="AX8" s="1292"/>
      <c r="AY8" s="2165" t="s">
        <v>1889</v>
      </c>
      <c r="AZ8" s="1816" t="s">
        <v>1890</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3.2">
      <c r="A9" s="2181"/>
      <c r="B9" s="2181"/>
      <c r="C9" s="2181"/>
      <c r="D9" s="2181"/>
      <c r="E9" s="2181"/>
      <c r="F9" s="2181"/>
      <c r="G9" s="1292"/>
      <c r="H9" s="2189" t="s">
        <v>1891</v>
      </c>
      <c r="I9" s="2190" t="s">
        <v>3074</v>
      </c>
      <c r="J9" s="981"/>
      <c r="K9" s="2190" t="s">
        <v>3076</v>
      </c>
      <c r="L9" s="981"/>
      <c r="M9" s="2190"/>
      <c r="N9" s="981"/>
      <c r="O9" s="2190"/>
      <c r="P9" s="981"/>
      <c r="Q9" s="2190"/>
      <c r="R9" s="981"/>
      <c r="S9" s="2190"/>
      <c r="T9" s="981"/>
      <c r="U9" s="2190"/>
      <c r="V9" s="981"/>
      <c r="W9" s="2190"/>
      <c r="X9" s="2191"/>
      <c r="Y9" s="2190"/>
      <c r="Z9" s="981"/>
      <c r="AA9" s="2190"/>
      <c r="AB9" s="981"/>
      <c r="AC9" s="2182"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92"/>
      <c r="AT9" s="2181"/>
      <c r="AU9" s="2181" t="s">
        <v>1894</v>
      </c>
      <c r="AV9" s="1292"/>
      <c r="AW9" s="2164"/>
      <c r="AX9" s="1292"/>
      <c r="AY9" s="28"/>
      <c r="AZ9" s="28" t="s">
        <v>1884</v>
      </c>
      <c r="BA9" s="2193" t="s">
        <v>1895</v>
      </c>
      <c r="BB9" s="2194"/>
      <c r="BC9" s="1338"/>
      <c r="BD9" s="1338"/>
      <c r="BE9" s="1338"/>
      <c r="BF9" s="1338"/>
      <c r="BG9" s="1338"/>
      <c r="BH9" s="1338"/>
      <c r="BI9" s="1338"/>
      <c r="BJ9" s="1338"/>
      <c r="BK9" s="2195"/>
      <c r="BL9" s="15" t="s">
        <v>1896</v>
      </c>
      <c r="BM9" s="1817"/>
      <c r="BN9" s="2184"/>
      <c r="BO9" s="1817"/>
      <c r="BP9" s="1817"/>
      <c r="BQ9" s="1817"/>
      <c r="BR9" s="1817"/>
      <c r="BS9" s="1817"/>
      <c r="BT9" s="26"/>
    </row>
    <row r="10" spans="1:72" s="2188" customFormat="1" ht="13.2">
      <c r="A10" s="2181"/>
      <c r="B10" s="2181"/>
      <c r="C10" s="2181"/>
      <c r="D10" s="2181"/>
      <c r="E10" s="2181"/>
      <c r="F10" s="2181"/>
      <c r="G10" s="1292"/>
      <c r="H10" s="28"/>
      <c r="I10" s="2190" t="s">
        <v>1372</v>
      </c>
      <c r="J10" s="981"/>
      <c r="K10" s="2196" t="s">
        <v>1372</v>
      </c>
      <c r="L10" s="981"/>
      <c r="M10" s="2196"/>
      <c r="N10" s="981"/>
      <c r="O10" s="2196"/>
      <c r="P10" s="981"/>
      <c r="Q10" s="2196"/>
      <c r="R10" s="981"/>
      <c r="S10" s="2196"/>
      <c r="T10" s="981"/>
      <c r="U10" s="2196"/>
      <c r="V10" s="981"/>
      <c r="W10" s="2196"/>
      <c r="X10" s="981"/>
      <c r="Y10" s="2196"/>
      <c r="Z10" s="981"/>
      <c r="AA10" s="2196"/>
      <c r="AB10" s="981"/>
      <c r="AC10" s="1292"/>
      <c r="AD10" s="15" t="s">
        <v>1897</v>
      </c>
      <c r="AE10" s="2197"/>
      <c r="AF10" s="15" t="s">
        <v>1897</v>
      </c>
      <c r="AG10" s="2197"/>
      <c r="AH10" s="15" t="s">
        <v>1898</v>
      </c>
      <c r="AI10" s="2197"/>
      <c r="AJ10" s="15" t="s">
        <v>1898</v>
      </c>
      <c r="AK10" s="2197"/>
      <c r="AL10" s="15" t="s">
        <v>1899</v>
      </c>
      <c r="AM10" s="1298"/>
      <c r="AN10" s="15" t="s">
        <v>1899</v>
      </c>
      <c r="AO10" s="1298"/>
      <c r="AP10" s="15" t="s">
        <v>1900</v>
      </c>
      <c r="AQ10" s="1298"/>
      <c r="AR10" s="15" t="s">
        <v>1900</v>
      </c>
      <c r="AS10" s="1298"/>
      <c r="AT10" s="2181"/>
      <c r="AU10" s="2181"/>
      <c r="AV10" s="1292"/>
      <c r="AW10" s="2164"/>
      <c r="AX10" s="1292"/>
      <c r="AY10" s="28"/>
      <c r="AZ10" s="28"/>
      <c r="BA10" s="2198" t="s">
        <v>1891</v>
      </c>
      <c r="BB10" s="2199" t="str">
        <f>I9</f>
        <v>地上</v>
      </c>
      <c r="BC10" s="29" t="str">
        <f>K9</f>
        <v>地下</v>
      </c>
      <c r="BD10" s="29">
        <f>M9</f>
        <v>0</v>
      </c>
      <c r="BE10" s="29">
        <f>O9</f>
        <v>0</v>
      </c>
      <c r="BF10" s="29">
        <f>Q9</f>
        <v>0</v>
      </c>
      <c r="BG10" s="29">
        <f>S9</f>
        <v>0</v>
      </c>
      <c r="BH10" s="29">
        <f>U9</f>
        <v>0</v>
      </c>
      <c r="BI10" s="29">
        <f>W9</f>
        <v>0</v>
      </c>
      <c r="BJ10" s="29">
        <f>Y9</f>
        <v>0</v>
      </c>
      <c r="BK10" s="29">
        <f>AA9</f>
        <v>0</v>
      </c>
      <c r="BL10" s="25" t="s">
        <v>1891</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3.2">
      <c r="A11" s="2181"/>
      <c r="B11" s="2181"/>
      <c r="C11" s="2181"/>
      <c r="D11" s="2181"/>
      <c r="E11" s="2181"/>
      <c r="F11" s="2181"/>
      <c r="G11" s="1292"/>
      <c r="H11" s="2198"/>
      <c r="I11" s="2201" t="s">
        <v>3075</v>
      </c>
      <c r="J11" s="2202"/>
      <c r="K11" s="2201" t="s">
        <v>3075</v>
      </c>
      <c r="L11" s="2202"/>
      <c r="M11" s="2201"/>
      <c r="N11" s="2202"/>
      <c r="O11" s="2201"/>
      <c r="P11" s="2202"/>
      <c r="Q11" s="2201"/>
      <c r="R11" s="2202"/>
      <c r="S11" s="2201"/>
      <c r="T11" s="2202"/>
      <c r="U11" s="2201"/>
      <c r="V11" s="2202"/>
      <c r="W11" s="2201"/>
      <c r="X11" s="2202"/>
      <c r="Y11" s="2201"/>
      <c r="Z11" s="2202"/>
      <c r="AA11" s="2201"/>
      <c r="AB11" s="2202"/>
      <c r="AC11" s="1292"/>
      <c r="AD11" s="2203" t="s">
        <v>1901</v>
      </c>
      <c r="AE11" s="1818"/>
      <c r="AF11" s="2203" t="s">
        <v>1901</v>
      </c>
      <c r="AG11" s="1818"/>
      <c r="AH11" s="2203" t="s">
        <v>1902</v>
      </c>
      <c r="AI11" s="2204"/>
      <c r="AJ11" s="2203" t="s">
        <v>1902</v>
      </c>
      <c r="AK11" s="1818"/>
      <c r="AL11" s="1816"/>
      <c r="AM11" s="1818"/>
      <c r="AN11" s="1816"/>
      <c r="AO11" s="1818"/>
      <c r="AP11" s="1816"/>
      <c r="AQ11" s="1818"/>
      <c r="AR11" s="1816"/>
      <c r="AS11" s="1818"/>
      <c r="AT11" s="2164"/>
      <c r="AU11" s="2181"/>
      <c r="AV11" s="1292"/>
      <c r="AW11" s="2164"/>
      <c r="AX11" s="1292"/>
      <c r="AY11" s="28"/>
      <c r="AZ11" s="28"/>
      <c r="BA11" s="28"/>
      <c r="BB11" s="2186" t="str">
        <f>I10</f>
        <v>商业</v>
      </c>
      <c r="BC11" s="2186" t="str">
        <f>K10</f>
        <v>商业</v>
      </c>
      <c r="BD11" s="2186">
        <f>M10</f>
        <v>0</v>
      </c>
      <c r="BE11" s="2186">
        <f>O10</f>
        <v>0</v>
      </c>
      <c r="BF11" s="2186">
        <f>Q10</f>
        <v>0</v>
      </c>
      <c r="BG11" s="2186">
        <f>S10</f>
        <v>0</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3.2">
      <c r="A12" s="2206"/>
      <c r="B12" s="2206"/>
      <c r="C12" s="2206"/>
      <c r="D12" s="2206"/>
      <c r="E12" s="2206"/>
      <c r="F12" s="2206"/>
      <c r="G12" s="30"/>
      <c r="H12" s="2207"/>
      <c r="I12" s="1805"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1" t="s">
        <v>1904</v>
      </c>
      <c r="W12" s="11" t="s">
        <v>1903</v>
      </c>
      <c r="X12" s="11" t="s">
        <v>1904</v>
      </c>
      <c r="Y12" s="11" t="s">
        <v>1903</v>
      </c>
      <c r="Z12" s="11" t="s">
        <v>1904</v>
      </c>
      <c r="AA12" s="11" t="s">
        <v>1903</v>
      </c>
      <c r="AB12" s="11" t="s">
        <v>1904</v>
      </c>
      <c r="AC12" s="2208"/>
      <c r="AD12" s="1805"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6" t="s">
        <v>1904</v>
      </c>
      <c r="AT12" s="2209"/>
      <c r="AU12" s="2206"/>
      <c r="AV12" s="31"/>
      <c r="AW12" s="2165"/>
      <c r="AX12" s="31"/>
      <c r="AY12" s="2210"/>
      <c r="AZ12" s="28"/>
      <c r="BA12" s="2198"/>
      <c r="BB12" s="24" t="str">
        <f>I11</f>
        <v>独立商业</v>
      </c>
      <c r="BC12" s="2211" t="str">
        <f>K11</f>
        <v>独立商业</v>
      </c>
      <c r="BD12" s="2211">
        <f>M11</f>
        <v>0</v>
      </c>
      <c r="BE12" s="2186">
        <f>O11</f>
        <v>0</v>
      </c>
      <c r="BF12" s="2186">
        <f>Q11</f>
        <v>0</v>
      </c>
      <c r="BG12" s="2186">
        <f>S11</f>
        <v>0</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3.2">
      <c r="A13" s="1272"/>
      <c r="B13" s="1272"/>
      <c r="C13" s="1272" t="s">
        <v>3072</v>
      </c>
      <c r="D13" s="2212" t="s">
        <v>3071</v>
      </c>
      <c r="E13" s="16">
        <f>IF($C$3="是",ROUND($A$3*G13/$B$3,2),ROUND($A$3*(G13-AT13)/$B$3,2))</f>
        <v>0</v>
      </c>
      <c r="F13" s="32"/>
      <c r="G13" s="33">
        <f>H13+AC13+AT13</f>
        <v>65654.289999999994</v>
      </c>
      <c r="H13" s="20">
        <f>SUMIF(I$12:AB$12,"总值",I13:AB13)</f>
        <v>65654.289999999994</v>
      </c>
      <c r="I13" s="2213">
        <f>73003.73-K14</f>
        <v>65654.289999999994</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1-5层</v>
      </c>
      <c r="AY13" s="1805">
        <f>ROUND($AY$6*AZ13/$AZ$5,2)</f>
        <v>0</v>
      </c>
      <c r="AZ13" s="16">
        <f>BA13+BL13</f>
        <v>65654.289999999994</v>
      </c>
      <c r="BA13" s="16">
        <f>SUM(BB13:BK13)</f>
        <v>65654.289999999994</v>
      </c>
      <c r="BB13" s="16">
        <f>IF($D13="是",I13-J13,0)</f>
        <v>65654.289999999994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3.2">
      <c r="A14" s="1272"/>
      <c r="B14" s="1272"/>
      <c r="C14" s="2963" t="s">
        <v>3073</v>
      </c>
      <c r="D14" s="2212" t="s">
        <v>3071</v>
      </c>
      <c r="E14" s="16">
        <f>IF($C$3="是",ROUND($A$3*G14/$B$3,2),ROUND($A$3*(G14-AT14)/$B$3,2))</f>
        <v>0</v>
      </c>
      <c r="F14" s="32"/>
      <c r="G14" s="33">
        <f>H14+AC14+AT14</f>
        <v>7349.44</v>
      </c>
      <c r="H14" s="20">
        <f>SUMIF(I$12:AB$12,"总值",I14:AB14)</f>
        <v>7349.44</v>
      </c>
      <c r="I14" s="2213"/>
      <c r="J14" s="2213"/>
      <c r="K14" s="2213">
        <v>7349.44</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地下1层</v>
      </c>
      <c r="AY14" s="1805">
        <f>ROUND($AY$6*AZ14/$AZ$5,2)</f>
        <v>0</v>
      </c>
      <c r="AZ14" s="16">
        <f>BA14+BL14</f>
        <v>7349.44</v>
      </c>
      <c r="BA14" s="16">
        <f>SUM(BB14:BK14)</f>
        <v>7349.44</v>
      </c>
      <c r="BB14" s="16">
        <f>IF($D14="是",I14-J14,0)</f>
        <v>0</v>
      </c>
      <c r="BC14" s="16">
        <f>IF($D14="是",K14-L14,0)</f>
        <v>7349.44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3.2">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3.2">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3.2">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16" t="s">
        <v>0</v>
      </c>
      <c r="B1" s="3116" t="s">
        <v>4</v>
      </c>
      <c r="C1" s="3116" t="s">
        <v>5</v>
      </c>
      <c r="D1" s="3117" t="s">
        <v>53</v>
      </c>
      <c r="E1" s="3117" t="s">
        <v>54</v>
      </c>
      <c r="F1" s="3117"/>
      <c r="G1" s="3117"/>
      <c r="H1" s="3117"/>
      <c r="I1" s="3117"/>
      <c r="J1" s="3117"/>
      <c r="K1" s="3117"/>
      <c r="L1" s="3117"/>
      <c r="M1" s="3117"/>
    </row>
    <row r="2" spans="1:13" ht="27" customHeight="1">
      <c r="A2" s="3116"/>
      <c r="B2" s="3116"/>
      <c r="C2" s="3116"/>
      <c r="D2" s="3117"/>
      <c r="E2" s="3117" t="s">
        <v>37</v>
      </c>
      <c r="F2" s="3117" t="s">
        <v>38</v>
      </c>
      <c r="G2" s="3117"/>
      <c r="H2" s="3117"/>
      <c r="I2" s="3117"/>
      <c r="J2" s="3117" t="s">
        <v>39</v>
      </c>
      <c r="K2" s="3117"/>
      <c r="L2" s="3117"/>
      <c r="M2" s="3117"/>
    </row>
    <row r="3" spans="1:13" ht="46.8">
      <c r="A3" s="3116"/>
      <c r="B3" s="3116"/>
      <c r="C3" s="3116"/>
      <c r="D3" s="3117"/>
      <c r="E3" s="311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7" t="s">
        <v>55</v>
      </c>
      <c r="B9" s="3117"/>
      <c r="C9" s="311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C21" sqref="C21"/>
    </sheetView>
  </sheetViews>
  <sheetFormatPr defaultColWidth="9.21875" defaultRowHeight="13.8"/>
  <cols>
    <col min="1" max="1" width="12.109375" style="2225" customWidth="1"/>
    <col min="2" max="2" width="10.21875" style="2225" customWidth="1"/>
    <col min="3" max="3" width="18.44140625" style="2225" customWidth="1"/>
    <col min="4" max="4" width="11.6640625" style="2225" customWidth="1"/>
    <col min="5" max="5" width="13.33203125" style="2225" customWidth="1"/>
    <col min="6" max="8" width="11.44140625" style="2225" customWidth="1"/>
    <col min="9" max="9" width="11.109375" style="2225" customWidth="1"/>
    <col min="10" max="10" width="3.109375" style="2225" customWidth="1"/>
    <col min="11" max="16" width="10" style="2225" customWidth="1"/>
    <col min="17" max="17" width="2.6640625" style="2225" customWidth="1"/>
    <col min="18" max="18" width="9.33203125" style="2225" bestFit="1" customWidth="1"/>
    <col min="19" max="19" width="10.44140625" style="2225" bestFit="1" customWidth="1"/>
    <col min="20" max="16384" width="9.21875" style="2225"/>
  </cols>
  <sheetData>
    <row r="1" spans="1:16" ht="17.399999999999999">
      <c r="A1" s="2224" t="s">
        <v>1930</v>
      </c>
      <c r="B1" s="1392"/>
      <c r="C1" s="1392"/>
      <c r="D1" s="1392"/>
      <c r="E1" s="1392"/>
      <c r="F1" s="1392"/>
      <c r="G1" s="1392"/>
      <c r="H1" s="1392"/>
      <c r="I1" s="1392"/>
      <c r="J1" s="1392"/>
      <c r="K1" s="1392"/>
      <c r="L1" s="1392"/>
      <c r="M1" s="1392"/>
      <c r="N1" s="1392"/>
      <c r="O1" s="1392"/>
      <c r="P1" s="1392"/>
    </row>
    <row r="2" spans="1:16" ht="14.4">
      <c r="A2" s="3127" t="s">
        <v>1931</v>
      </c>
      <c r="B2" s="3127"/>
      <c r="C2" s="3127"/>
      <c r="D2" s="967" t="s">
        <v>1907</v>
      </c>
      <c r="E2" s="2226" t="s">
        <v>1908</v>
      </c>
      <c r="F2" s="1392"/>
      <c r="G2" s="2227"/>
      <c r="H2" s="2228"/>
      <c r="I2" s="2229" t="s">
        <v>1932</v>
      </c>
      <c r="J2" s="1392"/>
      <c r="K2" s="1392"/>
      <c r="L2" s="1392"/>
      <c r="M2" s="1392"/>
      <c r="N2" s="1427"/>
      <c r="O2" s="1392"/>
      <c r="P2" s="1392"/>
    </row>
    <row r="3" spans="1:16" ht="15" thickBot="1">
      <c r="A3" s="3128" t="s">
        <v>1905</v>
      </c>
      <c r="B3" s="3128"/>
      <c r="C3" s="3128"/>
      <c r="D3" s="46">
        <f>'数据-基础表'!AY6</f>
        <v>0</v>
      </c>
      <c r="E3" s="46">
        <f>'数据-基础表'!AZ5</f>
        <v>73003.73</v>
      </c>
      <c r="F3" s="1392"/>
      <c r="G3" s="1399"/>
      <c r="H3" s="1247" t="s">
        <v>1906</v>
      </c>
      <c r="I3" s="55" t="e">
        <f>ROUND('数据-基础表'!B3/'数据-基础表'!A3,2)</f>
        <v>#DIV/0!</v>
      </c>
      <c r="J3" s="1392"/>
      <c r="K3" s="1392"/>
      <c r="L3" s="1392"/>
      <c r="M3" s="1392"/>
      <c r="N3" s="1427"/>
      <c r="O3" s="1392"/>
      <c r="P3" s="1392"/>
    </row>
    <row r="4" spans="1:16" ht="14.4">
      <c r="A4" s="3129"/>
      <c r="B4" s="3130"/>
      <c r="C4" s="3131"/>
      <c r="D4" s="2230" t="s">
        <v>1907</v>
      </c>
      <c r="E4" s="2231" t="s">
        <v>1908</v>
      </c>
      <c r="F4" s="1392"/>
      <c r="G4" s="2232" t="s">
        <v>1933</v>
      </c>
      <c r="H4" s="1247" t="s">
        <v>1913</v>
      </c>
      <c r="I4" s="55" t="e">
        <f>ROUND(SUMIF('数据-基础表'!I9:AS9,"地上",'数据-基础表'!I5:AS5)/'数据-基础表'!A3,2)</f>
        <v>#DIV/0!</v>
      </c>
      <c r="J4" s="1392"/>
      <c r="K4" s="1392"/>
      <c r="L4" s="1392"/>
      <c r="M4" s="1392"/>
      <c r="N4" s="1427"/>
      <c r="O4" s="1392"/>
      <c r="P4" s="1392"/>
    </row>
    <row r="5" spans="1:16" ht="14.4">
      <c r="A5" s="47" t="s">
        <v>1909</v>
      </c>
      <c r="B5" s="3132" t="s">
        <v>1910</v>
      </c>
      <c r="C5" s="3132"/>
      <c r="D5" s="48">
        <f>ROUND($D$3*E5/$E$3,2)</f>
        <v>0</v>
      </c>
      <c r="E5" s="49">
        <f>SUMIF('数据-基础表'!$11:$11,"住宅",'数据-基础表'!$5:$5)</f>
        <v>0</v>
      </c>
      <c r="F5" s="1392"/>
      <c r="G5" s="1399"/>
      <c r="H5" s="1247" t="s">
        <v>1906</v>
      </c>
      <c r="I5" s="55" t="e">
        <f>ROUND(E31/D31,2)</f>
        <v>#DIV/0!</v>
      </c>
      <c r="J5" s="1392"/>
      <c r="K5" s="1392"/>
      <c r="L5" s="1392"/>
      <c r="M5" s="1392"/>
      <c r="N5" s="1392"/>
      <c r="O5" s="1392"/>
      <c r="P5" s="1392"/>
    </row>
    <row r="6" spans="1:16" ht="15" thickBot="1">
      <c r="A6" s="2233"/>
      <c r="B6" s="3132" t="s">
        <v>1911</v>
      </c>
      <c r="C6" s="3132"/>
      <c r="D6" s="48">
        <f>ROUND($D$3*E6/$E$3,2)</f>
        <v>0</v>
      </c>
      <c r="E6" s="49">
        <f>E3-E5</f>
        <v>73003.73</v>
      </c>
      <c r="F6" s="1392"/>
      <c r="G6" s="2234" t="s">
        <v>1912</v>
      </c>
      <c r="H6" s="1399" t="s">
        <v>1913</v>
      </c>
      <c r="I6" s="939" t="e">
        <f>ROUND(F31/D31,2)</f>
        <v>#DIV/0!</v>
      </c>
      <c r="J6" s="1392"/>
      <c r="K6" s="1392"/>
      <c r="L6" s="1392"/>
      <c r="M6" s="1392"/>
      <c r="N6" s="1392"/>
      <c r="O6" s="1392"/>
      <c r="P6" s="1392"/>
    </row>
    <row r="7" spans="1:16" ht="14.4">
      <c r="A7" s="3124"/>
      <c r="B7" s="3125"/>
      <c r="C7" s="3126"/>
      <c r="D7" s="2230" t="s">
        <v>1907</v>
      </c>
      <c r="E7" s="2235" t="s">
        <v>1914</v>
      </c>
      <c r="F7" s="1392"/>
      <c r="G7" s="2227" t="s">
        <v>1915</v>
      </c>
      <c r="H7" s="64"/>
      <c r="I7" s="420"/>
      <c r="J7" s="1392"/>
      <c r="K7" s="1392"/>
      <c r="L7" s="1392"/>
      <c r="M7" s="1392"/>
      <c r="N7" s="1392"/>
      <c r="O7" s="1392"/>
      <c r="P7" s="1392"/>
    </row>
    <row r="8" spans="1:16" ht="14.4">
      <c r="A8" s="47" t="s">
        <v>1916</v>
      </c>
      <c r="B8" s="50" t="s">
        <v>1917</v>
      </c>
      <c r="C8" s="48" t="s">
        <v>1918</v>
      </c>
      <c r="D8" s="48">
        <f t="shared" ref="D8:D15" si="0">ROUND($D$3*E8/$E$3,2)</f>
        <v>0</v>
      </c>
      <c r="E8" s="51">
        <f>SUMIF('数据-基础表'!BB10:BK10,"地上",'数据-基础表'!BB5:BK5)</f>
        <v>65654.289999999994</v>
      </c>
      <c r="F8" s="1392"/>
      <c r="G8" s="2236"/>
      <c r="H8" s="2236"/>
      <c r="I8" s="1392"/>
      <c r="J8" s="1392"/>
      <c r="K8" s="1392"/>
      <c r="L8" s="1392"/>
      <c r="M8" s="1392"/>
      <c r="N8" s="1392"/>
      <c r="O8" s="1392"/>
      <c r="P8" s="1392"/>
    </row>
    <row r="9" spans="1:16" ht="14.4">
      <c r="A9" s="2237"/>
      <c r="B9" s="2238"/>
      <c r="C9" s="48" t="s">
        <v>1919</v>
      </c>
      <c r="D9" s="48">
        <f t="shared" si="0"/>
        <v>0</v>
      </c>
      <c r="E9" s="52">
        <v>0</v>
      </c>
      <c r="F9" s="1392"/>
      <c r="G9" s="2236"/>
      <c r="H9" s="2236"/>
      <c r="I9" s="1392"/>
      <c r="J9" s="1392"/>
      <c r="K9" s="1392"/>
      <c r="L9" s="1392"/>
      <c r="M9" s="1392"/>
      <c r="N9" s="1392"/>
      <c r="O9" s="1392"/>
      <c r="P9" s="1392"/>
    </row>
    <row r="10" spans="1:16" ht="14.4">
      <c r="A10" s="2237"/>
      <c r="B10" s="2238"/>
      <c r="C10" s="48" t="s">
        <v>1928</v>
      </c>
      <c r="D10" s="48">
        <f t="shared" si="0"/>
        <v>0</v>
      </c>
      <c r="E10" s="51">
        <f>SUMPRODUCT(('数据-基础表'!BB10:BK10="地下")*('数据-基础表'!BB11:BK11="商业")*('数据-基础表'!BB5:BK5))</f>
        <v>7349.44</v>
      </c>
      <c r="F10" s="1392"/>
      <c r="G10" s="2236"/>
      <c r="H10" s="2236"/>
      <c r="I10" s="1392"/>
      <c r="J10" s="1392"/>
      <c r="K10" s="1392"/>
      <c r="L10" s="1392"/>
      <c r="M10" s="1392"/>
      <c r="N10" s="1392"/>
      <c r="O10" s="1392"/>
      <c r="P10" s="1392"/>
    </row>
    <row r="11" spans="1:16" ht="14.4">
      <c r="A11" s="2237"/>
      <c r="B11" s="2238"/>
      <c r="C11" s="48" t="s">
        <v>1920</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ht="14.4">
      <c r="A12" s="2237"/>
      <c r="B12" s="2238"/>
      <c r="C12" s="48" t="s">
        <v>1921</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ht="14.4">
      <c r="A13" s="2237"/>
      <c r="B13" s="2238"/>
      <c r="C13" s="48" t="s">
        <v>1922</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ht="14.4">
      <c r="A14" s="2237"/>
      <c r="B14" s="2238"/>
      <c r="C14" s="48" t="s">
        <v>1934</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1929</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 thickBot="1">
      <c r="A16" s="2233"/>
      <c r="B16" s="2238"/>
      <c r="C16" s="50" t="s">
        <v>1923</v>
      </c>
      <c r="D16" s="50">
        <f>SUM(D8:D15)</f>
        <v>0</v>
      </c>
      <c r="E16" s="53">
        <f>SUM(E8:E15)</f>
        <v>73003.73</v>
      </c>
      <c r="F16" s="1392"/>
      <c r="G16" s="2236"/>
      <c r="H16" s="2239" t="s">
        <v>1935</v>
      </c>
      <c r="I16" s="2240"/>
      <c r="J16" s="1392"/>
      <c r="K16" s="3121" t="s">
        <v>1935</v>
      </c>
      <c r="L16" s="3122"/>
      <c r="M16" s="3122"/>
      <c r="N16" s="3122"/>
      <c r="O16" s="3122"/>
      <c r="P16" s="3123"/>
    </row>
    <row r="17" spans="1:19" ht="14.4">
      <c r="A17" s="2241" t="s">
        <v>1936</v>
      </c>
      <c r="B17" s="2242" t="s">
        <v>1937</v>
      </c>
      <c r="C17" s="2243" t="s">
        <v>1938</v>
      </c>
      <c r="D17" s="2244" t="s">
        <v>1926</v>
      </c>
      <c r="E17" s="2245" t="s">
        <v>1927</v>
      </c>
      <c r="F17" s="2246"/>
      <c r="G17" s="2247"/>
      <c r="H17" s="2248" t="s">
        <v>1939</v>
      </c>
      <c r="I17" s="2249" t="s">
        <v>1924</v>
      </c>
      <c r="J17" s="1392"/>
      <c r="K17" s="3118" t="s">
        <v>1940</v>
      </c>
      <c r="L17" s="3119"/>
      <c r="M17" s="3120"/>
      <c r="N17" s="3118" t="s">
        <v>1941</v>
      </c>
      <c r="O17" s="3119"/>
      <c r="P17" s="3120"/>
      <c r="R17" s="2227" t="s">
        <v>1942</v>
      </c>
      <c r="S17" s="64"/>
    </row>
    <row r="18" spans="1:19" ht="14.4">
      <c r="A18" s="2237"/>
      <c r="B18" s="2250"/>
      <c r="C18" s="2251"/>
      <c r="D18" s="2252"/>
      <c r="E18" s="2253" t="s">
        <v>1943</v>
      </c>
      <c r="F18" s="2254" t="s">
        <v>1944</v>
      </c>
      <c r="G18" s="2255" t="s">
        <v>1945</v>
      </c>
      <c r="H18" s="1262" t="s">
        <v>1946</v>
      </c>
      <c r="I18" s="2256" t="s">
        <v>1947</v>
      </c>
      <c r="J18" s="1392"/>
      <c r="K18" s="1262" t="s">
        <v>1948</v>
      </c>
      <c r="L18" s="2257" t="s">
        <v>1949</v>
      </c>
      <c r="M18" s="1046" t="s">
        <v>1950</v>
      </c>
      <c r="N18" s="1262" t="s">
        <v>1948</v>
      </c>
      <c r="O18" s="2257" t="s">
        <v>1949</v>
      </c>
      <c r="P18" s="1046" t="s">
        <v>1950</v>
      </c>
      <c r="R18" s="1247" t="s">
        <v>1951</v>
      </c>
      <c r="S18" s="1247" t="s">
        <v>1952</v>
      </c>
    </row>
    <row r="19" spans="1:19" ht="14.4">
      <c r="A19" s="2258"/>
      <c r="B19" s="50" t="s">
        <v>1925</v>
      </c>
      <c r="C19" s="2964" t="s">
        <v>3077</v>
      </c>
      <c r="D19" s="48">
        <f>ROUND($D$3*E19/$E$3,2)</f>
        <v>0</v>
      </c>
      <c r="E19" s="56">
        <f t="shared" ref="E19:E26" si="1">SUM(F19:G19)</f>
        <v>65654.289999999994</v>
      </c>
      <c r="F19" s="57">
        <f>'数据-基础表'!I13</f>
        <v>65654.289999999994</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0"/>
      <c r="O19" s="2261"/>
      <c r="P19" s="1403">
        <f>N19+O19</f>
        <v>0</v>
      </c>
      <c r="R19" s="1247">
        <f t="shared" ref="R19:S26" si="5">D19+H19</f>
        <v>0</v>
      </c>
      <c r="S19" s="1248">
        <f t="shared" si="5"/>
        <v>65654.289999999994</v>
      </c>
    </row>
    <row r="20" spans="1:19" ht="14.4">
      <c r="A20" s="2262"/>
      <c r="B20" s="50" t="s">
        <v>1953</v>
      </c>
      <c r="C20" s="2964" t="s">
        <v>3085</v>
      </c>
      <c r="D20" s="48">
        <f t="shared" ref="D20:D26" si="6">ROUND($D$3*E20/$E$3,2)</f>
        <v>0</v>
      </c>
      <c r="E20" s="56">
        <f t="shared" si="1"/>
        <v>7349.44</v>
      </c>
      <c r="F20" s="57"/>
      <c r="G20" s="58">
        <f>'数据-基础表'!K14</f>
        <v>7349.44</v>
      </c>
      <c r="H20" s="723">
        <f t="shared" ref="H20:H26" si="7">ROUND($D$3*I20/$E$3,2)</f>
        <v>0</v>
      </c>
      <c r="I20" s="51">
        <f t="shared" si="2"/>
        <v>0</v>
      </c>
      <c r="J20" s="1392"/>
      <c r="K20" s="1391">
        <f t="shared" si="3"/>
        <v>0</v>
      </c>
      <c r="L20" s="1247">
        <f t="shared" si="4"/>
        <v>0</v>
      </c>
      <c r="M20" s="1403">
        <f t="shared" ref="M20:M26" si="8">K20+L20</f>
        <v>0</v>
      </c>
      <c r="N20" s="2260"/>
      <c r="O20" s="2261"/>
      <c r="P20" s="1403">
        <f t="shared" ref="P20:P26" si="9">N20+O20</f>
        <v>0</v>
      </c>
      <c r="R20" s="1247">
        <f t="shared" si="5"/>
        <v>0</v>
      </c>
      <c r="S20" s="1248">
        <f t="shared" si="5"/>
        <v>7349.44</v>
      </c>
    </row>
    <row r="21" spans="1:19" ht="14.4">
      <c r="A21" s="2262"/>
      <c r="B21" s="50" t="s">
        <v>1953</v>
      </c>
      <c r="C21" s="2259"/>
      <c r="D21" s="48">
        <f t="shared" si="6"/>
        <v>0</v>
      </c>
      <c r="E21" s="56">
        <f t="shared" si="1"/>
        <v>0</v>
      </c>
      <c r="F21" s="57"/>
      <c r="G21" s="58"/>
      <c r="H21" s="723">
        <f t="shared" si="7"/>
        <v>0</v>
      </c>
      <c r="I21" s="51">
        <f t="shared" si="2"/>
        <v>0</v>
      </c>
      <c r="J21" s="1392"/>
      <c r="K21" s="1391">
        <f t="shared" si="3"/>
        <v>0</v>
      </c>
      <c r="L21" s="1247">
        <f t="shared" si="4"/>
        <v>0</v>
      </c>
      <c r="M21" s="1403">
        <f t="shared" si="8"/>
        <v>0</v>
      </c>
      <c r="N21" s="2260"/>
      <c r="O21" s="2261"/>
      <c r="P21" s="1403">
        <f t="shared" si="9"/>
        <v>0</v>
      </c>
      <c r="R21" s="1247">
        <f t="shared" si="5"/>
        <v>0</v>
      </c>
      <c r="S21" s="1248">
        <f t="shared" si="5"/>
        <v>0</v>
      </c>
    </row>
    <row r="22" spans="1:19" ht="14.4">
      <c r="A22" s="2262"/>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ht="14.4">
      <c r="A23" s="2262"/>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ht="14.4">
      <c r="A24" s="2262"/>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ht="14.4">
      <c r="A25" s="2262"/>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ht="14.4">
      <c r="A26" s="2262"/>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 thickBot="1">
      <c r="A27" s="2262"/>
      <c r="B27" s="48"/>
      <c r="C27" s="2265" t="s">
        <v>1954</v>
      </c>
      <c r="D27" s="1393">
        <f>SUM(D19:D26)</f>
        <v>0</v>
      </c>
      <c r="E27" s="1394">
        <f>IF(SUM(E19:E26)='数据-基础表'!BA5,SUM(E19:E26),IF(F27="地上面积有误","面积有误","地下面积有误"))</f>
        <v>73003.73</v>
      </c>
      <c r="F27" s="1393">
        <f>IF(SUM(F19:F26)=E8,SUM(F19:F26),"地上面积有误")</f>
        <v>65654.289999999994</v>
      </c>
      <c r="G27" s="1395">
        <f>SUM(G19:G26)</f>
        <v>7349.44</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73003.73</v>
      </c>
    </row>
    <row r="28" spans="1:19" ht="14.4">
      <c r="A28" s="2262"/>
      <c r="B28" s="50" t="s">
        <v>1955</v>
      </c>
      <c r="C28" s="1259" t="s">
        <v>1956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62"/>
      <c r="B29" s="50" t="s">
        <v>1955</v>
      </c>
      <c r="C29" s="2266"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62"/>
      <c r="B30" s="50"/>
      <c r="C30" s="2267" t="s">
        <v>1954</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8"/>
      <c r="B31" s="2269"/>
      <c r="C31" s="1007" t="s">
        <v>1958</v>
      </c>
      <c r="D31" s="729">
        <f>D27+D30</f>
        <v>0</v>
      </c>
      <c r="E31" s="729">
        <f>E27+E30</f>
        <v>73003.73</v>
      </c>
      <c r="F31" s="730">
        <f>F27+F30</f>
        <v>65654.289999999994</v>
      </c>
      <c r="G31" s="731">
        <f>G27+G30</f>
        <v>7349.44</v>
      </c>
      <c r="H31" s="1392"/>
      <c r="I31" s="1392"/>
      <c r="J31" s="1392"/>
      <c r="K31" s="1392"/>
      <c r="L31" s="1392"/>
      <c r="M31" s="1392"/>
      <c r="N31" s="1392"/>
      <c r="O31" s="1392"/>
      <c r="P31" s="1392"/>
    </row>
    <row r="32" spans="1:19" ht="14.4">
      <c r="A32" s="2232"/>
      <c r="B32" s="2232" t="s">
        <v>1959</v>
      </c>
      <c r="C32" s="2232"/>
      <c r="D32" s="2232"/>
      <c r="E32" s="1274">
        <f>SUMIF(C19:C26,"*住宅*",E19:E26)</f>
        <v>0</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U8" sqref="U8"/>
    </sheetView>
  </sheetViews>
  <sheetFormatPr defaultColWidth="13.77734375" defaultRowHeight="13.2"/>
  <cols>
    <col min="1" max="1" width="20.88671875" style="2344" customWidth="1"/>
    <col min="2" max="2" width="12" style="2274" customWidth="1"/>
    <col min="3" max="3" width="10.77734375" style="2274" customWidth="1"/>
    <col min="4" max="4" width="9.109375" style="2345" customWidth="1"/>
    <col min="5" max="5" width="15" style="2274" bestFit="1" customWidth="1"/>
    <col min="6" max="10" width="8.88671875" style="2274" customWidth="1"/>
    <col min="11" max="12" width="12.33203125" style="2188" customWidth="1"/>
    <col min="13" max="13" width="8.6640625" style="2274" customWidth="1"/>
    <col min="14" max="14" width="11.88671875" style="2274" customWidth="1"/>
    <col min="15" max="15" width="8.44140625" style="2274" customWidth="1"/>
    <col min="16" max="17" width="10.88671875" style="2274" customWidth="1"/>
    <col min="18" max="19" width="12.44140625" style="2274" customWidth="1"/>
    <col min="20" max="20" width="12.109375" style="2274" customWidth="1"/>
    <col min="21" max="21" width="7.44140625" style="2274" customWidth="1"/>
    <col min="22" max="22" width="6.33203125" style="2274" customWidth="1"/>
    <col min="23" max="30" width="6.77734375" style="2274" customWidth="1"/>
    <col min="31" max="31" width="8" style="2274" customWidth="1"/>
    <col min="32" max="34" width="7.21875" style="2274" customWidth="1"/>
    <col min="35" max="39" width="8" style="2274" customWidth="1"/>
    <col min="40" max="40" width="13.77734375" style="2273"/>
    <col min="41" max="41" width="11.6640625" style="2273" customWidth="1"/>
    <col min="42" max="42" width="9.77734375" style="2273" customWidth="1"/>
    <col min="43" max="67" width="13.77734375" style="2273"/>
    <col min="68" max="16384" width="13.77734375" style="2274"/>
  </cols>
  <sheetData>
    <row r="1" spans="1:67" ht="18" thickBot="1">
      <c r="A1" s="2271" t="s">
        <v>1960</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 thickBot="1">
      <c r="A2" s="2275" t="s">
        <v>1961</v>
      </c>
      <c r="B2" s="1266">
        <f>项目基本情况!D3</f>
        <v>43921</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4.4" thickBot="1">
      <c r="A3" s="2027"/>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1962</v>
      </c>
      <c r="B4" s="2280"/>
      <c r="C4" s="2281"/>
      <c r="D4" s="2282"/>
      <c r="E4" s="2281" t="s">
        <v>1963</v>
      </c>
      <c r="F4" s="2281"/>
      <c r="G4" s="2281"/>
      <c r="H4" s="2281"/>
      <c r="I4" s="2281"/>
      <c r="J4" s="2283"/>
      <c r="K4" s="2284"/>
      <c r="L4" s="2285"/>
      <c r="M4" s="2281"/>
      <c r="N4" s="2281" t="s">
        <v>1964</v>
      </c>
      <c r="O4" s="2281"/>
      <c r="P4" s="2281"/>
      <c r="Q4" s="2281"/>
      <c r="R4" s="2281"/>
      <c r="S4" s="2283"/>
      <c r="T4" s="2286" t="str">
        <f>'数据-汇总表'!I17</f>
        <v>按面积比例</v>
      </c>
      <c r="U4" s="2280" t="s">
        <v>1965</v>
      </c>
      <c r="V4" s="2281"/>
      <c r="W4" s="2281"/>
      <c r="X4" s="2281"/>
      <c r="Y4" s="2283"/>
      <c r="Z4" s="2243" t="s">
        <v>1966</v>
      </c>
      <c r="AA4" s="2243"/>
      <c r="AB4" s="2243"/>
      <c r="AC4" s="2243"/>
      <c r="AD4" s="2243"/>
      <c r="AE4" s="2241" t="s">
        <v>1967</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57.6">
      <c r="A5" s="2288" t="s">
        <v>1968</v>
      </c>
      <c r="B5" s="2289" t="s">
        <v>1969</v>
      </c>
      <c r="C5" s="2290" t="s">
        <v>1970</v>
      </c>
      <c r="D5" s="2291" t="s">
        <v>1971</v>
      </c>
      <c r="E5" s="1268" t="s">
        <v>1972</v>
      </c>
      <c r="F5" s="2292" t="s">
        <v>1973</v>
      </c>
      <c r="G5" s="1268" t="s">
        <v>1974</v>
      </c>
      <c r="H5" s="1268" t="s">
        <v>1975</v>
      </c>
      <c r="I5" s="1268" t="s">
        <v>1976</v>
      </c>
      <c r="J5" s="2293" t="s">
        <v>1977</v>
      </c>
      <c r="K5" s="2294" t="s">
        <v>1978</v>
      </c>
      <c r="L5" s="2295" t="s">
        <v>1979</v>
      </c>
      <c r="M5" s="2296" t="s">
        <v>1980</v>
      </c>
      <c r="N5" s="2297" t="s">
        <v>3078</v>
      </c>
      <c r="O5" s="2295" t="s">
        <v>1981</v>
      </c>
      <c r="P5" s="2298" t="s">
        <v>1982</v>
      </c>
      <c r="Q5" s="69" t="s">
        <v>1983</v>
      </c>
      <c r="R5" s="2299" t="s">
        <v>1984</v>
      </c>
      <c r="S5" s="2300" t="s">
        <v>1985</v>
      </c>
      <c r="T5" s="2301" t="s">
        <v>1986</v>
      </c>
      <c r="U5" s="1267" t="s">
        <v>1987</v>
      </c>
      <c r="V5" s="1268" t="s">
        <v>1988</v>
      </c>
      <c r="W5" s="1268" t="s">
        <v>1989</v>
      </c>
      <c r="X5" s="71"/>
      <c r="Y5" s="70" t="s">
        <v>1990</v>
      </c>
      <c r="Z5" s="2302" t="s">
        <v>1987</v>
      </c>
      <c r="AA5" s="1268" t="s">
        <v>1988</v>
      </c>
      <c r="AB5" s="1268" t="s">
        <v>1989</v>
      </c>
      <c r="AC5" s="71"/>
      <c r="AD5" s="71" t="s">
        <v>1990</v>
      </c>
      <c r="AE5" s="1267" t="s">
        <v>1991</v>
      </c>
      <c r="AF5" s="1268" t="s">
        <v>1992</v>
      </c>
      <c r="AG5" s="70" t="s">
        <v>1993</v>
      </c>
      <c r="AH5" s="1267" t="s">
        <v>1994</v>
      </c>
      <c r="AI5" s="2302" t="s">
        <v>1995</v>
      </c>
      <c r="AJ5" s="2302" t="s">
        <v>1996</v>
      </c>
      <c r="AK5" s="1268" t="s">
        <v>1997</v>
      </c>
      <c r="AL5" s="1268" t="s">
        <v>1998</v>
      </c>
      <c r="AM5" s="70" t="s">
        <v>1999</v>
      </c>
      <c r="AN5" s="2303" t="s">
        <v>2000</v>
      </c>
      <c r="AO5" s="2073" t="s">
        <v>2001</v>
      </c>
      <c r="AP5" s="1249" t="s">
        <v>2002</v>
      </c>
      <c r="AQ5" s="2304" t="s">
        <v>2003</v>
      </c>
      <c r="AR5" s="2304" t="s">
        <v>2004</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3.8">
      <c r="A6" s="2305" t="str">
        <f>'数据-汇总表'!C19</f>
        <v>商业</v>
      </c>
      <c r="B6" s="2306" t="str">
        <f>IF(A6=0,"","经营性")</f>
        <v>经营性</v>
      </c>
      <c r="C6" s="2307" t="s">
        <v>1372</v>
      </c>
      <c r="D6" s="1051">
        <f>SUMIF(项目基本情况!D$12:I$12,C6,项目基本情况!D$14:I$14)</f>
        <v>40</v>
      </c>
      <c r="E6" s="1048">
        <f>IF(B6="","",SUMIF(项目基本情况!D$12:I$12,C6,项目基本情况!D$13:I$13))</f>
        <v>57417</v>
      </c>
      <c r="F6" s="72">
        <f>SUMIF(项目基本情况!D$12:I$12,C6,项目基本情况!D$15:I$15)</f>
        <v>36.97</v>
      </c>
      <c r="G6" s="73">
        <f>IF(ISERROR(ROUND(POWER(1+H6,D6-F6)*(POWER(1+H6,F6)-1)/(POWER(1+H6,D6)-1),3)),0,ROUND(POWER(1+H6,D6-F6)*(POWER(1+H6,F6)-1)/(POWER(1+H6,D6)-1),3))</f>
        <v>0.97399999999999998</v>
      </c>
      <c r="H6" s="802">
        <v>0.05</v>
      </c>
      <c r="I6" s="802">
        <v>5.5E-2</v>
      </c>
      <c r="J6" s="74">
        <v>8.5000000000000006E-2</v>
      </c>
      <c r="K6" s="1251">
        <f>SUMIF('数据-汇总表'!C$19:C$33,A6,'数据-汇总表'!E$19:E$33)</f>
        <v>65654.289999999994</v>
      </c>
      <c r="L6" s="803">
        <v>3500</v>
      </c>
      <c r="M6" s="75">
        <f t="shared" ref="M6:M14" si="0">ROUND(K6*L6/10000,0)</f>
        <v>22979</v>
      </c>
      <c r="N6" s="801">
        <f>ROUND(1-(2020-2018)/60,2)</f>
        <v>0.97</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3">
        <f>ROUND($L$14*S6/10000,0)</f>
        <v>0</v>
      </c>
      <c r="U6" s="78">
        <f>'Sheet3 (2)'!D12</f>
        <v>2.9</v>
      </c>
      <c r="V6" s="79">
        <v>0.03</v>
      </c>
      <c r="W6" s="79">
        <v>0.1</v>
      </c>
      <c r="X6" s="1261"/>
      <c r="Y6" s="80">
        <f>N6</f>
        <v>0.97</v>
      </c>
      <c r="Z6" s="81"/>
      <c r="AA6" s="74"/>
      <c r="AB6" s="74"/>
      <c r="AC6" s="1261"/>
      <c r="AD6" s="82"/>
      <c r="AE6" s="1262">
        <f ca="1">IF(AN6="",0,SUMIF(INDIRECT("'"&amp;AN6&amp;"'"&amp;"!E:E"),$AE$5,INDIRECT("'"&amp;AN6&amp;"'"&amp;"!F:F")))</f>
        <v>36.97</v>
      </c>
      <c r="AF6" s="1803"/>
      <c r="AG6" s="147">
        <f>IF(AF6="",0,AE6-AF6)</f>
        <v>0</v>
      </c>
      <c r="AH6" s="83"/>
      <c r="AI6" s="85">
        <v>365</v>
      </c>
      <c r="AJ6" s="86"/>
      <c r="AK6" s="87">
        <v>1.4999999999999999E-2</v>
      </c>
      <c r="AL6" s="88">
        <v>1.5E-3</v>
      </c>
      <c r="AM6" s="89">
        <v>1.4999999999999999E-2</v>
      </c>
      <c r="AN6" s="2308" t="s">
        <v>3079</v>
      </c>
      <c r="AO6" s="55">
        <f ca="1">SUMIF(INDIRECT("'"&amp;AN6&amp;"'"&amp;"!A:A"),"总价",INDIRECT("'"&amp;AN6&amp;"'"&amp;"!B:B"))</f>
        <v>107520</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3.8">
      <c r="A7" s="2305" t="str">
        <f>'数据-汇总表'!C20</f>
        <v>地下商业</v>
      </c>
      <c r="B7" s="2306" t="str">
        <f t="shared" ref="B7:B13" si="1">IF(A7=0,"","经营性")</f>
        <v>经营性</v>
      </c>
      <c r="C7" s="2307" t="s">
        <v>1372</v>
      </c>
      <c r="D7" s="1051">
        <f>SUMIF(项目基本情况!D$12:I$12,C7,项目基本情况!D$14:I$14)</f>
        <v>40</v>
      </c>
      <c r="E7" s="1048">
        <f>IF(B7="","",SUMIF(项目基本情况!D$12:I$12,C7,项目基本情况!D$13:I$13))</f>
        <v>57417</v>
      </c>
      <c r="F7" s="72">
        <f>SUMIF(项目基本情况!D$12:I$12,C7,项目基本情况!D$15:I$15)</f>
        <v>36.97</v>
      </c>
      <c r="G7" s="73">
        <f t="shared" ref="G7:G11" si="2">IF(ISERROR(ROUND(POWER(1+H7,D7-F7)*(POWER(1+H7,F7)-1)/(POWER(1+H7,D7)-1),3)),0,ROUND(POWER(1+H7,D7-F7)*(POWER(1+H7,F7)-1)/(POWER(1+H7,D7)-1),3))</f>
        <v>0.97399999999999998</v>
      </c>
      <c r="H7" s="802">
        <v>0.05</v>
      </c>
      <c r="I7" s="802">
        <v>5.5E-2</v>
      </c>
      <c r="J7" s="74">
        <v>8.5000000000000006E-2</v>
      </c>
      <c r="K7" s="1251">
        <f>SUMIF('数据-汇总表'!C$19:C$33,A7,'数据-汇总表'!E$19:E$33)</f>
        <v>7349.44</v>
      </c>
      <c r="L7" s="803">
        <v>3500</v>
      </c>
      <c r="M7" s="75">
        <f t="shared" si="0"/>
        <v>2572</v>
      </c>
      <c r="N7" s="801">
        <f>ROUND(1-(2020-2018)/60,2)</f>
        <v>0.97</v>
      </c>
      <c r="O7" s="75" t="str">
        <f t="shared" ref="O7:O14" si="3">IF($N$5="成新度","——",ROUND(M7*N7,0))</f>
        <v>——</v>
      </c>
      <c r="P7" s="76" t="str">
        <f t="shared" ref="P7:P14" si="4">IF($N$5="成新度","——",M7-O7)</f>
        <v>——</v>
      </c>
      <c r="Q7" s="804">
        <v>0.2</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f>'Sheet3 (2)'!D13</f>
        <v>0.73</v>
      </c>
      <c r="V7" s="79">
        <v>0.03</v>
      </c>
      <c r="W7" s="79">
        <v>0.1</v>
      </c>
      <c r="X7" s="1261"/>
      <c r="Y7" s="80">
        <f>N7</f>
        <v>0.97</v>
      </c>
      <c r="Z7" s="81"/>
      <c r="AA7" s="74"/>
      <c r="AB7" s="74"/>
      <c r="AC7" s="1261"/>
      <c r="AD7" s="82"/>
      <c r="AE7" s="1262">
        <f t="shared" ref="AE7:AE13" ca="1" si="6">IF(AN7="",0,SUMIF(INDIRECT("'"&amp;AN7&amp;"'"&amp;"!E:E"),$AE$5,INDIRECT("'"&amp;AN7&amp;"'"&amp;"!F:F")))</f>
        <v>36.97</v>
      </c>
      <c r="AF7" s="1803"/>
      <c r="AG7" s="147">
        <f t="shared" ref="AG7:AG13" si="7">IF(AF7="",0,AE7-AF7)</f>
        <v>0</v>
      </c>
      <c r="AH7" s="83"/>
      <c r="AI7" s="85">
        <v>365</v>
      </c>
      <c r="AJ7" s="86"/>
      <c r="AK7" s="87">
        <v>1.4999999999999999E-2</v>
      </c>
      <c r="AL7" s="88">
        <v>1.5E-3</v>
      </c>
      <c r="AM7" s="89">
        <v>1.4999999999999999E-2</v>
      </c>
      <c r="AN7" s="2308" t="s">
        <v>3086</v>
      </c>
      <c r="AO7" s="55">
        <f t="shared" ref="AO7:AO13" ca="1" si="8">SUMIF(INDIRECT("'"&amp;AN7&amp;"'"&amp;"!A:A"),"总价",INDIRECT("'"&amp;AN7&amp;"'"&amp;"!B:B"))</f>
        <v>1923</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3.8">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3.8">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3.8">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3.8">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3.8">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3.8">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4">
      <c r="A14" s="2310" t="s">
        <v>2005</v>
      </c>
      <c r="B14" s="2306" t="s">
        <v>2006</v>
      </c>
      <c r="C14" s="2311" t="s">
        <v>2005</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8.8">
      <c r="A15" s="2310" t="s">
        <v>2007</v>
      </c>
      <c r="B15" s="2306" t="s">
        <v>2006</v>
      </c>
      <c r="C15" s="2311"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 thickBot="1">
      <c r="A16" s="2312" t="s">
        <v>2009</v>
      </c>
      <c r="B16" s="97"/>
      <c r="C16" s="1005"/>
      <c r="D16" s="2313"/>
      <c r="E16" s="97"/>
      <c r="F16" s="97"/>
      <c r="G16" s="98">
        <f>ROUND(SUMPRODUCT(G6:G13,K6:K13)/SUMPRODUCT((G6:G13&gt;0)*(K6:K13)),3)</f>
        <v>0.97399999999999998</v>
      </c>
      <c r="H16" s="99">
        <f>ROUND(SUMPRODUCT(H6:H13,K6:K13)/SUMPRODUCT((H6:H13&gt;0)*(K6:K13)),3)</f>
        <v>0.05</v>
      </c>
      <c r="I16" s="100"/>
      <c r="J16" s="100"/>
      <c r="K16" s="101">
        <f>SUM(K6:K15)</f>
        <v>73003.73</v>
      </c>
      <c r="L16" s="102">
        <f>ROUND(M16*10000/SUM(K6:K14),0)</f>
        <v>3500</v>
      </c>
      <c r="M16" s="102">
        <f>SUM(M6:M14)</f>
        <v>25551</v>
      </c>
      <c r="N16" s="103">
        <f>ROUND(SUMPRODUCT(M6:M14,N6:N14)/M16,3)</f>
        <v>0.97</v>
      </c>
      <c r="O16" s="102">
        <f>SUM(O6:O14)</f>
        <v>0</v>
      </c>
      <c r="P16" s="102">
        <f>SUM(P6:P14)</f>
        <v>0</v>
      </c>
      <c r="Q16" s="104">
        <f>ROUND(SUMPRODUCT(Q6:Q13,K6:K13)/SUMPRODUCT((Q6:Q13&gt;0)*(K6:K13)),2)</f>
        <v>0.2</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8"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2010</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5" t="s">
        <v>2011</v>
      </c>
      <c r="B19" s="112"/>
      <c r="C19" s="2276" t="s">
        <v>2012</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6" t="s">
        <v>2013</v>
      </c>
      <c r="B20" s="113">
        <v>2</v>
      </c>
      <c r="C20" s="2276" t="s">
        <v>2014</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7" t="s">
        <v>2015</v>
      </c>
      <c r="B21" s="113">
        <v>2</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6" t="s">
        <v>2016</v>
      </c>
      <c r="B22" s="114">
        <f>B19+B20</f>
        <v>2</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7" t="s">
        <v>2017</v>
      </c>
      <c r="B23" s="114">
        <f>B19+B21</f>
        <v>2</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2018</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7"/>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2019</v>
      </c>
      <c r="B26" s="2319" t="s">
        <v>2020</v>
      </c>
      <c r="C26" s="2320" t="s">
        <v>2021</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8.8">
      <c r="A27" s="2321" t="s">
        <v>2022</v>
      </c>
      <c r="B27" s="116">
        <v>90</v>
      </c>
      <c r="C27" s="1763" t="s">
        <v>2023</v>
      </c>
      <c r="D27" s="2322"/>
      <c r="E27" s="1427"/>
      <c r="F27" s="1427"/>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8.8">
      <c r="A28" s="2324" t="s">
        <v>2024</v>
      </c>
      <c r="B28" s="119">
        <v>90</v>
      </c>
      <c r="C28" s="2325"/>
      <c r="D28" s="2322"/>
      <c r="E28" s="1427"/>
      <c r="F28" s="1427"/>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9.4" thickBot="1">
      <c r="A29" s="2326" t="s">
        <v>2025</v>
      </c>
      <c r="B29" s="121">
        <f>ROUND(B28*'数据-汇总表'!E27/10000,0)</f>
        <v>657</v>
      </c>
      <c r="C29" s="1763" t="s">
        <v>2026</v>
      </c>
      <c r="D29" s="2322"/>
      <c r="E29" s="1427"/>
      <c r="F29" s="1427"/>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8.8">
      <c r="A30" s="2327" t="s">
        <v>2027</v>
      </c>
      <c r="B30" s="724">
        <v>200</v>
      </c>
      <c r="C30" s="2325"/>
      <c r="D30" s="2322"/>
      <c r="E30" s="1427"/>
      <c r="F30" s="1427"/>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8.8">
      <c r="A31" s="2324" t="s">
        <v>2028</v>
      </c>
      <c r="B31" s="120">
        <f>B30-B32</f>
        <v>200</v>
      </c>
      <c r="C31" s="1763"/>
      <c r="D31" s="2322"/>
      <c r="E31" s="1427"/>
      <c r="F31" s="1427"/>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9.4" thickBot="1">
      <c r="A32" s="2328" t="s">
        <v>2029</v>
      </c>
      <c r="B32" s="725"/>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4">
      <c r="A33" s="2321" t="s">
        <v>2030</v>
      </c>
      <c r="B33" s="726">
        <v>0.04</v>
      </c>
      <c r="C33" s="1762" t="s">
        <v>2031</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4">
      <c r="A34" s="2324" t="s">
        <v>2032</v>
      </c>
      <c r="B34" s="122"/>
      <c r="C34" s="1762" t="s">
        <v>2033</v>
      </c>
      <c r="D34" s="2277" t="s">
        <v>2034</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4">
      <c r="A35" s="2324" t="s">
        <v>2035</v>
      </c>
      <c r="B35" s="119">
        <v>200</v>
      </c>
      <c r="C35" s="1762" t="s">
        <v>2036</v>
      </c>
      <c r="D35" s="2322"/>
      <c r="E35" s="1427"/>
      <c r="F35" s="1427"/>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2037</v>
      </c>
      <c r="B36" s="123">
        <v>1.4999999999999999E-2</v>
      </c>
      <c r="C36" s="1762" t="s">
        <v>2038</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7" t="s">
        <v>2039</v>
      </c>
      <c r="B37" s="124">
        <v>0.02</v>
      </c>
      <c r="C37" s="1762" t="s">
        <v>2040</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4" t="s">
        <v>2041</v>
      </c>
      <c r="B38" s="122">
        <v>0.02</v>
      </c>
      <c r="C38" s="1762" t="s">
        <v>2040</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8" t="s">
        <v>2042</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2043</v>
      </c>
      <c r="B40" s="1300">
        <f ca="1">存贷款利率!G1</f>
        <v>4.7500000000000001E-2</v>
      </c>
      <c r="C40" s="1762" t="s">
        <v>2044</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21" t="s">
        <v>2045</v>
      </c>
      <c r="B41" s="125">
        <f>B42+B43</f>
        <v>5.5000000000000007E-2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9" t="s">
        <v>2046</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9" t="s">
        <v>2047</v>
      </c>
      <c r="B43" s="127">
        <f>B42*(B44+B45+B46)+B47</f>
        <v>5.000000000000001E-3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31" t="s">
        <v>2048</v>
      </c>
      <c r="B44" s="128">
        <v>0.05</v>
      </c>
      <c r="C44" s="1762" t="s">
        <v>2049</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31" t="s">
        <v>2050</v>
      </c>
      <c r="B45" s="126">
        <v>0.03</v>
      </c>
      <c r="C45" s="1763" t="s">
        <v>2051</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31" t="s">
        <v>2052</v>
      </c>
      <c r="B46" s="126">
        <v>0.02</v>
      </c>
      <c r="C46" s="1763" t="s">
        <v>2053</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2054</v>
      </c>
      <c r="B47" s="129"/>
      <c r="C47" s="1763" t="s">
        <v>2055</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3" t="s">
        <v>2056</v>
      </c>
      <c r="B48" s="130">
        <v>0.03</v>
      </c>
      <c r="C48" s="1770" t="s">
        <v>2057</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2058</v>
      </c>
      <c r="B49" s="126">
        <v>5.0000000000000001E-4</v>
      </c>
      <c r="C49" s="1770" t="s">
        <v>2059</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4" t="s">
        <v>2060</v>
      </c>
      <c r="B50" s="131">
        <v>1.2E-2</v>
      </c>
      <c r="C50" s="1427"/>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2061</v>
      </c>
      <c r="B51" s="132">
        <v>0.12</v>
      </c>
      <c r="C51" s="1427"/>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4" t="s">
        <v>2062</v>
      </c>
      <c r="B52" s="133">
        <f>SUMIF(A54:A63,B53,B54:B63)</f>
        <v>5</v>
      </c>
      <c r="C52" s="1427"/>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4" t="s">
        <v>2063</v>
      </c>
      <c r="B53" s="2335" t="s">
        <v>269</v>
      </c>
      <c r="C53" s="1427" t="s">
        <v>2064</v>
      </c>
      <c r="D53" s="2336" t="s">
        <v>2065</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7" t="s">
        <v>2066</v>
      </c>
      <c r="B54" s="84">
        <v>8</v>
      </c>
      <c r="C54" s="1427">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7" t="s">
        <v>2067</v>
      </c>
      <c r="B55" s="84">
        <v>5</v>
      </c>
      <c r="C55" s="1427">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7" t="s">
        <v>2068</v>
      </c>
      <c r="B56" s="84">
        <v>4</v>
      </c>
      <c r="C56" s="1427">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7" t="s">
        <v>2069</v>
      </c>
      <c r="B57" s="84">
        <v>0.9</v>
      </c>
      <c r="C57" s="1427">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7" t="s">
        <v>2070</v>
      </c>
      <c r="B58" s="84"/>
      <c r="C58" s="1427">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7" t="s">
        <v>2071</v>
      </c>
      <c r="B59" s="84"/>
      <c r="C59" s="1427">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7" t="s">
        <v>2072</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7" t="s">
        <v>2073</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7" t="s">
        <v>2074</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2075</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4"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7" customWidth="1"/>
    <col min="2" max="2" width="24.44140625" style="2415" customWidth="1"/>
    <col min="3" max="3" width="24.44140625" style="2414" customWidth="1"/>
    <col min="4" max="4" width="2.6640625" style="2414" customWidth="1"/>
    <col min="5" max="5" width="5.88671875" style="2414" customWidth="1"/>
    <col min="6" max="6" width="27" style="2415" customWidth="1"/>
    <col min="7" max="7" width="27" style="2416" customWidth="1"/>
    <col min="8" max="8" width="11.88671875" style="2394" customWidth="1"/>
    <col min="9" max="9" width="16.77734375" style="2395" customWidth="1"/>
    <col min="10" max="10" width="2.6640625" style="2394" customWidth="1"/>
    <col min="11" max="11" width="11.88671875" style="2394" customWidth="1"/>
    <col min="12" max="12" width="16.77734375" style="2395" customWidth="1"/>
    <col min="13" max="13" width="2.6640625" style="2394" customWidth="1"/>
    <col min="14" max="14" width="11.88671875" style="2394" customWidth="1"/>
    <col min="15" max="15" width="16.77734375" style="2395" customWidth="1"/>
    <col min="16" max="16" width="2.6640625" style="2394" customWidth="1"/>
    <col min="17" max="17" width="11.88671875" style="2394" customWidth="1"/>
    <col min="18" max="18" width="16.77734375" style="2396" customWidth="1"/>
    <col min="19" max="29" width="9" style="2366"/>
    <col min="30" max="16384" width="9" style="2367"/>
  </cols>
  <sheetData>
    <row r="1" spans="1:29" s="2360" customFormat="1" ht="18" thickBot="1">
      <c r="A1" s="3133" t="s">
        <v>2076</v>
      </c>
      <c r="B1" s="3134"/>
      <c r="C1" s="3134"/>
      <c r="D1" s="3134"/>
      <c r="E1" s="3134"/>
      <c r="F1" s="3134"/>
      <c r="G1" s="3134"/>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2077</v>
      </c>
      <c r="D2" s="2364"/>
      <c r="E2" s="2365"/>
      <c r="F2" s="2285"/>
      <c r="G2" s="2363" t="s">
        <v>2078</v>
      </c>
      <c r="H2" s="2366"/>
      <c r="I2" s="2366"/>
      <c r="J2" s="2366"/>
      <c r="K2" s="2366"/>
      <c r="L2" s="2366"/>
      <c r="M2" s="2366"/>
      <c r="N2" s="2366"/>
      <c r="O2" s="2366"/>
      <c r="P2" s="2366"/>
      <c r="Q2" s="2366"/>
      <c r="R2" s="2366"/>
    </row>
    <row r="3" spans="1:29" ht="57.6">
      <c r="A3" s="415" t="s">
        <v>2079</v>
      </c>
      <c r="B3" s="1268" t="s">
        <v>2080</v>
      </c>
      <c r="C3" s="2368" t="s">
        <v>2081</v>
      </c>
      <c r="D3" s="2369"/>
      <c r="E3" s="431" t="s">
        <v>2079</v>
      </c>
      <c r="F3" s="2370" t="s">
        <v>2082</v>
      </c>
      <c r="G3" s="2371" t="s">
        <v>2083</v>
      </c>
      <c r="H3" s="2366"/>
      <c r="I3" s="2366"/>
      <c r="J3" s="2366"/>
      <c r="K3" s="2366"/>
      <c r="L3" s="2366"/>
      <c r="M3" s="2366"/>
      <c r="N3" s="2366"/>
      <c r="O3" s="2366"/>
      <c r="P3" s="2366"/>
      <c r="Q3" s="2366"/>
      <c r="R3" s="2366"/>
    </row>
    <row r="4" spans="1:29" ht="43.2">
      <c r="A4" s="431"/>
      <c r="B4" s="1794" t="s">
        <v>2084</v>
      </c>
      <c r="C4" s="2372" t="s">
        <v>2085</v>
      </c>
      <c r="D4" s="2369"/>
      <c r="E4" s="2373"/>
      <c r="F4" s="42" t="s">
        <v>2086</v>
      </c>
      <c r="G4" s="2374" t="s">
        <v>2087</v>
      </c>
      <c r="H4" s="2366"/>
      <c r="I4" s="2366"/>
      <c r="J4" s="2366"/>
      <c r="K4" s="2366"/>
      <c r="L4" s="2366"/>
      <c r="M4" s="2366"/>
      <c r="N4" s="2366"/>
      <c r="O4" s="2366"/>
      <c r="P4" s="2366"/>
      <c r="Q4" s="2366"/>
      <c r="R4" s="2366"/>
    </row>
    <row r="5" spans="1:29" ht="43.2">
      <c r="A5" s="431"/>
      <c r="B5" s="1794" t="s">
        <v>2088</v>
      </c>
      <c r="C5" s="2372" t="s">
        <v>2089</v>
      </c>
      <c r="D5" s="2369"/>
      <c r="E5" s="2373"/>
      <c r="F5" s="1794" t="s">
        <v>2090</v>
      </c>
      <c r="G5" s="2374" t="s">
        <v>2091</v>
      </c>
      <c r="H5" s="2366"/>
      <c r="I5" s="2366"/>
      <c r="J5" s="2366"/>
      <c r="K5" s="2366"/>
      <c r="L5" s="2366"/>
      <c r="M5" s="2366"/>
      <c r="N5" s="2366"/>
      <c r="O5" s="2366"/>
      <c r="P5" s="2366"/>
      <c r="Q5" s="2366"/>
      <c r="R5" s="2366"/>
    </row>
    <row r="6" spans="1:29" ht="57.6">
      <c r="A6" s="431"/>
      <c r="B6" s="1794" t="s">
        <v>2092</v>
      </c>
      <c r="C6" s="2374" t="s">
        <v>2087</v>
      </c>
      <c r="D6" s="2369"/>
      <c r="E6" s="2373"/>
      <c r="F6" s="1794" t="s">
        <v>2093</v>
      </c>
      <c r="G6" s="2374" t="s">
        <v>2094</v>
      </c>
      <c r="H6" s="2366"/>
      <c r="I6" s="2366"/>
      <c r="J6" s="2366"/>
      <c r="K6" s="2366"/>
      <c r="L6" s="2366"/>
      <c r="M6" s="2366"/>
      <c r="N6" s="2366"/>
      <c r="O6" s="2366"/>
      <c r="P6" s="2366"/>
      <c r="Q6" s="2366"/>
      <c r="R6" s="2366"/>
    </row>
    <row r="7" spans="1:29" ht="43.8" thickBot="1">
      <c r="A7" s="431"/>
      <c r="B7" s="1794" t="s">
        <v>2090</v>
      </c>
      <c r="C7" s="2374" t="s">
        <v>2091</v>
      </c>
      <c r="D7" s="2375"/>
      <c r="E7" s="2376"/>
      <c r="F7" s="2377" t="s">
        <v>2095</v>
      </c>
      <c r="G7" s="2378" t="s">
        <v>2096</v>
      </c>
      <c r="H7" s="2366"/>
      <c r="I7" s="2366"/>
      <c r="J7" s="2366"/>
      <c r="K7" s="2366"/>
      <c r="L7" s="2366"/>
      <c r="M7" s="2366"/>
      <c r="N7" s="2366"/>
      <c r="O7" s="2366"/>
      <c r="P7" s="2366"/>
      <c r="Q7" s="2366"/>
      <c r="R7" s="2366"/>
    </row>
    <row r="8" spans="1:29" ht="28.8">
      <c r="A8" s="431"/>
      <c r="B8" s="1794" t="s">
        <v>2093</v>
      </c>
      <c r="C8" s="2374" t="s">
        <v>2094</v>
      </c>
      <c r="D8" s="2375"/>
      <c r="E8" s="2375"/>
      <c r="F8" s="1133"/>
      <c r="G8" s="1133"/>
      <c r="H8" s="2366"/>
      <c r="I8" s="2366"/>
      <c r="J8" s="2366"/>
      <c r="K8" s="2366"/>
      <c r="L8" s="2366"/>
      <c r="M8" s="2366"/>
      <c r="N8" s="2366"/>
      <c r="O8" s="2366"/>
      <c r="P8" s="2366"/>
      <c r="Q8" s="2366"/>
      <c r="R8" s="2366"/>
    </row>
    <row r="9" spans="1:29" ht="43.2">
      <c r="A9" s="431"/>
      <c r="B9" s="1794" t="s">
        <v>2097</v>
      </c>
      <c r="C9" s="2372" t="s">
        <v>2098</v>
      </c>
      <c r="D9" s="2369"/>
      <c r="E9" s="2375"/>
      <c r="F9" s="1133"/>
      <c r="G9" s="1133"/>
      <c r="H9" s="2366"/>
      <c r="I9" s="2366"/>
      <c r="J9" s="2366"/>
      <c r="K9" s="2366"/>
      <c r="L9" s="2366"/>
      <c r="M9" s="2366"/>
      <c r="N9" s="2366"/>
      <c r="O9" s="2366"/>
      <c r="P9" s="2366"/>
      <c r="Q9" s="2366"/>
      <c r="R9" s="2366"/>
    </row>
    <row r="10" spans="1:29" s="117" customFormat="1" ht="15" thickBot="1">
      <c r="A10" s="2379"/>
      <c r="B10" s="2380" t="s">
        <v>2099</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7.399999999999999">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8" thickBot="1">
      <c r="A13" s="2392" t="s">
        <v>2100</v>
      </c>
      <c r="B13" s="2386"/>
      <c r="C13" s="2386"/>
      <c r="D13" s="2393"/>
      <c r="E13" s="2386"/>
      <c r="F13" s="2386"/>
      <c r="G13" s="2386"/>
    </row>
    <row r="14" spans="1:29" ht="15" thickBot="1">
      <c r="A14" s="2397"/>
      <c r="B14" s="2398"/>
      <c r="C14" s="2399" t="s">
        <v>2101</v>
      </c>
      <c r="D14" s="2369"/>
      <c r="E14" s="2400"/>
      <c r="F14" s="2400"/>
      <c r="G14" s="2363" t="s">
        <v>2102</v>
      </c>
    </row>
    <row r="15" spans="1:29" ht="55.2">
      <c r="A15" s="68" t="s">
        <v>2103</v>
      </c>
      <c r="B15" s="1267" t="s">
        <v>2080</v>
      </c>
      <c r="C15" s="2401" t="str">
        <f>C3</f>
        <v>估价对象周边居住用地比例、居住小区规模和社区发展完善程度，综合评价居住社区成熟度一般</v>
      </c>
      <c r="D15" s="2369"/>
      <c r="E15" s="2402" t="s">
        <v>2104</v>
      </c>
      <c r="F15" s="1267" t="s">
        <v>2105</v>
      </c>
      <c r="G15" s="135" t="str">
        <f>G3</f>
        <v>估价对象位于XX开发区，园区建设成熟度XX，产业集聚程度XX</v>
      </c>
    </row>
    <row r="16" spans="1:29" ht="41.4">
      <c r="A16" s="645"/>
      <c r="B16" s="2403" t="s">
        <v>2084</v>
      </c>
      <c r="C16" s="2404" t="str">
        <f>C4</f>
        <v>估价对象位于XX商圈，周边商业氛围成熟，人流量大，商业繁华度好</v>
      </c>
      <c r="D16" s="2369"/>
      <c r="E16" s="2405"/>
      <c r="F16" s="2406" t="s">
        <v>2086</v>
      </c>
      <c r="G16" s="136" t="str">
        <f>G4</f>
        <v>估价对象周边道路状况、公共交通通达情况、停车便捷程度，综合评价交通便捷度较好</v>
      </c>
    </row>
    <row r="17" spans="1:18" ht="41.4">
      <c r="A17" s="645"/>
      <c r="B17" s="2403" t="s">
        <v>2088</v>
      </c>
      <c r="C17" s="2404" t="str">
        <f>C5</f>
        <v>估价对象位于XX商圈，周边办公楼项目较多，入驻率高，办公集聚程度较好</v>
      </c>
      <c r="D17" s="2375"/>
      <c r="E17" s="2405"/>
      <c r="F17" s="2406" t="s">
        <v>2106</v>
      </c>
      <c r="G17" s="1568"/>
    </row>
    <row r="18" spans="1:18" ht="55.2">
      <c r="A18" s="645"/>
      <c r="B18" s="2406" t="s">
        <v>2092</v>
      </c>
      <c r="C18" s="136" t="str">
        <f>C6</f>
        <v>估价对象周边道路状况、公共交通通达情况、停车便捷程度，综合评价交通便捷度较好</v>
      </c>
      <c r="D18" s="2375"/>
      <c r="E18" s="2405"/>
      <c r="F18" s="2406" t="s">
        <v>2095</v>
      </c>
      <c r="G18" s="136" t="str">
        <f>G7</f>
        <v>该园区内是否有污染型企业，绿化情况，卫生条件，整体环境状况判断</v>
      </c>
    </row>
    <row r="19" spans="1:18" ht="27.6">
      <c r="A19" s="645"/>
      <c r="B19" s="2406" t="s">
        <v>2107</v>
      </c>
      <c r="C19" s="1568"/>
      <c r="D19" s="2369"/>
      <c r="E19" s="2405"/>
      <c r="F19" s="1794" t="s">
        <v>2090</v>
      </c>
      <c r="G19" s="136" t="str">
        <f>G5</f>
        <v>估价对象所在区域公共配套设施齐备情况</v>
      </c>
    </row>
    <row r="20" spans="1:18" ht="41.4">
      <c r="A20" s="645"/>
      <c r="B20" s="2406" t="s">
        <v>2108</v>
      </c>
      <c r="C20" s="2404" t="str">
        <f>C9</f>
        <v>区域自然环境：；人文环境；综合评价环境状况一般</v>
      </c>
      <c r="D20" s="2375"/>
      <c r="E20" s="2405"/>
      <c r="F20" s="1794" t="s">
        <v>2109</v>
      </c>
      <c r="G20" s="136" t="str">
        <f>G6</f>
        <v>估价对象所在区域基础设施水平</v>
      </c>
    </row>
    <row r="21" spans="1:18" ht="27.6">
      <c r="A21" s="645"/>
      <c r="B21" s="1794" t="s">
        <v>2090</v>
      </c>
      <c r="C21" s="136" t="str">
        <f>C7</f>
        <v>估价对象所在区域公共配套设施齐备情况</v>
      </c>
      <c r="D21" s="2369"/>
      <c r="E21" s="2405"/>
      <c r="F21" s="2406" t="s">
        <v>2110</v>
      </c>
      <c r="G21" s="2407"/>
    </row>
    <row r="22" spans="1:18" ht="13.5" customHeight="1">
      <c r="A22" s="645"/>
      <c r="B22" s="1794" t="s">
        <v>2093</v>
      </c>
      <c r="C22" s="136" t="str">
        <f>C8</f>
        <v>估价对象所在区域基础设施水平</v>
      </c>
      <c r="D22" s="2369"/>
      <c r="E22" s="2405"/>
      <c r="F22" s="2406" t="s">
        <v>2099</v>
      </c>
      <c r="G22" s="1568"/>
    </row>
    <row r="23" spans="1:18" s="2366" customFormat="1" ht="15" thickBot="1">
      <c r="A23" s="645"/>
      <c r="B23" s="2406" t="s">
        <v>2110</v>
      </c>
      <c r="C23" s="2407"/>
      <c r="D23" s="2394"/>
      <c r="E23" s="2408"/>
      <c r="F23" s="2409" t="s">
        <v>2111</v>
      </c>
      <c r="G23" s="2410"/>
      <c r="H23" s="2394"/>
      <c r="I23" s="2395"/>
      <c r="J23" s="2394"/>
      <c r="K23" s="2394"/>
      <c r="L23" s="2395"/>
      <c r="M23" s="2394"/>
      <c r="N23" s="2394"/>
      <c r="O23" s="2395"/>
      <c r="P23" s="2394"/>
      <c r="Q23" s="2394"/>
      <c r="R23" s="2396"/>
    </row>
    <row r="24" spans="1:18" s="2366" customFormat="1" ht="15" thickBot="1">
      <c r="A24" s="2411"/>
      <c r="B24" s="2409" t="s">
        <v>2112</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J23"/>
  <sheetViews>
    <sheetView workbookViewId="0">
      <selection activeCell="C15" sqref="C15"/>
    </sheetView>
  </sheetViews>
  <sheetFormatPr defaultColWidth="9" defaultRowHeight="14.4"/>
  <cols>
    <col min="1" max="1" width="23.33203125" style="1737" customWidth="1"/>
    <col min="2" max="9" width="15.77734375" style="1737" customWidth="1"/>
    <col min="10" max="16384" width="9" style="1737"/>
  </cols>
  <sheetData>
    <row r="1" spans="1:10" ht="16.2">
      <c r="A1" s="1742" t="s">
        <v>1360</v>
      </c>
      <c r="B1" s="1742">
        <f>SUM(B14:B23)</f>
        <v>73003.73</v>
      </c>
      <c r="C1" s="1741"/>
      <c r="D1" s="1741"/>
      <c r="E1" s="1741"/>
      <c r="F1" s="1741"/>
      <c r="G1" s="1739"/>
    </row>
    <row r="2" spans="1:10" ht="16.2">
      <c r="A2" s="1742" t="s">
        <v>1348</v>
      </c>
      <c r="B2" s="1742">
        <f>SUM(C14:C23)</f>
        <v>0</v>
      </c>
      <c r="C2" s="1741"/>
      <c r="D2" s="1741"/>
      <c r="E2" s="1741"/>
      <c r="F2" s="1741"/>
      <c r="G2" s="1739"/>
    </row>
    <row r="3" spans="1:10" ht="15.6">
      <c r="A3" s="1742" t="s">
        <v>1357</v>
      </c>
      <c r="B3" s="1743">
        <f>项目基本情况!D3</f>
        <v>43921</v>
      </c>
      <c r="C3" s="1741"/>
      <c r="D3" s="1741"/>
      <c r="E3" s="1741"/>
      <c r="F3" s="1741"/>
      <c r="G3" s="1739"/>
    </row>
    <row r="4" spans="1:10" ht="31.2">
      <c r="A4" s="1742" t="s">
        <v>1356</v>
      </c>
      <c r="B4" s="1742" t="s">
        <v>1355</v>
      </c>
      <c r="C4" s="1742" t="s">
        <v>1354</v>
      </c>
      <c r="D4" s="1742" t="s">
        <v>1353</v>
      </c>
      <c r="E4" s="1741"/>
      <c r="F4" s="1739"/>
      <c r="G4" s="1739"/>
    </row>
    <row r="5" spans="1:10" ht="15.6">
      <c r="A5" s="1742" t="s">
        <v>1352</v>
      </c>
      <c r="B5" s="1742">
        <f ca="1">SUM(D14:D23)</f>
        <v>88217</v>
      </c>
      <c r="C5" s="1742">
        <f ca="1">ROUND(B5*10000/$B$1,0)</f>
        <v>12084</v>
      </c>
      <c r="D5" s="1742" t="e">
        <f ca="1">ROUND(B5*10000/$B$2,0)</f>
        <v>#DIV/0!</v>
      </c>
      <c r="E5" s="1741"/>
      <c r="F5" s="1739"/>
      <c r="G5" s="1739"/>
    </row>
    <row r="6" spans="1:10" ht="15.6">
      <c r="A6" s="1742" t="s">
        <v>1351</v>
      </c>
      <c r="B6" s="1742">
        <f ca="1">SUM(G14:G23)</f>
        <v>88217</v>
      </c>
      <c r="C6" s="1742">
        <f ca="1">ROUND(B6*10000/$B$1,0)</f>
        <v>12084</v>
      </c>
      <c r="D6" s="1742" t="e">
        <f ca="1">ROUND(B6*10000/$B$2,0)</f>
        <v>#DIV/0!</v>
      </c>
      <c r="E6" s="1741"/>
      <c r="F6" s="1739"/>
      <c r="G6" s="1739"/>
    </row>
    <row r="7" spans="1:10" ht="15.6">
      <c r="A7" s="1742" t="s">
        <v>1359</v>
      </c>
      <c r="B7" s="1742">
        <f>SUM(H14:H23)</f>
        <v>0</v>
      </c>
      <c r="C7" s="1742">
        <f>ROUND(B7*10000/$B$1,0)</f>
        <v>0</v>
      </c>
      <c r="D7" s="1742" t="e">
        <f>ROUND(B7*10000/$B$2,0)</f>
        <v>#DIV/0!</v>
      </c>
      <c r="E7" s="1741"/>
      <c r="F7" s="1739"/>
      <c r="G7" s="1739"/>
    </row>
    <row r="8" spans="1:10" ht="15.6">
      <c r="A8" s="1742" t="s">
        <v>1280</v>
      </c>
      <c r="B8" s="1742">
        <f>SUM(I14:I23)</f>
        <v>0</v>
      </c>
      <c r="C8" s="1742">
        <f>ROUND(B8*10000/$B$1,0)</f>
        <v>0</v>
      </c>
      <c r="D8" s="1742" t="e">
        <f>ROUND(B8*10000/$B$2,0)</f>
        <v>#DIV/0!</v>
      </c>
      <c r="E8" s="1741"/>
      <c r="F8" s="1739"/>
      <c r="G8" s="1739"/>
    </row>
    <row r="9" spans="1:10" ht="15.6">
      <c r="A9" s="1742" t="s">
        <v>1350</v>
      </c>
      <c r="B9" s="1744"/>
      <c r="C9" s="1741"/>
      <c r="D9" s="1741"/>
      <c r="E9" s="1741"/>
      <c r="F9" s="1739"/>
      <c r="G9" s="1739"/>
    </row>
    <row r="10" spans="1:10" ht="15.6">
      <c r="A10" s="1742" t="s">
        <v>1349</v>
      </c>
      <c r="B10" s="1744"/>
      <c r="C10" s="1741"/>
      <c r="D10" s="1741"/>
      <c r="E10" s="1741"/>
      <c r="F10" s="1739"/>
      <c r="G10" s="1739"/>
    </row>
    <row r="11" spans="1:10" ht="15.6">
      <c r="A11" s="1742" t="s">
        <v>1365</v>
      </c>
      <c r="B11" s="1744"/>
      <c r="C11" s="1741"/>
      <c r="D11" s="1741"/>
      <c r="E11" s="1741"/>
      <c r="F11" s="1739"/>
      <c r="G11" s="1739"/>
    </row>
    <row r="12" spans="1:10" ht="15.6">
      <c r="A12" s="1741"/>
      <c r="B12" s="1741"/>
      <c r="C12" s="1741"/>
      <c r="D12" s="1741"/>
      <c r="E12" s="1741"/>
      <c r="F12" s="1739"/>
      <c r="G12" s="1739"/>
    </row>
    <row r="13" spans="1:10" ht="31.8">
      <c r="A13" s="1747" t="s">
        <v>1364</v>
      </c>
      <c r="B13" s="1740" t="s">
        <v>1361</v>
      </c>
      <c r="C13" s="1740" t="s">
        <v>1363</v>
      </c>
      <c r="D13" s="1740" t="s">
        <v>1362</v>
      </c>
      <c r="E13" s="1742" t="s">
        <v>1354</v>
      </c>
      <c r="F13" s="1742" t="s">
        <v>1353</v>
      </c>
      <c r="G13" s="1740" t="s">
        <v>1347</v>
      </c>
      <c r="H13" s="1740" t="s">
        <v>1358</v>
      </c>
      <c r="I13" s="1740" t="s">
        <v>1346</v>
      </c>
      <c r="J13" s="1739"/>
    </row>
    <row r="14" spans="1:10" ht="15.6">
      <c r="A14" s="1738" t="s">
        <v>1345</v>
      </c>
      <c r="B14" s="1740">
        <f>结果表!B118</f>
        <v>73003.73</v>
      </c>
      <c r="C14" s="1740">
        <f>结果表!C118</f>
        <v>0</v>
      </c>
      <c r="D14" s="1740">
        <f ca="1">结果表!H118</f>
        <v>88217</v>
      </c>
      <c r="E14" s="1740">
        <f ca="1">ROUND(D14*10000/B14,0)</f>
        <v>12084</v>
      </c>
      <c r="F14" s="1740" t="e">
        <f ca="1">ROUND(D14*10000/C14,0)</f>
        <v>#DIV/0!</v>
      </c>
      <c r="G14" s="1740">
        <f ca="1">结果表!D122</f>
        <v>88217</v>
      </c>
      <c r="H14" s="1740" t="str">
        <f>结果表!D124</f>
        <v>——</v>
      </c>
      <c r="I14" s="1740" t="str">
        <f>结果表!D126</f>
        <v>——</v>
      </c>
      <c r="J14" s="1739"/>
    </row>
    <row r="15" spans="1:10" ht="15.6">
      <c r="A15" s="1738" t="s">
        <v>1344</v>
      </c>
      <c r="B15" s="1745"/>
      <c r="C15" s="1745"/>
      <c r="D15" s="1745"/>
      <c r="E15" s="1740" t="e">
        <f t="shared" ref="E15:E23" si="0">ROUND(D15*10000/B15,0)</f>
        <v>#DIV/0!</v>
      </c>
      <c r="F15" s="1740" t="e">
        <f t="shared" ref="F15:F23" si="1">ROUND(D15*10000/C15,0)</f>
        <v>#DIV/0!</v>
      </c>
      <c r="G15" s="1746"/>
      <c r="H15" s="1746"/>
      <c r="I15" s="1745"/>
      <c r="J15" s="1739"/>
    </row>
    <row r="16" spans="1:10" ht="15.6">
      <c r="A16" s="1738" t="s">
        <v>1343</v>
      </c>
      <c r="B16" s="1745"/>
      <c r="C16" s="1745"/>
      <c r="D16" s="1745"/>
      <c r="E16" s="1740" t="e">
        <f t="shared" si="0"/>
        <v>#DIV/0!</v>
      </c>
      <c r="F16" s="1740" t="e">
        <f t="shared" si="1"/>
        <v>#DIV/0!</v>
      </c>
      <c r="G16" s="1746"/>
      <c r="H16" s="1746"/>
      <c r="I16" s="1745"/>
    </row>
    <row r="17" spans="1:9" ht="15.6">
      <c r="A17" s="1738" t="s">
        <v>1342</v>
      </c>
      <c r="B17" s="1745"/>
      <c r="C17" s="1745"/>
      <c r="D17" s="1745"/>
      <c r="E17" s="1740" t="e">
        <f t="shared" si="0"/>
        <v>#DIV/0!</v>
      </c>
      <c r="F17" s="1740" t="e">
        <f t="shared" si="1"/>
        <v>#DIV/0!</v>
      </c>
      <c r="G17" s="1746"/>
      <c r="H17" s="1746"/>
      <c r="I17" s="1745"/>
    </row>
    <row r="18" spans="1:9" ht="15.6">
      <c r="A18" s="1738" t="s">
        <v>1341</v>
      </c>
      <c r="B18" s="1745"/>
      <c r="C18" s="1745"/>
      <c r="D18" s="1745"/>
      <c r="E18" s="1740" t="e">
        <f t="shared" si="0"/>
        <v>#DIV/0!</v>
      </c>
      <c r="F18" s="1740" t="e">
        <f t="shared" si="1"/>
        <v>#DIV/0!</v>
      </c>
      <c r="G18" s="1745"/>
      <c r="H18" s="1745"/>
      <c r="I18" s="1745"/>
    </row>
    <row r="19" spans="1:9" ht="15.6">
      <c r="A19" s="1738" t="s">
        <v>1340</v>
      </c>
      <c r="B19" s="1745"/>
      <c r="C19" s="1745"/>
      <c r="D19" s="1745"/>
      <c r="E19" s="1740" t="e">
        <f t="shared" si="0"/>
        <v>#DIV/0!</v>
      </c>
      <c r="F19" s="1740" t="e">
        <f t="shared" si="1"/>
        <v>#DIV/0!</v>
      </c>
      <c r="G19" s="1745"/>
      <c r="H19" s="1745"/>
      <c r="I19" s="1745"/>
    </row>
    <row r="20" spans="1:9" ht="15.6">
      <c r="A20" s="1738" t="s">
        <v>1339</v>
      </c>
      <c r="B20" s="1745"/>
      <c r="C20" s="1745"/>
      <c r="D20" s="1745"/>
      <c r="E20" s="1740" t="e">
        <f t="shared" si="0"/>
        <v>#DIV/0!</v>
      </c>
      <c r="F20" s="1740" t="e">
        <f t="shared" si="1"/>
        <v>#DIV/0!</v>
      </c>
      <c r="G20" s="1745"/>
      <c r="H20" s="1745"/>
      <c r="I20" s="1745"/>
    </row>
    <row r="21" spans="1:9" ht="15.6">
      <c r="A21" s="1738" t="s">
        <v>1338</v>
      </c>
      <c r="B21" s="1745"/>
      <c r="C21" s="1745"/>
      <c r="D21" s="1745"/>
      <c r="E21" s="1740" t="e">
        <f t="shared" si="0"/>
        <v>#DIV/0!</v>
      </c>
      <c r="F21" s="1740" t="e">
        <f t="shared" si="1"/>
        <v>#DIV/0!</v>
      </c>
      <c r="G21" s="1745"/>
      <c r="H21" s="1745"/>
      <c r="I21" s="1745"/>
    </row>
    <row r="22" spans="1:9" ht="15.6">
      <c r="A22" s="1738" t="s">
        <v>1337</v>
      </c>
      <c r="B22" s="1745"/>
      <c r="C22" s="1745"/>
      <c r="D22" s="1745"/>
      <c r="E22" s="1740" t="e">
        <f t="shared" si="0"/>
        <v>#DIV/0!</v>
      </c>
      <c r="F22" s="1740" t="e">
        <f t="shared" si="1"/>
        <v>#DIV/0!</v>
      </c>
      <c r="G22" s="1745"/>
      <c r="H22" s="1745"/>
      <c r="I22" s="1745"/>
    </row>
    <row r="23" spans="1:9" ht="15.6">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view="pageBreakPreview" zoomScaleNormal="100" zoomScaleSheetLayoutView="100" zoomScalePageLayoutView="80" workbookViewId="0">
      <selection activeCell="C33" sqref="C33"/>
    </sheetView>
  </sheetViews>
  <sheetFormatPr defaultColWidth="12.6640625" defaultRowHeight="21.75" customHeight="1"/>
  <cols>
    <col min="1" max="2" width="12.6640625" style="2423"/>
    <col min="3" max="4" width="12.6640625" style="2423" customWidth="1"/>
    <col min="5" max="9" width="12.6640625" style="2423"/>
    <col min="10" max="11" width="12.6640625" style="795" customWidth="1"/>
    <col min="12" max="12" width="12.6640625" style="795"/>
    <col min="13" max="13" width="14.109375" style="795" bestFit="1" customWidth="1"/>
    <col min="14" max="26" width="12.6640625" style="795"/>
    <col min="27" max="35" width="12.6640625" style="2422"/>
    <col min="36" max="16384" width="12.6640625" style="2423"/>
  </cols>
  <sheetData>
    <row r="1" spans="1:12" ht="21.75" customHeight="1" thickBot="1">
      <c r="A1" s="2224" t="s">
        <v>2113</v>
      </c>
      <c r="B1" s="2417"/>
      <c r="C1" s="2418"/>
      <c r="D1" s="2417"/>
      <c r="E1" s="2417"/>
      <c r="F1" s="2419" t="s">
        <v>2114</v>
      </c>
      <c r="G1" s="2069" t="s">
        <v>2115</v>
      </c>
      <c r="H1" s="2420" t="str">
        <f>IF(G1="现房","——","估价对象范围")</f>
        <v>估价对象范围</v>
      </c>
      <c r="I1" s="2421"/>
    </row>
    <row r="2" spans="1:12" ht="21.75" customHeight="1" thickBot="1">
      <c r="A2" s="3207" t="str">
        <f>项目基本情况!S2</f>
        <v>出让国有建设用地使用权及在建建筑物房地产</v>
      </c>
      <c r="B2" s="3208"/>
      <c r="C2" s="3208"/>
      <c r="D2" s="3208"/>
      <c r="E2" s="3208"/>
      <c r="F2" s="3208"/>
      <c r="G2" s="3208"/>
      <c r="H2" s="3208"/>
      <c r="I2" s="3209"/>
    </row>
    <row r="3" spans="1:12" ht="13.2">
      <c r="A3" s="3210" t="s">
        <v>2116</v>
      </c>
      <c r="B3" s="3211"/>
      <c r="C3" s="3211"/>
      <c r="D3" s="3211"/>
      <c r="E3" s="3211"/>
      <c r="F3" s="3211"/>
      <c r="G3" s="3211"/>
      <c r="H3" s="3211"/>
      <c r="I3" s="3211"/>
    </row>
    <row r="4" spans="1:12" ht="14.4">
      <c r="A4" s="2424" t="s">
        <v>2117</v>
      </c>
      <c r="B4" s="2425" t="s">
        <v>2118</v>
      </c>
      <c r="C4" s="2426" t="s">
        <v>3089</v>
      </c>
      <c r="D4" s="2426" t="s">
        <v>3088</v>
      </c>
      <c r="E4" s="3191" t="s">
        <v>2119</v>
      </c>
      <c r="F4" s="3204"/>
      <c r="G4" s="3204"/>
      <c r="H4" s="3204"/>
      <c r="I4" s="3192"/>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3.2">
      <c r="A5" s="3182" t="s">
        <v>2120</v>
      </c>
      <c r="B5" s="3108">
        <v>25</v>
      </c>
      <c r="C5" s="3212"/>
      <c r="D5" s="3200"/>
      <c r="E5" s="140" t="s">
        <v>2121</v>
      </c>
      <c r="F5" s="2428"/>
      <c r="G5" s="2428"/>
      <c r="H5" s="2428"/>
      <c r="I5" s="1830"/>
    </row>
    <row r="6" spans="1:12" ht="13.2">
      <c r="A6" s="3182"/>
      <c r="B6" s="3108"/>
      <c r="C6" s="3214"/>
      <c r="D6" s="3200"/>
      <c r="E6" s="140" t="s">
        <v>2122</v>
      </c>
      <c r="F6" s="2428"/>
      <c r="G6" s="2428"/>
      <c r="H6" s="2428"/>
      <c r="I6" s="1830"/>
    </row>
    <row r="7" spans="1:12" ht="13.2">
      <c r="A7" s="3182"/>
      <c r="B7" s="3108"/>
      <c r="C7" s="3213"/>
      <c r="D7" s="3200"/>
      <c r="E7" s="140" t="s">
        <v>2123</v>
      </c>
      <c r="F7" s="2428"/>
      <c r="G7" s="2428"/>
      <c r="H7" s="2428"/>
      <c r="I7" s="1830"/>
    </row>
    <row r="8" spans="1:12" ht="13.2">
      <c r="A8" s="3182" t="s">
        <v>2124</v>
      </c>
      <c r="B8" s="3108">
        <v>15</v>
      </c>
      <c r="C8" s="3212"/>
      <c r="D8" s="3200"/>
      <c r="E8" s="140" t="s">
        <v>2125</v>
      </c>
      <c r="F8" s="2428"/>
      <c r="G8" s="2428"/>
      <c r="H8" s="2428"/>
      <c r="I8" s="1830"/>
    </row>
    <row r="9" spans="1:12" ht="13.2">
      <c r="A9" s="3182"/>
      <c r="B9" s="3108"/>
      <c r="C9" s="3213"/>
      <c r="D9" s="3200"/>
      <c r="E9" s="140" t="s">
        <v>2126</v>
      </c>
      <c r="F9" s="2428"/>
      <c r="G9" s="2428"/>
      <c r="H9" s="2428"/>
      <c r="I9" s="1830"/>
    </row>
    <row r="10" spans="1:12" ht="13.2">
      <c r="A10" s="3182" t="s">
        <v>2127</v>
      </c>
      <c r="B10" s="3108">
        <v>15</v>
      </c>
      <c r="C10" s="3212"/>
      <c r="D10" s="3200"/>
      <c r="E10" s="140" t="s">
        <v>2128</v>
      </c>
      <c r="F10" s="2428"/>
      <c r="G10" s="2428"/>
      <c r="H10" s="2428"/>
      <c r="I10" s="1830"/>
    </row>
    <row r="11" spans="1:12" ht="13.2">
      <c r="A11" s="3182"/>
      <c r="B11" s="3108"/>
      <c r="C11" s="3213"/>
      <c r="D11" s="3200"/>
      <c r="E11" s="140" t="s">
        <v>2129</v>
      </c>
      <c r="F11" s="2428"/>
      <c r="G11" s="2428"/>
      <c r="H11" s="2428"/>
      <c r="I11" s="1830"/>
    </row>
    <row r="12" spans="1:12" ht="13.2">
      <c r="A12" s="3182" t="s">
        <v>2130</v>
      </c>
      <c r="B12" s="3108">
        <v>15</v>
      </c>
      <c r="C12" s="3212"/>
      <c r="D12" s="3200"/>
      <c r="E12" s="140" t="s">
        <v>2131</v>
      </c>
      <c r="F12" s="2428"/>
      <c r="G12" s="2428"/>
      <c r="H12" s="2428"/>
      <c r="I12" s="1830"/>
    </row>
    <row r="13" spans="1:12" ht="13.2">
      <c r="A13" s="3182"/>
      <c r="B13" s="3108"/>
      <c r="C13" s="3213"/>
      <c r="D13" s="3200"/>
      <c r="E13" s="140" t="s">
        <v>2132</v>
      </c>
      <c r="F13" s="2428"/>
      <c r="G13" s="2428"/>
      <c r="H13" s="2428"/>
      <c r="I13" s="1830"/>
    </row>
    <row r="14" spans="1:12" ht="13.2">
      <c r="A14" s="3182" t="s">
        <v>2133</v>
      </c>
      <c r="B14" s="3108">
        <v>30</v>
      </c>
      <c r="C14" s="3212">
        <v>4</v>
      </c>
      <c r="D14" s="3200">
        <v>6</v>
      </c>
      <c r="E14" s="140" t="s">
        <v>2134</v>
      </c>
      <c r="F14" s="2428"/>
      <c r="G14" s="2428"/>
      <c r="H14" s="2428"/>
      <c r="I14" s="1830"/>
    </row>
    <row r="15" spans="1:12" ht="13.2">
      <c r="A15" s="3182"/>
      <c r="B15" s="3108"/>
      <c r="C15" s="3214"/>
      <c r="D15" s="3200"/>
      <c r="E15" s="140" t="s">
        <v>2135</v>
      </c>
      <c r="F15" s="2428"/>
      <c r="G15" s="2428"/>
      <c r="H15" s="2428"/>
      <c r="I15" s="1830"/>
    </row>
    <row r="16" spans="1:12" ht="13.2">
      <c r="A16" s="3182"/>
      <c r="B16" s="3108"/>
      <c r="C16" s="3213"/>
      <c r="D16" s="3200"/>
      <c r="E16" s="140" t="s">
        <v>2136</v>
      </c>
      <c r="F16" s="2428"/>
      <c r="G16" s="2428"/>
      <c r="H16" s="2428"/>
      <c r="I16" s="1830"/>
    </row>
    <row r="17" spans="1:35" ht="14.4">
      <c r="A17" s="2429" t="s">
        <v>2137</v>
      </c>
      <c r="B17" s="64"/>
      <c r="C17" s="141">
        <f>SUM(C5:C16)</f>
        <v>4</v>
      </c>
      <c r="D17" s="141">
        <f>SUM(D5:D16)</f>
        <v>6</v>
      </c>
      <c r="E17" s="138"/>
      <c r="F17" s="138"/>
      <c r="G17" s="138"/>
      <c r="H17" s="138"/>
      <c r="I17" s="138"/>
      <c r="K17" s="2427"/>
      <c r="L17" s="2430" t="s">
        <v>2138</v>
      </c>
      <c r="M17" s="2430" t="s">
        <v>2139</v>
      </c>
    </row>
    <row r="18" spans="1:35" ht="15" thickBot="1">
      <c r="A18" s="2431" t="s">
        <v>2140</v>
      </c>
      <c r="B18" s="2432"/>
      <c r="C18" s="142">
        <f>ROUND(C17/SUM(C17:D17),2)</f>
        <v>0.4</v>
      </c>
      <c r="D18" s="142">
        <f>1-C18</f>
        <v>0.6</v>
      </c>
      <c r="E18" s="138"/>
      <c r="F18" s="138"/>
      <c r="G18" s="138"/>
      <c r="H18" s="138"/>
      <c r="I18" s="138"/>
      <c r="K18" s="2427" t="s">
        <v>2141</v>
      </c>
      <c r="L18" s="2427">
        <f>IF(C1="",'数据-汇总表'!E3,SUMIF(项目类型,C1,'数据-汇总表'!E17:E26)+SUMIF(项目类型,C1,'数据-汇总表'!I17:I26))</f>
        <v>73003.73</v>
      </c>
      <c r="M18" s="2427">
        <f>IF(C1="",'数据-汇总表'!E3,SUMIF(项目类型,C1,'数据-汇总表'!E17:E26))</f>
        <v>73003.73</v>
      </c>
    </row>
    <row r="19" spans="1:35" ht="14.4">
      <c r="A19" s="2433" t="s">
        <v>2142</v>
      </c>
      <c r="B19" s="2434" t="s">
        <v>2143</v>
      </c>
      <c r="C19" s="143">
        <f ca="1">SUMIF(INDIRECT("'"&amp;C4&amp;"'"&amp;"!A:A"),结果表!B19,INDIRECT("'"&amp;C4&amp;"'"&amp;"!B:B"))</f>
        <v>56379</v>
      </c>
      <c r="D19" s="144">
        <f ca="1">SUMIF(INDIRECT("'"&amp;D4&amp;"'"&amp;"!A:A"),结果表!B19,INDIRECT("'"&amp;D4&amp;"'"&amp;"!B:B"))</f>
        <v>109443</v>
      </c>
      <c r="E19" s="2433" t="s">
        <v>2144</v>
      </c>
      <c r="F19" s="2434" t="s">
        <v>2143</v>
      </c>
      <c r="G19" s="145">
        <f ca="1">ROUND(C19*$C$18+D19*$D$18,0)</f>
        <v>88217</v>
      </c>
      <c r="H19" s="2435" t="s">
        <v>2145</v>
      </c>
      <c r="I19" s="138"/>
      <c r="K19" s="2427" t="s">
        <v>2146</v>
      </c>
      <c r="L19" s="2427">
        <f>IF(C1="",'数据-汇总表'!D3,SUMIF(项目类型,C1,'数据-汇总表'!D17:D26)+SUMIF(项目类型,C1,'数据-汇总表'!H17:H27))</f>
        <v>0</v>
      </c>
      <c r="M19" s="2427">
        <f>IF(C1="",'数据-汇总表'!D3,SUMIF(项目类型,C1,'数据-汇总表'!D17:D26))</f>
        <v>0</v>
      </c>
    </row>
    <row r="20" spans="1:35" ht="14.4">
      <c r="A20" s="2436"/>
      <c r="B20" s="1247" t="s">
        <v>2147</v>
      </c>
      <c r="C20" s="146">
        <f ca="1">SUMIF(INDIRECT("'"&amp;C4&amp;"'"&amp;"!A:A"),结果表!B20,INDIRECT("'"&amp;C4&amp;"'"&amp;"!B:B"))</f>
        <v>7723</v>
      </c>
      <c r="D20" s="147">
        <f ca="1">SUMIF(INDIRECT("'"&amp;D4&amp;"'"&amp;"!A:A"),结果表!B20,INDIRECT("'"&amp;D4&amp;"'"&amp;"!B:B"))</f>
        <v>14991</v>
      </c>
      <c r="E20" s="2436"/>
      <c r="F20" s="1247" t="s">
        <v>2147</v>
      </c>
      <c r="G20" s="148">
        <f ca="1">ROUND(C20*$C$18+D20*$D$18,0)</f>
        <v>12084</v>
      </c>
      <c r="H20" s="980" t="s">
        <v>2148</v>
      </c>
      <c r="I20" s="138"/>
    </row>
    <row r="21" spans="1:35" ht="15" customHeight="1" thickBot="1">
      <c r="A21" s="1000"/>
      <c r="B21" s="2437" t="s">
        <v>2149</v>
      </c>
      <c r="C21" s="789" t="e">
        <f ca="1">ROUND(C19*10000/L19,0)</f>
        <v>#DIV/0!</v>
      </c>
      <c r="D21" s="790" t="e">
        <f ca="1">ROUND(D19*10000/L19,0)</f>
        <v>#DIV/0!</v>
      </c>
      <c r="E21" s="1000"/>
      <c r="F21" s="2437" t="s">
        <v>2149</v>
      </c>
      <c r="G21" s="149" t="e">
        <f ca="1">ROUND(G19*10000/L19,0)</f>
        <v>#DIV/0!</v>
      </c>
      <c r="H21" s="2438" t="s">
        <v>2148</v>
      </c>
      <c r="I21" s="138"/>
    </row>
    <row r="22" spans="1:35" ht="15" thickBot="1">
      <c r="A22" s="2280" t="s">
        <v>2150</v>
      </c>
      <c r="B22" s="2439"/>
      <c r="C22" s="2440"/>
      <c r="D22" s="791">
        <f ca="1">IF(C19&lt;D19,D19/C19-1,C19/D19-1)</f>
        <v>0.94120151120097906</v>
      </c>
      <c r="E22" s="138"/>
      <c r="F22" s="138"/>
      <c r="G22" s="138"/>
      <c r="H22" s="138"/>
      <c r="I22" s="138"/>
    </row>
    <row r="23" spans="1:35" ht="13.8" thickBot="1">
      <c r="A23" s="2417"/>
      <c r="B23" s="2417"/>
      <c r="C23" s="2417"/>
      <c r="D23" s="2417"/>
      <c r="E23" s="138"/>
      <c r="F23" s="138"/>
      <c r="G23" s="138"/>
      <c r="H23" s="138"/>
      <c r="I23" s="138"/>
    </row>
    <row r="24" spans="1:35" ht="14.4">
      <c r="A24" s="3221" t="s">
        <v>2151</v>
      </c>
      <c r="B24" s="2434" t="s">
        <v>2143</v>
      </c>
      <c r="C24" s="145">
        <f>IF(B30=0,0,D30)</f>
        <v>0</v>
      </c>
      <c r="D24" s="2441"/>
      <c r="E24" s="138"/>
      <c r="F24" s="138"/>
      <c r="G24" s="138"/>
      <c r="H24" s="138"/>
      <c r="I24" s="138"/>
    </row>
    <row r="25" spans="1:35" ht="14.4">
      <c r="A25" s="3222"/>
      <c r="B25" s="1247" t="s">
        <v>2147</v>
      </c>
      <c r="C25" s="150">
        <f>IF(B30=0,0,C30)</f>
        <v>0</v>
      </c>
      <c r="D25" s="2442"/>
      <c r="E25" s="138"/>
      <c r="F25" s="138"/>
      <c r="G25" s="138"/>
      <c r="H25" s="138"/>
      <c r="I25" s="138"/>
    </row>
    <row r="26" spans="1:35" ht="13.5" customHeight="1">
      <c r="A26" s="2443" t="s">
        <v>2152</v>
      </c>
      <c r="B26" s="151" t="s">
        <v>2153</v>
      </c>
      <c r="C26" s="151" t="s">
        <v>2154</v>
      </c>
      <c r="D26" s="152" t="s">
        <v>2155</v>
      </c>
      <c r="E26" s="138"/>
      <c r="F26" s="138"/>
      <c r="G26" s="138"/>
      <c r="H26" s="138"/>
      <c r="I26" s="138"/>
    </row>
    <row r="27" spans="1:35" ht="13.8">
      <c r="A27" s="2443"/>
      <c r="B27" s="151">
        <v>0</v>
      </c>
      <c r="C27" s="151">
        <v>0</v>
      </c>
      <c r="D27" s="152">
        <f>ROUND(C27*B27/10000,0)</f>
        <v>0</v>
      </c>
      <c r="E27" s="138"/>
      <c r="F27" s="138"/>
      <c r="G27" s="138"/>
      <c r="H27" s="138"/>
      <c r="I27" s="138"/>
    </row>
    <row r="28" spans="1:35" ht="13.8">
      <c r="A28" s="2443"/>
      <c r="B28" s="151"/>
      <c r="C28" s="151"/>
      <c r="D28" s="152"/>
      <c r="E28" s="138"/>
      <c r="F28" s="138"/>
      <c r="G28" s="138"/>
      <c r="H28" s="138"/>
      <c r="I28" s="138"/>
    </row>
    <row r="29" spans="1:35" ht="13.8">
      <c r="A29" s="2443"/>
      <c r="B29" s="151"/>
      <c r="C29" s="151"/>
      <c r="D29" s="152"/>
      <c r="E29" s="138"/>
      <c r="F29" s="138"/>
      <c r="G29" s="138"/>
      <c r="H29" s="138"/>
      <c r="I29" s="138"/>
    </row>
    <row r="30" spans="1:35" ht="14.4">
      <c r="A30" s="151" t="s">
        <v>2156</v>
      </c>
      <c r="B30" s="151"/>
      <c r="C30" s="151"/>
      <c r="D30" s="151"/>
      <c r="E30" s="2916" t="s">
        <v>3032</v>
      </c>
      <c r="F30" s="138"/>
      <c r="G30" s="138"/>
      <c r="H30" s="138"/>
      <c r="I30" s="138"/>
    </row>
    <row r="31" spans="1:35" s="2445" customFormat="1" ht="14.4"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 thickBot="1">
      <c r="A32" s="2446" t="s">
        <v>2157</v>
      </c>
      <c r="B32" s="2447"/>
      <c r="C32" s="153">
        <f ca="1">IF(D32="总价",G19-C24,G20-C25)</f>
        <v>88217</v>
      </c>
      <c r="D32" s="2448" t="s">
        <v>2158</v>
      </c>
      <c r="E32" s="138"/>
      <c r="F32" s="138"/>
      <c r="G32" s="138"/>
      <c r="H32" s="138"/>
      <c r="I32" s="138"/>
    </row>
    <row r="33" spans="1:15" ht="14.4">
      <c r="A33" s="957" t="s">
        <v>2159</v>
      </c>
      <c r="B33" s="2449"/>
      <c r="C33" s="2450"/>
      <c r="D33" s="2451"/>
      <c r="E33" s="2452" t="s">
        <v>2160</v>
      </c>
      <c r="F33" s="2453" t="str">
        <f>IF(D32="楼面单价","取值（单价）","取值（总价）")</f>
        <v>取值（总价）</v>
      </c>
      <c r="G33" s="138"/>
      <c r="H33" s="138"/>
      <c r="I33" s="138"/>
    </row>
    <row r="34" spans="1:15" ht="14.4">
      <c r="A34" s="2454"/>
      <c r="B34" s="2455" t="s">
        <v>2161</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2162</v>
      </c>
      <c r="F34" s="1735"/>
      <c r="G34" s="138"/>
      <c r="H34" s="138"/>
      <c r="I34" s="138"/>
    </row>
    <row r="35" spans="1:15" ht="15" thickBot="1">
      <c r="A35" s="2457"/>
      <c r="B35" s="2458" t="s">
        <v>2163</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9" t="s">
        <v>2164</v>
      </c>
      <c r="F35" s="163"/>
      <c r="G35" s="138"/>
      <c r="H35" s="138"/>
      <c r="I35" s="138"/>
    </row>
    <row r="36" spans="1:15" ht="15" thickBot="1">
      <c r="A36" s="3201" t="s">
        <v>2165</v>
      </c>
      <c r="B36" s="2460" t="s">
        <v>2166</v>
      </c>
      <c r="C36" s="154"/>
      <c r="D36" s="2461"/>
      <c r="E36" s="2462"/>
      <c r="F36" s="2463"/>
      <c r="G36" s="138"/>
      <c r="H36" s="138"/>
      <c r="I36" s="138"/>
    </row>
    <row r="37" spans="1:15" ht="15" thickBot="1">
      <c r="A37" s="3202"/>
      <c r="B37" s="2266" t="s">
        <v>2167</v>
      </c>
      <c r="C37" s="156"/>
      <c r="D37" s="1392"/>
      <c r="E37" s="1392"/>
      <c r="F37" s="2463"/>
      <c r="G37" s="138"/>
      <c r="H37" s="138"/>
      <c r="I37" s="138"/>
    </row>
    <row r="38" spans="1:15" ht="15" thickBot="1">
      <c r="A38" s="3203"/>
      <c r="B38" s="2464" t="s">
        <v>2168</v>
      </c>
      <c r="C38" s="727"/>
      <c r="D38" s="2465" t="s">
        <v>2169</v>
      </c>
      <c r="E38" s="1392"/>
      <c r="F38" s="2463"/>
      <c r="G38" s="138"/>
      <c r="H38" s="138"/>
      <c r="I38" s="138"/>
    </row>
    <row r="39" spans="1:15" ht="14.4">
      <c r="A39" s="2436" t="s">
        <v>2170</v>
      </c>
      <c r="B39" s="2466" t="s">
        <v>2171</v>
      </c>
      <c r="C39" s="2467" t="s">
        <v>2172</v>
      </c>
      <c r="D39" s="2467" t="s">
        <v>2173</v>
      </c>
      <c r="E39" s="2468" t="s">
        <v>2174</v>
      </c>
      <c r="F39" s="2463"/>
      <c r="G39" s="138"/>
      <c r="H39" s="138"/>
      <c r="I39" s="138"/>
    </row>
    <row r="40" spans="1:15" ht="13.8">
      <c r="A40" s="2469" t="s">
        <v>2175</v>
      </c>
      <c r="B40" s="158"/>
      <c r="C40" s="159"/>
      <c r="D40" s="159"/>
      <c r="E40" s="160"/>
      <c r="F40" s="2463"/>
      <c r="G40" s="138"/>
      <c r="H40" s="138"/>
      <c r="I40" s="138"/>
    </row>
    <row r="41" spans="1:15" ht="13.8">
      <c r="A41" s="2469" t="s">
        <v>2176</v>
      </c>
      <c r="B41" s="158"/>
      <c r="C41" s="159"/>
      <c r="D41" s="159"/>
      <c r="E41" s="160"/>
      <c r="F41" s="2463"/>
      <c r="G41" s="138"/>
      <c r="H41" s="138"/>
      <c r="I41" s="138"/>
    </row>
    <row r="42" spans="1:15" ht="14.4" thickBot="1">
      <c r="A42" s="2470"/>
      <c r="B42" s="161"/>
      <c r="C42" s="162"/>
      <c r="D42" s="162"/>
      <c r="E42" s="163"/>
      <c r="F42" s="2463"/>
      <c r="G42" s="138"/>
      <c r="H42" s="138"/>
      <c r="I42" s="138"/>
    </row>
    <row r="43" spans="1:15" ht="13.2">
      <c r="A43" s="2164"/>
      <c r="B43" s="2164"/>
      <c r="C43" s="2164"/>
      <c r="D43" s="2164"/>
      <c r="E43" s="2164"/>
      <c r="F43" s="2471"/>
      <c r="G43" s="2471"/>
      <c r="H43" s="2471"/>
      <c r="I43" s="2472"/>
    </row>
    <row r="44" spans="1:15" ht="17.399999999999999">
      <c r="A44" s="2473" t="s">
        <v>2177</v>
      </c>
      <c r="B44" s="2474"/>
      <c r="C44" s="2474"/>
      <c r="D44" s="2475"/>
      <c r="E44" s="2475"/>
      <c r="F44" s="2476"/>
      <c r="G44" s="2476"/>
      <c r="H44" s="2476"/>
      <c r="I44" s="2476"/>
      <c r="J44" s="2477" t="s">
        <v>2178</v>
      </c>
      <c r="K44" s="2478"/>
      <c r="L44" s="2478"/>
      <c r="M44" s="2478"/>
      <c r="N44" s="2478"/>
      <c r="O44" s="2478"/>
    </row>
    <row r="45" spans="1:15" ht="14.25" customHeight="1" thickBot="1">
      <c r="A45" s="3218" t="s">
        <v>2179</v>
      </c>
      <c r="B45" s="3219"/>
      <c r="C45" s="3220"/>
      <c r="D45" s="164">
        <f ca="1">ROUND(H101*F45,0)</f>
        <v>88217</v>
      </c>
      <c r="E45" s="165" t="s">
        <v>2180</v>
      </c>
      <c r="F45" s="166">
        <v>1</v>
      </c>
      <c r="G45" s="167" t="s">
        <v>2181</v>
      </c>
      <c r="H45" s="138"/>
      <c r="I45" s="138"/>
      <c r="J45" s="3137" t="s">
        <v>2182</v>
      </c>
      <c r="K45" s="3137"/>
      <c r="L45" s="3137"/>
      <c r="M45" s="3137"/>
      <c r="N45" s="3137"/>
      <c r="O45" s="3137"/>
    </row>
    <row r="46" spans="1:15" ht="14.25" customHeight="1">
      <c r="A46" s="3215" t="s">
        <v>2183</v>
      </c>
      <c r="B46" s="3216"/>
      <c r="C46" s="3216"/>
      <c r="D46" s="3216"/>
      <c r="E46" s="3216"/>
      <c r="F46" s="3216"/>
      <c r="G46" s="3217"/>
      <c r="H46" s="2479"/>
      <c r="I46" s="168"/>
      <c r="J46" s="1808">
        <v>1</v>
      </c>
      <c r="K46" s="3137" t="s">
        <v>2184</v>
      </c>
      <c r="L46" s="3137"/>
      <c r="M46" s="3138"/>
      <c r="N46" s="3138"/>
      <c r="O46" s="3138"/>
    </row>
    <row r="47" spans="1:15" ht="12" customHeight="1">
      <c r="A47" s="169" t="s">
        <v>2185</v>
      </c>
      <c r="B47" s="170"/>
      <c r="C47" s="171"/>
      <c r="D47" s="172" t="s">
        <v>2186</v>
      </c>
      <c r="E47" s="24" t="s">
        <v>2187</v>
      </c>
      <c r="F47" s="173" t="s">
        <v>2188</v>
      </c>
      <c r="G47" s="174" t="s">
        <v>2189</v>
      </c>
      <c r="H47" s="2479"/>
      <c r="I47" s="168"/>
      <c r="J47" s="1808">
        <v>2</v>
      </c>
      <c r="K47" s="3137" t="s">
        <v>2190</v>
      </c>
      <c r="L47" s="3137"/>
      <c r="M47" s="3139">
        <f>'数据-取费表'!B2</f>
        <v>43921</v>
      </c>
      <c r="N47" s="3139"/>
      <c r="O47" s="3139"/>
    </row>
    <row r="48" spans="1:15" ht="26.4">
      <c r="A48" s="3205" t="s">
        <v>2191</v>
      </c>
      <c r="B48" s="3206"/>
      <c r="C48" s="3206"/>
      <c r="D48" s="140">
        <f>IF(H48="情况1",0,IF(H48="情况2",D52,IF(H48="情况3",D53,IF(H48="情况4",D54))))</f>
        <v>0</v>
      </c>
      <c r="E48" s="1797" t="str">
        <f>IF(H48="情况4","(销售额-原购置价)×税（费）率","销售额×税（费）率")</f>
        <v>销售额×税（费）率</v>
      </c>
      <c r="F48" s="175" t="str">
        <f>IF(H48="情况1","免征",'数据-取费表'!B41)</f>
        <v>免征</v>
      </c>
      <c r="G48" s="2480" t="s">
        <v>2192</v>
      </c>
      <c r="H48" s="2481" t="s">
        <v>2193</v>
      </c>
      <c r="I48" s="2479"/>
      <c r="J48" s="1808">
        <v>3</v>
      </c>
      <c r="K48" s="3137" t="s">
        <v>2194</v>
      </c>
      <c r="L48" s="3137"/>
      <c r="M48" s="3140">
        <f ca="1">H101</f>
        <v>88217</v>
      </c>
      <c r="N48" s="3140"/>
      <c r="O48" s="3140"/>
    </row>
    <row r="49" spans="1:35" ht="25.5" customHeight="1">
      <c r="A49" s="176" t="s">
        <v>2195</v>
      </c>
      <c r="B49" s="3185" t="s">
        <v>2196</v>
      </c>
      <c r="C49" s="3185"/>
      <c r="D49" s="177">
        <v>0</v>
      </c>
      <c r="E49" s="23" t="s">
        <v>2197</v>
      </c>
      <c r="F49" s="28" t="s">
        <v>34</v>
      </c>
      <c r="G49" s="3166"/>
      <c r="H49" s="138"/>
      <c r="I49" s="2482"/>
      <c r="J49" s="1808">
        <v>4</v>
      </c>
      <c r="K49" s="3137" t="str">
        <f>IF(项目基本情况!E8="房地产抵押价值","房地产抵押价值","抵押担保权已注销时的房地产抵押价值")</f>
        <v>房地产抵押价值</v>
      </c>
      <c r="L49" s="3137"/>
      <c r="M49" s="3140">
        <f ca="1">IF(项目基本情况!E8="房地产抵押价值",H107,H109)</f>
        <v>88217</v>
      </c>
      <c r="N49" s="3140"/>
      <c r="O49" s="3140"/>
    </row>
    <row r="50" spans="1:35" ht="25.5" customHeight="1">
      <c r="A50" s="178"/>
      <c r="B50" s="3185" t="s">
        <v>2198</v>
      </c>
      <c r="C50" s="3185"/>
      <c r="D50" s="179"/>
      <c r="E50" s="31"/>
      <c r="F50" s="180"/>
      <c r="G50" s="3167"/>
      <c r="H50" s="138"/>
      <c r="I50" s="2482"/>
      <c r="J50" s="3137" t="s">
        <v>2199</v>
      </c>
      <c r="K50" s="3137"/>
      <c r="L50" s="3137"/>
      <c r="M50" s="3137"/>
      <c r="N50" s="3137"/>
      <c r="O50" s="3137"/>
    </row>
    <row r="51" spans="1:35" ht="12" customHeight="1">
      <c r="A51" s="181"/>
      <c r="B51" s="3185" t="s">
        <v>2200</v>
      </c>
      <c r="C51" s="3185"/>
      <c r="D51" s="182"/>
      <c r="E51" s="30"/>
      <c r="F51" s="180"/>
      <c r="G51" s="3168"/>
      <c r="H51" s="138"/>
      <c r="I51" s="2482"/>
      <c r="J51" s="2483" t="s">
        <v>2201</v>
      </c>
      <c r="K51" s="3137" t="s">
        <v>2202</v>
      </c>
      <c r="L51" s="3137"/>
      <c r="M51" s="2483" t="s">
        <v>2203</v>
      </c>
      <c r="N51" s="2483" t="s">
        <v>2204</v>
      </c>
      <c r="O51" s="2483" t="s">
        <v>2205</v>
      </c>
    </row>
    <row r="52" spans="1:35" ht="24" customHeight="1">
      <c r="A52" s="183" t="s">
        <v>2206</v>
      </c>
      <c r="B52" s="3185" t="s">
        <v>2207</v>
      </c>
      <c r="C52" s="3185"/>
      <c r="D52" s="182">
        <f ca="1">ROUND(D45*'数据-取费表'!B41/(1+'数据-取费表'!C42),0)</f>
        <v>4621</v>
      </c>
      <c r="E52" s="11" t="s">
        <v>2208</v>
      </c>
      <c r="F52" s="184">
        <f>'数据-取费表'!B41</f>
        <v>5.5000000000000007E-2</v>
      </c>
      <c r="G52" s="2484"/>
      <c r="H52" s="138"/>
      <c r="I52" s="2482"/>
      <c r="J52" s="1808">
        <v>1</v>
      </c>
      <c r="K52" s="3160" t="s">
        <v>2209</v>
      </c>
      <c r="L52" s="3160"/>
      <c r="M52" s="1750">
        <f>D48</f>
        <v>0</v>
      </c>
      <c r="N52" s="1808" t="str">
        <f>E48</f>
        <v>销售额×税（费）率</v>
      </c>
      <c r="O52" s="1751" t="str">
        <f>F48</f>
        <v>免征</v>
      </c>
    </row>
    <row r="53" spans="1:35" ht="12" customHeight="1">
      <c r="A53" s="183" t="s">
        <v>2210</v>
      </c>
      <c r="B53" s="3186" t="s">
        <v>2211</v>
      </c>
      <c r="C53" s="3187"/>
      <c r="D53" s="182">
        <f ca="1">ROUND(D45*'数据-取费表'!B41/(1+'数据-取费表'!C42),0)</f>
        <v>4621</v>
      </c>
      <c r="E53" s="11" t="s">
        <v>2208</v>
      </c>
      <c r="F53" s="184">
        <f>'数据-取费表'!B41</f>
        <v>5.5000000000000007E-2</v>
      </c>
      <c r="G53" s="2484"/>
      <c r="H53" s="138"/>
      <c r="I53" s="2482"/>
      <c r="J53" s="1808">
        <v>2</v>
      </c>
      <c r="K53" s="3160" t="s">
        <v>2212</v>
      </c>
      <c r="L53" s="3160"/>
      <c r="M53" s="1750">
        <f t="shared" ref="M53:O54" ca="1" si="0">D55</f>
        <v>44</v>
      </c>
      <c r="N53" s="1808" t="str">
        <f t="shared" si="0"/>
        <v>销售额×税（费）率</v>
      </c>
      <c r="O53" s="1751">
        <f t="shared" si="0"/>
        <v>5.0000000000000001E-4</v>
      </c>
    </row>
    <row r="54" spans="1:35" ht="12" customHeight="1">
      <c r="A54" s="183" t="s">
        <v>2213</v>
      </c>
      <c r="B54" s="3186" t="s">
        <v>2214</v>
      </c>
      <c r="C54" s="3187"/>
      <c r="D54" s="182">
        <f ca="1">C68</f>
        <v>4621</v>
      </c>
      <c r="E54" s="30" t="s">
        <v>2215</v>
      </c>
      <c r="F54" s="184">
        <f>'数据-取费表'!B41</f>
        <v>5.5000000000000007E-2</v>
      </c>
      <c r="G54" s="2484"/>
      <c r="H54" s="2485"/>
      <c r="I54" s="2482"/>
      <c r="J54" s="1808">
        <v>3</v>
      </c>
      <c r="K54" s="3160" t="s">
        <v>2216</v>
      </c>
      <c r="L54" s="3160"/>
      <c r="M54" s="1750">
        <f t="shared" ca="1" si="0"/>
        <v>50011</v>
      </c>
      <c r="N54" s="1808" t="str">
        <f t="shared" si="0"/>
        <v>增值额×税（费）率</v>
      </c>
      <c r="O54" s="1752" t="str">
        <f t="shared" si="0"/>
        <v>——</v>
      </c>
    </row>
    <row r="55" spans="1:35" ht="24" customHeight="1">
      <c r="A55" s="3224" t="s">
        <v>2217</v>
      </c>
      <c r="B55" s="3206"/>
      <c r="C55" s="3206"/>
      <c r="D55" s="185">
        <f ca="1">IF(H55="个人住宅",0,ROUND(D45*I55,0))</f>
        <v>44</v>
      </c>
      <c r="E55" s="11" t="s">
        <v>2218</v>
      </c>
      <c r="F55" s="184">
        <f>IF(H55="正常",I55,"免征")</f>
        <v>5.0000000000000001E-4</v>
      </c>
      <c r="G55" s="2484"/>
      <c r="H55" s="2481" t="s">
        <v>2219</v>
      </c>
      <c r="I55" s="186">
        <f>'数据-取费表'!B49</f>
        <v>5.0000000000000001E-4</v>
      </c>
      <c r="J55" s="1808" t="str">
        <f>IF(H59="非个人房产","",4)</f>
        <v/>
      </c>
      <c r="K55" s="3160" t="str">
        <f>IF(H59="非个人房产","——","个人所得税")</f>
        <v>——</v>
      </c>
      <c r="L55" s="3160"/>
      <c r="M55" s="1753" t="str">
        <f>D59</f>
        <v>——</v>
      </c>
      <c r="N55" s="1806" t="str">
        <f>E59</f>
        <v>——</v>
      </c>
      <c r="O55" s="1754" t="str">
        <f>F59</f>
        <v>——</v>
      </c>
    </row>
    <row r="56" spans="1:35" ht="25.2">
      <c r="A56" s="3224" t="s">
        <v>2220</v>
      </c>
      <c r="B56" s="3206"/>
      <c r="C56" s="3206"/>
      <c r="D56" s="185">
        <f ca="1">IF(H56="个人住宅",D57,D58)</f>
        <v>50011</v>
      </c>
      <c r="E56" s="11" t="s">
        <v>2221</v>
      </c>
      <c r="F56" s="184" t="str">
        <f>IF(H56="正常",F58,"免征")</f>
        <v>——</v>
      </c>
      <c r="G56" s="2486" t="s">
        <v>2222</v>
      </c>
      <c r="H56" s="2487" t="s">
        <v>2219</v>
      </c>
      <c r="I56" s="2488"/>
      <c r="J56" s="1808" t="str">
        <f>IF(项目基本情况!K6="上海银行",IF(J55="",4,J55+1),"")</f>
        <v/>
      </c>
      <c r="K56" s="3143" t="str">
        <f>IF(项目基本情况!K6="上海银行","其他处置费用","")</f>
        <v/>
      </c>
      <c r="L56" s="3144"/>
      <c r="M56" s="1750" t="str">
        <f>IF(项目基本情况!K6="上海银行",M69,"")</f>
        <v/>
      </c>
      <c r="N56" s="3146" t="str">
        <f>IF(项目基本情况!K6="上海银行","包含处置中涉及的律师、诉讼、拍卖、评估等费用","")</f>
        <v/>
      </c>
      <c r="O56" s="3147"/>
    </row>
    <row r="57" spans="1:35" ht="13.2">
      <c r="A57" s="183" t="s">
        <v>2195</v>
      </c>
      <c r="B57" s="3191" t="s">
        <v>2223</v>
      </c>
      <c r="C57" s="3192"/>
      <c r="D57" s="187">
        <v>0</v>
      </c>
      <c r="E57" s="23" t="s">
        <v>2197</v>
      </c>
      <c r="F57" s="155"/>
      <c r="G57" s="2484"/>
      <c r="H57" s="2488"/>
      <c r="I57" s="2488"/>
      <c r="J57" s="3160">
        <f>IF(AND(J55="",J56=""),4,IF(项目基本情况!K6="上海银行",结果表!J56+1,结果表!J55+1))</f>
        <v>4</v>
      </c>
      <c r="K57" s="3160" t="s">
        <v>2224</v>
      </c>
      <c r="L57" s="2489" t="s">
        <v>2225</v>
      </c>
      <c r="M57" s="1755"/>
      <c r="N57" s="1756">
        <f ca="1">SUMIF(M52:M56,"&lt;9e307")</f>
        <v>50055</v>
      </c>
      <c r="O57" s="2490"/>
      <c r="P57" s="1749">
        <f ca="1">N57/M49</f>
        <v>0.567407642517882</v>
      </c>
    </row>
    <row r="58" spans="1:35" ht="25.2">
      <c r="A58" s="183" t="s">
        <v>2206</v>
      </c>
      <c r="B58" s="3191" t="s">
        <v>2226</v>
      </c>
      <c r="C58" s="3204"/>
      <c r="D58" s="185">
        <f ca="1">IF(H58="转让取得",C81,C97)</f>
        <v>50011</v>
      </c>
      <c r="E58" s="11" t="s">
        <v>2221</v>
      </c>
      <c r="F58" s="24" t="s">
        <v>34</v>
      </c>
      <c r="G58" s="2484"/>
      <c r="H58" s="2487" t="s">
        <v>2227</v>
      </c>
      <c r="I58" s="2488"/>
      <c r="J58" s="3160"/>
      <c r="K58" s="3160"/>
      <c r="L58" s="2489" t="s">
        <v>2228</v>
      </c>
      <c r="M58" s="1757"/>
      <c r="N58" s="2491" t="str">
        <f ca="1">NUMBERSTRING(INT(N57*10000),2)&amp;"元整"</f>
        <v>伍亿零伍拾伍万元整</v>
      </c>
      <c r="O58" s="2492"/>
    </row>
    <row r="59" spans="1:35" ht="24.6" thickBot="1">
      <c r="A59" s="3164" t="s">
        <v>2229</v>
      </c>
      <c r="B59" s="3165"/>
      <c r="C59" s="3165"/>
      <c r="D59" s="188" t="str">
        <f>IF(H59="非个人房产","——",IF(H59="个人住宅",0,ROUND(D45*I59,0)))</f>
        <v>——</v>
      </c>
      <c r="E59" s="189" t="str">
        <f>IF(H59="非个人房产","——","销售额×税（费）率")</f>
        <v>——</v>
      </c>
      <c r="F59" s="190" t="str">
        <f>IF(H59="非个人房产","——",IF(H59="个人住宅","免征",I59))</f>
        <v>——</v>
      </c>
      <c r="G59" s="2493" t="s">
        <v>2222</v>
      </c>
      <c r="H59" s="2487" t="s">
        <v>2230</v>
      </c>
      <c r="I59" s="191">
        <v>0.01</v>
      </c>
      <c r="J59" s="3162">
        <f>J57+1</f>
        <v>5</v>
      </c>
      <c r="K59" s="3160" t="s">
        <v>2231</v>
      </c>
      <c r="L59" s="1808" t="s">
        <v>2225</v>
      </c>
      <c r="M59" s="1758"/>
      <c r="N59" s="1759">
        <f ca="1">M49-N57</f>
        <v>38162</v>
      </c>
      <c r="O59" s="2494"/>
    </row>
    <row r="60" spans="1:35" ht="12" customHeight="1">
      <c r="A60" s="2495"/>
      <c r="B60" s="2417"/>
      <c r="C60" s="2417"/>
      <c r="D60" s="2417"/>
      <c r="E60" s="2165"/>
      <c r="F60" s="2488"/>
      <c r="G60" s="2488"/>
      <c r="H60" s="2496"/>
      <c r="I60" s="138"/>
      <c r="J60" s="3163"/>
      <c r="K60" s="3160"/>
      <c r="L60" s="2489" t="s">
        <v>2228</v>
      </c>
      <c r="M60" s="1757"/>
      <c r="N60" s="2491" t="str">
        <f ca="1">NUMBERSTRING(INT(N59*10000),2)&amp;"元整"</f>
        <v>叁亿捌仟壹佰陆拾贰万元整</v>
      </c>
      <c r="O60" s="2492"/>
    </row>
    <row r="61" spans="1:35" ht="13.8" thickBot="1">
      <c r="A61" s="3223" t="s">
        <v>2232</v>
      </c>
      <c r="B61" s="3223"/>
      <c r="C61" s="3223"/>
      <c r="D61" s="3223"/>
      <c r="E61" s="3223"/>
      <c r="F61" s="2488"/>
      <c r="G61" s="2488"/>
      <c r="H61" s="2496"/>
      <c r="I61" s="138"/>
      <c r="J61" s="1808">
        <f>J59+1</f>
        <v>6</v>
      </c>
      <c r="K61" s="3160" t="s">
        <v>2233</v>
      </c>
      <c r="L61" s="3160"/>
      <c r="M61" s="1760"/>
      <c r="N61" s="1761">
        <f ca="1">ROUND(N59*10000/'数据-汇总表'!E3,0)</f>
        <v>5227</v>
      </c>
      <c r="O61" s="2497"/>
    </row>
    <row r="62" spans="1:35" ht="13.2">
      <c r="A62" s="3180" t="s">
        <v>2234</v>
      </c>
      <c r="B62" s="3181"/>
      <c r="C62" s="1800"/>
      <c r="D62" s="1800" t="s">
        <v>2235</v>
      </c>
      <c r="E62" s="192" t="s">
        <v>2236</v>
      </c>
      <c r="F62" s="2488"/>
      <c r="G62" s="2488"/>
      <c r="H62" s="2496"/>
      <c r="I62" s="138"/>
    </row>
    <row r="63" spans="1:35" ht="13.2">
      <c r="A63" s="203" t="s">
        <v>775</v>
      </c>
      <c r="B63" s="193" t="s">
        <v>2237</v>
      </c>
      <c r="C63" s="194">
        <f ca="1">ROUND((C64+C65)/(1+'数据-取费表'!C42),0)</f>
        <v>84016</v>
      </c>
      <c r="D63" s="195"/>
      <c r="E63" s="196"/>
      <c r="F63" s="2488"/>
      <c r="G63" s="2488"/>
      <c r="H63" s="2496"/>
      <c r="I63" s="138"/>
      <c r="J63" s="3145" t="s">
        <v>2238</v>
      </c>
      <c r="K63" s="2498" t="s">
        <v>2239</v>
      </c>
      <c r="L63" s="1748">
        <f ca="1">IF(M49&gt;10000,M49*0.5%,IF(AND(M49&gt;1000,M49&lt;=10000),M49*1%,IF(AND(M49&gt;100,M49&lt;=1000),M49*3%,IF(AND(M49&gt;10,M49&lt;=100),M49*5%,M49*8%))))</f>
        <v>441.08500000000004</v>
      </c>
      <c r="M63" s="24">
        <f ca="1">ROUND(L63,1)</f>
        <v>441.1</v>
      </c>
      <c r="Z63" s="2422"/>
      <c r="AI63" s="2423"/>
    </row>
    <row r="64" spans="1:35" ht="14.25" customHeight="1">
      <c r="A64" s="197" t="s">
        <v>770</v>
      </c>
      <c r="B64" s="198" t="s">
        <v>2240</v>
      </c>
      <c r="C64" s="199">
        <f ca="1">D45</f>
        <v>88217</v>
      </c>
      <c r="D64" s="200" t="s">
        <v>32</v>
      </c>
      <c r="E64" s="201"/>
      <c r="F64" s="2488"/>
      <c r="G64" s="2488"/>
      <c r="H64" s="2496"/>
      <c r="I64" s="138"/>
      <c r="J64" s="3145"/>
      <c r="K64" s="2498" t="s">
        <v>2241</v>
      </c>
      <c r="L64" s="1748">
        <f ca="1">IF(M49&gt;2000,M49*0.5%,IF(AND(M49&gt;1000,M49&lt;=2000),M49*0.6%,IF(AND(M49&gt;500,M49&lt;=1000),M49*0.7%,IF(AND(M49&gt;200,M49&lt;=500),M49*0.8%,IF(AND(M49&gt;100,M49&lt;=200),M49*0.9%,IF(AND(M49&gt;50,M49&lt;=100),M49*1%,IF(AND(M49&gt;20,M49&lt;=50),M49*1.5%,IF(AND(M49&gt;10,M49&lt;=20),M49*2%,IF(AND(M49&gt;1,M49&lt;=10),M49*2.5%)))))))))</f>
        <v>441.08500000000004</v>
      </c>
      <c r="M64" s="24">
        <f t="shared" ref="M64:M65" ca="1" si="1">ROUND(L64,1)</f>
        <v>441.1</v>
      </c>
      <c r="N64" s="138" t="s">
        <v>2242</v>
      </c>
      <c r="Z64" s="2422"/>
      <c r="AI64" s="2423"/>
    </row>
    <row r="65" spans="1:35" ht="14.25" customHeight="1">
      <c r="A65" s="197" t="s">
        <v>771</v>
      </c>
      <c r="B65" s="198" t="s">
        <v>2243</v>
      </c>
      <c r="C65" s="202"/>
      <c r="D65" s="200"/>
      <c r="E65" s="201"/>
      <c r="F65" s="2488"/>
      <c r="G65" s="2488"/>
      <c r="H65" s="2496"/>
      <c r="I65" s="138"/>
      <c r="J65" s="3145"/>
      <c r="K65" s="2498" t="s">
        <v>2244</v>
      </c>
      <c r="L65" s="1748">
        <f ca="1">IF(M49&gt;1000,M49*0.1%,IF(AND(M49&gt;500,M49&lt;=1000),M49*0.5%,IF(AND(M49&gt;50,M49&lt;=500),M49*1%,IF(AND(M49&gt;1,M49&lt;=50),M49*1.5%))))</f>
        <v>88.216999999999999</v>
      </c>
      <c r="M65" s="24">
        <f t="shared" ca="1" si="1"/>
        <v>88.2</v>
      </c>
      <c r="N65" s="138" t="s">
        <v>2242</v>
      </c>
      <c r="Z65" s="2422"/>
      <c r="AI65" s="2423"/>
    </row>
    <row r="66" spans="1:35" ht="14.25" customHeight="1">
      <c r="A66" s="203" t="s">
        <v>772</v>
      </c>
      <c r="B66" s="204" t="s">
        <v>2245</v>
      </c>
      <c r="C66" s="205"/>
      <c r="D66" s="206" t="s">
        <v>32</v>
      </c>
      <c r="E66" s="1772" t="s">
        <v>1366</v>
      </c>
      <c r="F66" s="2488"/>
      <c r="G66" s="2488"/>
      <c r="H66" s="2496"/>
      <c r="I66" s="138"/>
      <c r="J66" s="3145"/>
      <c r="K66" s="2498" t="s">
        <v>2246</v>
      </c>
      <c r="L66" s="1748">
        <f ca="1">M49*0.5%</f>
        <v>441.08500000000004</v>
      </c>
      <c r="M66" s="24">
        <f ca="1">IF(L66&gt;0.5,0.5,ROUND(L66,0))</f>
        <v>0.5</v>
      </c>
      <c r="N66" s="138" t="s">
        <v>2247</v>
      </c>
      <c r="Z66" s="2422"/>
      <c r="AI66" s="2423"/>
    </row>
    <row r="67" spans="1:35" ht="14.25" customHeight="1">
      <c r="A67" s="203" t="s">
        <v>773</v>
      </c>
      <c r="B67" s="204" t="s">
        <v>2248</v>
      </c>
      <c r="C67" s="207">
        <f ca="1">C63-C66</f>
        <v>84016</v>
      </c>
      <c r="D67" s="200" t="s">
        <v>32</v>
      </c>
      <c r="E67" s="201"/>
      <c r="F67" s="2488"/>
      <c r="G67" s="2488"/>
      <c r="H67" s="2496"/>
      <c r="I67" s="138"/>
      <c r="J67" s="3145"/>
      <c r="K67" s="2498" t="s">
        <v>2249</v>
      </c>
      <c r="L67" s="1748">
        <f ca="1">IF(M49&gt;=10000,(8.25+(M49-10000)*0.01%),IF(AND(M49&gt;=8000,M49&lt;10000),(7.85+(M49-8000)*0.02%),IF(AND(M49&gt;=5000,M49&lt;8000),(6.65+(M49-5000)*0.04%),IF(AND(M49&gt;=2000,M49&lt;5000),(4.25+(PM49-2000)*0.08%),IF(AND(M49&gt;=1000,M49&lt;2000),(2.75+(M49-1000)*0.15%),IF(AND(M49&gt;=100,M49&lt;1000),(0.5+(M49-100)*0.25%),IF(AND(M49&gt;0,M49&lt;100),M49*0.5%)))))))</f>
        <v>16.0717</v>
      </c>
      <c r="M67" s="24">
        <f ca="1">ROUND(L67*0.9,1)</f>
        <v>14.5</v>
      </c>
      <c r="Z67" s="2422"/>
      <c r="AI67" s="2423"/>
    </row>
    <row r="68" spans="1:35" ht="14.25" customHeight="1" thickBot="1">
      <c r="A68" s="208" t="s">
        <v>774</v>
      </c>
      <c r="B68" s="209" t="s">
        <v>2250</v>
      </c>
      <c r="C68" s="210">
        <f ca="1">IF(C67&lt;=0,0,ROUND(C67*D68,0))</f>
        <v>4621</v>
      </c>
      <c r="D68" s="211">
        <f>'数据-取费表'!B41</f>
        <v>5.5000000000000007E-2</v>
      </c>
      <c r="E68" s="212"/>
      <c r="F68" s="2488"/>
      <c r="G68" s="2488"/>
      <c r="H68" s="2496"/>
      <c r="I68" s="138"/>
      <c r="J68" s="3145"/>
      <c r="K68" s="2498" t="s">
        <v>2251</v>
      </c>
      <c r="L68" s="1748">
        <f ca="1">IF(M49&gt;10000,M49*0.5%,IF(AND(M49&gt;5000,M49&lt;=10000),M49*1%,IF(AND(M49&gt;1000,M49&lt;=5000),M49*2%,IF(AND(M49&gt;200,M49&lt;=1000),M49*3%,M49*5%))))</f>
        <v>441.08500000000004</v>
      </c>
      <c r="M68" s="24">
        <f ca="1">ROUND(L68,1)</f>
        <v>441.1</v>
      </c>
      <c r="Z68" s="2422"/>
      <c r="AI68" s="2423"/>
    </row>
    <row r="69" spans="1:35" s="2445" customFormat="1" ht="16.5" customHeight="1">
      <c r="A69" s="2499"/>
      <c r="B69" s="2500"/>
      <c r="C69" s="2501"/>
      <c r="D69" s="2502"/>
      <c r="E69" s="2503"/>
      <c r="F69" s="2165"/>
      <c r="G69" s="2165"/>
      <c r="H69" s="2164"/>
      <c r="I69" s="2417"/>
      <c r="J69" s="3145"/>
      <c r="K69" s="2498" t="s">
        <v>2252</v>
      </c>
      <c r="L69" s="2504"/>
      <c r="M69" s="24">
        <f ca="1">ROUND(SUM(M63:M68),0)</f>
        <v>1427</v>
      </c>
      <c r="N69" s="1749">
        <f ca="1">M69/M49</f>
        <v>1.6176020494915944E-2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4.4" thickBot="1">
      <c r="A70" s="3189" t="s">
        <v>2253</v>
      </c>
      <c r="B70" s="3190"/>
      <c r="C70" s="3190"/>
      <c r="D70" s="3190"/>
      <c r="E70" s="3190"/>
      <c r="F70" s="3190"/>
      <c r="G70" s="3190"/>
      <c r="H70" s="3190"/>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180" t="s">
        <v>2234</v>
      </c>
      <c r="B71" s="3181"/>
      <c r="C71" s="1800"/>
      <c r="D71" s="1800" t="s">
        <v>2235</v>
      </c>
      <c r="E71" s="213" t="s">
        <v>2236</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3" t="s">
        <v>775</v>
      </c>
      <c r="B72" s="204" t="s">
        <v>2254</v>
      </c>
      <c r="C72" s="207">
        <f ca="1">ROUND(D45/(1+'数据-取费表'!C42),0)</f>
        <v>84016</v>
      </c>
      <c r="D72" s="200" t="s">
        <v>32</v>
      </c>
      <c r="E72" s="1799"/>
      <c r="F72" s="1793"/>
      <c r="G72" s="1793"/>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3" t="s">
        <v>772</v>
      </c>
      <c r="B73" s="173" t="s">
        <v>2255</v>
      </c>
      <c r="C73" s="207">
        <f ca="1">C74+C78</f>
        <v>420</v>
      </c>
      <c r="D73" s="200" t="s">
        <v>32</v>
      </c>
      <c r="E73" s="1799"/>
      <c r="F73" s="1793"/>
      <c r="G73" s="1793"/>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2256</v>
      </c>
      <c r="C74" s="200">
        <f>ROUND(IF(G77="2016年5月1日后购买",C75/(1+'数据-取费表'!C42)+C76+C77,C75+C76+C77),0)</f>
        <v>0</v>
      </c>
      <c r="D74" s="200" t="s">
        <v>32</v>
      </c>
      <c r="E74" s="1799"/>
      <c r="F74" s="1793"/>
      <c r="G74" s="1793"/>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7" t="s">
        <v>776</v>
      </c>
      <c r="B75" s="198" t="s">
        <v>2257</v>
      </c>
      <c r="C75" s="218"/>
      <c r="D75" s="200" t="s">
        <v>32</v>
      </c>
      <c r="E75" s="219" t="s">
        <v>2258</v>
      </c>
      <c r="F75" s="2510" t="s">
        <v>2259</v>
      </c>
      <c r="G75" s="219" t="s">
        <v>2260</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2261</v>
      </c>
      <c r="C76" s="200">
        <f>IF(F75="购房发票",ROUND(C75*H75*D76,0),0)</f>
        <v>0</v>
      </c>
      <c r="D76" s="222">
        <v>0.05</v>
      </c>
      <c r="E76" s="3186" t="s">
        <v>2262</v>
      </c>
      <c r="F76" s="3185"/>
      <c r="G76" s="3185"/>
      <c r="H76" s="3188"/>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2" t="s">
        <v>2265</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2266</v>
      </c>
      <c r="C78" s="225">
        <f ca="1">ROUND(D45*D78/(1+'数据-取费表'!C42),0)</f>
        <v>420</v>
      </c>
      <c r="D78" s="226">
        <f>'数据-取费表'!B43</f>
        <v>5.000000000000001E-3</v>
      </c>
      <c r="E78" s="3177" t="s">
        <v>2267</v>
      </c>
      <c r="F78" s="3178"/>
      <c r="G78" s="3178"/>
      <c r="H78" s="3179"/>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779</v>
      </c>
      <c r="B79" s="204" t="s">
        <v>2268</v>
      </c>
      <c r="C79" s="207">
        <f ca="1">C72-C73</f>
        <v>83596</v>
      </c>
      <c r="D79" s="200" t="s">
        <v>32</v>
      </c>
      <c r="E79" s="1799"/>
      <c r="F79" s="1793"/>
      <c r="G79" s="1793"/>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2269</v>
      </c>
      <c r="C80" s="227">
        <f ca="1">IF(C79&lt;=0,0,C79/C73)</f>
        <v>199.03809523809525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9" t="s">
        <v>2270</v>
      </c>
      <c r="C81" s="228">
        <f ca="1">ROUND(IF(C79&lt;=0,0,IF(C80&gt;=200%,C79*60%-C73*35%,IF(C80&gt;=100%,C79*50%-C73*15%,IF(C80&gt;=50%,C79*40%-C73*5%,IF(C80&lt;50%,C79*30%,0))))),0)</f>
        <v>50011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89" t="s">
        <v>2271</v>
      </c>
      <c r="B83" s="3190"/>
      <c r="C83" s="3190"/>
      <c r="D83" s="3190"/>
      <c r="E83" s="3190"/>
      <c r="F83" s="3190"/>
      <c r="G83" s="3190"/>
      <c r="H83" s="3190"/>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180" t="s">
        <v>2234</v>
      </c>
      <c r="B84" s="3181"/>
      <c r="C84" s="1800"/>
      <c r="D84" s="1800" t="s">
        <v>2235</v>
      </c>
      <c r="E84" s="213" t="s">
        <v>2236</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3" t="s">
        <v>775</v>
      </c>
      <c r="B85" s="204" t="s">
        <v>2254</v>
      </c>
      <c r="C85" s="207">
        <f ca="1">ROUND(D45/(1+'数据-取费表'!C42),0)</f>
        <v>84016</v>
      </c>
      <c r="D85" s="200" t="s">
        <v>32</v>
      </c>
      <c r="E85" s="1799"/>
      <c r="F85" s="1793"/>
      <c r="G85" s="1793"/>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3" t="s">
        <v>772</v>
      </c>
      <c r="B86" s="173" t="s">
        <v>2255</v>
      </c>
      <c r="C86" s="207">
        <f ca="1">IF(H88="仅含出让金",C87+C90+C91+C92+C93+C94,C87+C91+C92+C93+C94)</f>
        <v>420</v>
      </c>
      <c r="D86" s="235"/>
      <c r="E86" s="1799"/>
      <c r="F86" s="1793"/>
      <c r="G86" s="1793"/>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7" t="s">
        <v>770</v>
      </c>
      <c r="B87" s="198" t="s">
        <v>2272</v>
      </c>
      <c r="C87" s="225">
        <f>C88+C89</f>
        <v>0</v>
      </c>
      <c r="D87" s="226"/>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7" t="s">
        <v>776</v>
      </c>
      <c r="B88" s="198" t="s">
        <v>2273</v>
      </c>
      <c r="C88" s="236"/>
      <c r="D88" s="226"/>
      <c r="E88" s="237" t="s">
        <v>2274</v>
      </c>
      <c r="F88" s="1796"/>
      <c r="G88" s="238" t="s">
        <v>2275</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7" t="s">
        <v>777</v>
      </c>
      <c r="B89" s="198" t="s">
        <v>2263</v>
      </c>
      <c r="C89" s="225">
        <f>ROUND(C88*D89,0)</f>
        <v>0</v>
      </c>
      <c r="D89" s="226">
        <f>'数据-取费表'!B48+'数据-取费表'!B49</f>
        <v>3.0499999999999999E-2</v>
      </c>
      <c r="E89" s="237" t="s">
        <v>2276</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7" t="s">
        <v>771</v>
      </c>
      <c r="B90" s="198" t="s">
        <v>2277</v>
      </c>
      <c r="C90" s="236"/>
      <c r="D90" s="226"/>
      <c r="E90" s="237"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2278</v>
      </c>
      <c r="B91" s="198" t="s">
        <v>2279</v>
      </c>
      <c r="C91" s="225">
        <f>IF(H91="——",成本法!C33,I91)</f>
        <v>0</v>
      </c>
      <c r="D91" s="226"/>
      <c r="E91" s="3177" t="s">
        <v>2280</v>
      </c>
      <c r="F91" s="3178"/>
      <c r="G91" s="3178"/>
      <c r="H91" s="2517" t="s">
        <v>2281</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2282</v>
      </c>
      <c r="B92" s="198" t="s">
        <v>2283</v>
      </c>
      <c r="C92" s="225">
        <f>ROUND((C87+C90+C91)*D92,0)</f>
        <v>0</v>
      </c>
      <c r="D92" s="226">
        <v>0.1</v>
      </c>
      <c r="E92" s="3177" t="s">
        <v>2284</v>
      </c>
      <c r="F92" s="3178"/>
      <c r="G92" s="3178"/>
      <c r="H92" s="3179"/>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2285</v>
      </c>
      <c r="B93" s="198" t="s">
        <v>2266</v>
      </c>
      <c r="C93" s="225">
        <f ca="1">ROUND(D45*D93/(1+'数据-取费表'!C42),0)</f>
        <v>420</v>
      </c>
      <c r="D93" s="226">
        <f>'数据-取费表'!B43</f>
        <v>5.000000000000001E-3</v>
      </c>
      <c r="E93" s="3177" t="s">
        <v>2267</v>
      </c>
      <c r="F93" s="3178"/>
      <c r="G93" s="3178"/>
      <c r="H93" s="3179"/>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2286</v>
      </c>
      <c r="B94" s="198" t="s">
        <v>2287</v>
      </c>
      <c r="C94" s="236">
        <f>ROUND((C87+C90+C91)*D94,0)</f>
        <v>0</v>
      </c>
      <c r="D94" s="226">
        <v>0.2</v>
      </c>
      <c r="E94" s="3225" t="s">
        <v>2288</v>
      </c>
      <c r="F94" s="3226"/>
      <c r="G94" s="3226"/>
      <c r="H94" s="322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779</v>
      </c>
      <c r="B95" s="204" t="s">
        <v>2268</v>
      </c>
      <c r="C95" s="207">
        <f ca="1">ROUND(C85-C86,0)</f>
        <v>83596</v>
      </c>
      <c r="D95" s="200" t="s">
        <v>32</v>
      </c>
      <c r="E95" s="1799"/>
      <c r="F95" s="1793"/>
      <c r="G95" s="1793"/>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2269</v>
      </c>
      <c r="C96" s="227">
        <f ca="1">IF(C95&lt;=0,0,C95/C86)</f>
        <v>199.03809523809525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9" t="s">
        <v>2270</v>
      </c>
      <c r="C97" s="228">
        <f ca="1">ROUND(IF(C95&lt;=0,0,IF(C96&gt;=200%,C95*60%-C86*35%,IF(C96&gt;=100%,C95*50%-C86*15%,IF(C96&gt;=50%,C95*40%-C86*5%,IF(C96&lt;50%,C95*30%,0))))),0)</f>
        <v>50011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2289</v>
      </c>
      <c r="B99" s="2417"/>
      <c r="C99" s="2417"/>
      <c r="D99" s="2417"/>
      <c r="E99" s="2165"/>
      <c r="F99" s="2165"/>
      <c r="G99" s="2165"/>
      <c r="H99" s="2164"/>
      <c r="I99" s="138"/>
    </row>
    <row r="100" spans="1:35" ht="18.75" customHeight="1">
      <c r="A100" s="3129" t="s">
        <v>2290</v>
      </c>
      <c r="B100" s="3130"/>
      <c r="C100" s="3130"/>
      <c r="D100" s="3161"/>
      <c r="E100" s="3130" t="s">
        <v>2291</v>
      </c>
      <c r="F100" s="3130"/>
      <c r="G100" s="3130"/>
      <c r="H100" s="3161"/>
      <c r="I100" s="138"/>
    </row>
    <row r="101" spans="1:35" ht="18.75" customHeight="1">
      <c r="A101" s="3169" t="s">
        <v>2292</v>
      </c>
      <c r="B101" s="3170"/>
      <c r="C101" s="736" t="str">
        <f>C4</f>
        <v>成本法</v>
      </c>
      <c r="D101" s="737" t="str">
        <f>D4</f>
        <v>收益法（汇总）</v>
      </c>
      <c r="E101" s="3141" t="s">
        <v>2293</v>
      </c>
      <c r="F101" s="3142"/>
      <c r="G101" s="2519" t="s">
        <v>2294</v>
      </c>
      <c r="H101" s="1045">
        <f ca="1">H118</f>
        <v>88217</v>
      </c>
      <c r="I101" s="138"/>
    </row>
    <row r="102" spans="1:35" ht="18.75" customHeight="1">
      <c r="A102" s="3171" t="s">
        <v>2295</v>
      </c>
      <c r="B102" s="2519" t="s">
        <v>2294</v>
      </c>
      <c r="C102" s="736">
        <f ca="1">C19</f>
        <v>56379</v>
      </c>
      <c r="D102" s="737">
        <f ca="1">D19</f>
        <v>109443</v>
      </c>
      <c r="E102" s="3141"/>
      <c r="F102" s="3142"/>
      <c r="G102" s="2519" t="s">
        <v>2296</v>
      </c>
      <c r="H102" s="371">
        <f ca="1">I118</f>
        <v>12084</v>
      </c>
      <c r="I102" s="138"/>
    </row>
    <row r="103" spans="1:35" ht="42.75" customHeight="1">
      <c r="A103" s="3171"/>
      <c r="B103" s="2519" t="s">
        <v>2296</v>
      </c>
      <c r="C103" s="738">
        <f ca="1">C20</f>
        <v>7723</v>
      </c>
      <c r="D103" s="739">
        <f ca="1">D20</f>
        <v>14991</v>
      </c>
      <c r="E103" s="3135" t="s">
        <v>2297</v>
      </c>
      <c r="F103" s="3136"/>
      <c r="G103" s="2520" t="s">
        <v>2298</v>
      </c>
      <c r="H103" s="1045">
        <f>IF(D36="正常操作",H104+H105+H106,H105+H106)</f>
        <v>0</v>
      </c>
      <c r="I103" s="138"/>
    </row>
    <row r="104" spans="1:35" ht="18.75" customHeight="1">
      <c r="A104" s="3171" t="s">
        <v>2299</v>
      </c>
      <c r="B104" s="2521" t="s">
        <v>2294</v>
      </c>
      <c r="C104" s="740">
        <f ca="1">H118</f>
        <v>88217</v>
      </c>
      <c r="D104" s="741"/>
      <c r="E104" s="2266" t="s">
        <v>2300</v>
      </c>
      <c r="F104" s="2257"/>
      <c r="G104" s="2520" t="s">
        <v>2298</v>
      </c>
      <c r="H104" s="1046">
        <f>IF(D36="同一抵押权人同一抵押物续贷",C36&amp;"（未扣减，详见特别提示）",C36)</f>
        <v>0</v>
      </c>
      <c r="I104" s="138"/>
    </row>
    <row r="105" spans="1:35" ht="18.75" customHeight="1" thickBot="1">
      <c r="A105" s="3183"/>
      <c r="B105" s="2522" t="s">
        <v>2296</v>
      </c>
      <c r="C105" s="742">
        <f ca="1">I118</f>
        <v>12084</v>
      </c>
      <c r="D105" s="743"/>
      <c r="E105" s="2266" t="s">
        <v>2301</v>
      </c>
      <c r="F105" s="2257"/>
      <c r="G105" s="2520" t="s">
        <v>2298</v>
      </c>
      <c r="H105" s="1046">
        <f>C37</f>
        <v>0</v>
      </c>
      <c r="I105" s="138"/>
    </row>
    <row r="106" spans="1:35" ht="18.75" customHeight="1">
      <c r="A106" s="2417" t="s">
        <v>2302</v>
      </c>
      <c r="B106" s="2417"/>
      <c r="C106" s="2417"/>
      <c r="D106" s="2417"/>
      <c r="E106" s="2523" t="s">
        <v>2303</v>
      </c>
      <c r="F106" s="2257"/>
      <c r="G106" s="2520" t="s">
        <v>2298</v>
      </c>
      <c r="H106" s="1046">
        <f>C38</f>
        <v>0</v>
      </c>
      <c r="I106" s="138"/>
    </row>
    <row r="107" spans="1:35" ht="18.75" customHeight="1">
      <c r="A107" s="138"/>
      <c r="B107" s="138"/>
      <c r="C107" s="138"/>
      <c r="D107" s="138"/>
      <c r="E107" s="3172" t="str">
        <f>IF(项目基本情况!E8="已注销","——","3.房地产抵押价值")</f>
        <v>3.房地产抵押价值</v>
      </c>
      <c r="F107" s="3142"/>
      <c r="G107" s="2519" t="s">
        <v>2294</v>
      </c>
      <c r="H107" s="1045">
        <f ca="1">IF(E107="——","——",H101-H103)</f>
        <v>88217</v>
      </c>
      <c r="I107" s="138"/>
    </row>
    <row r="108" spans="1:35" ht="18.75" customHeight="1">
      <c r="A108" s="138"/>
      <c r="B108" s="138"/>
      <c r="C108" s="138"/>
      <c r="D108" s="138"/>
      <c r="E108" s="3172"/>
      <c r="F108" s="3142"/>
      <c r="G108" s="2519" t="s">
        <v>2296</v>
      </c>
      <c r="H108" s="371">
        <f ca="1">ROUND(H107*10000/'数据-汇总表'!E3,0)</f>
        <v>12084</v>
      </c>
      <c r="I108" s="138"/>
    </row>
    <row r="109" spans="1:35" ht="18.75" customHeight="1">
      <c r="A109" s="138"/>
      <c r="B109" s="138"/>
      <c r="C109" s="138"/>
      <c r="D109" s="138"/>
      <c r="E109" s="3172" t="str">
        <f>IF(项目基本情况!E8="已注销及未注销","4.抵押担保权已注销时的房地产抵押价值",IF(项目基本情况!E8="已注销","3.抵押担保权已注销时的房地产抵押价值","——"))</f>
        <v>——</v>
      </c>
      <c r="F109" s="3142"/>
      <c r="G109" s="2519" t="s">
        <v>2294</v>
      </c>
      <c r="H109" s="348" t="str">
        <f>IF(E109="——","——",H101-H105-H106)</f>
        <v>——</v>
      </c>
      <c r="I109" s="138"/>
    </row>
    <row r="110" spans="1:35" ht="18.75" customHeight="1">
      <c r="A110" s="138"/>
      <c r="B110" s="138"/>
      <c r="C110" s="138"/>
      <c r="D110" s="138"/>
      <c r="E110" s="3172"/>
      <c r="F110" s="3142"/>
      <c r="G110" s="2519" t="s">
        <v>2296</v>
      </c>
      <c r="H110" s="371" t="str">
        <f>IF(H109="——","——",ROUND(H109*10000/'数据-汇总表'!E3,0))</f>
        <v>——</v>
      </c>
      <c r="I110" s="138"/>
    </row>
    <row r="111" spans="1:35" ht="18.75" customHeight="1">
      <c r="A111" s="138"/>
      <c r="B111" s="138"/>
      <c r="C111" s="138"/>
      <c r="D111" s="138"/>
      <c r="E111" s="3173" t="str">
        <f>IF(项目基本情况!E9="抵押净值",IF(OR(项目基本情况!E8="已注销",项目基本情况!E8="房地产抵押价值"),"4.抵押净值","5.抵押净值"),"——")</f>
        <v>——</v>
      </c>
      <c r="F111" s="3174"/>
      <c r="G111" s="2519" t="s">
        <v>2294</v>
      </c>
      <c r="H111" s="1045" t="str">
        <f>IF(E111="——","——",N59)</f>
        <v>——</v>
      </c>
      <c r="I111" s="138"/>
    </row>
    <row r="112" spans="1:35" ht="18.75" customHeight="1" thickBot="1">
      <c r="A112" s="138"/>
      <c r="B112" s="138"/>
      <c r="C112" s="138"/>
      <c r="D112" s="138"/>
      <c r="E112" s="3175"/>
      <c r="F112" s="3176"/>
      <c r="G112" s="2524" t="s">
        <v>2296</v>
      </c>
      <c r="H112" s="790" t="str">
        <f>IF(E111="——","——",N61)</f>
        <v>——</v>
      </c>
      <c r="I112" s="138"/>
    </row>
    <row r="113" spans="1:11" ht="18.75" customHeight="1">
      <c r="A113" s="138"/>
      <c r="B113" s="138"/>
      <c r="C113" s="138"/>
      <c r="D113" s="138"/>
      <c r="E113" s="3184" t="s">
        <v>2302</v>
      </c>
      <c r="F113" s="3184"/>
      <c r="G113" s="3184"/>
      <c r="H113" s="3184"/>
      <c r="I113" s="138"/>
    </row>
    <row r="114" spans="1:11" ht="3.75" customHeight="1">
      <c r="A114" s="2417"/>
      <c r="B114" s="2417"/>
      <c r="C114" s="2417"/>
      <c r="D114" s="2417"/>
      <c r="E114" s="2495"/>
      <c r="F114" s="2495"/>
      <c r="G114" s="2495"/>
      <c r="H114" s="2495"/>
      <c r="I114" s="2417"/>
    </row>
    <row r="115" spans="1:11" ht="18.75" customHeight="1">
      <c r="A115" s="3197" t="s">
        <v>2304</v>
      </c>
      <c r="B115" s="3198"/>
      <c r="C115" s="3198"/>
      <c r="D115" s="3198"/>
      <c r="E115" s="3198"/>
      <c r="F115" s="3198"/>
      <c r="G115" s="3198"/>
      <c r="H115" s="3198"/>
      <c r="I115" s="3199"/>
    </row>
    <row r="116" spans="1:11" ht="27" customHeight="1">
      <c r="A116" s="3108" t="s">
        <v>2305</v>
      </c>
      <c r="B116" s="3151" t="s">
        <v>2306</v>
      </c>
      <c r="C116" s="3151" t="s">
        <v>2307</v>
      </c>
      <c r="D116" s="3157" t="s">
        <v>2308</v>
      </c>
      <c r="E116" s="3158"/>
      <c r="F116" s="3193" t="s">
        <v>2309</v>
      </c>
      <c r="G116" s="3193"/>
      <c r="H116" s="3108" t="s">
        <v>2310</v>
      </c>
      <c r="I116" s="3108"/>
    </row>
    <row r="117" spans="1:11" ht="18.75" customHeight="1">
      <c r="A117" s="3108"/>
      <c r="B117" s="3152"/>
      <c r="C117" s="3152"/>
      <c r="D117" s="1794" t="s">
        <v>2311</v>
      </c>
      <c r="E117" s="1794" t="s">
        <v>2312</v>
      </c>
      <c r="F117" s="1794" t="s">
        <v>2311</v>
      </c>
      <c r="G117" s="1794" t="s">
        <v>2313</v>
      </c>
      <c r="H117" s="1794" t="s">
        <v>2311</v>
      </c>
      <c r="I117" s="1794" t="s">
        <v>2313</v>
      </c>
    </row>
    <row r="118" spans="1:11" ht="24.75" customHeight="1">
      <c r="A118" s="2525" t="str">
        <f>项目基本情况!S2</f>
        <v>出让国有建设用地使用权及在建建筑物房地产</v>
      </c>
      <c r="B118" s="1794">
        <f>M18</f>
        <v>73003.73</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88217</v>
      </c>
      <c r="I118" s="1794">
        <f ca="1">ROUND(IF(D32="楼面单价",C32,H118*10000/B118),0)</f>
        <v>12084</v>
      </c>
    </row>
    <row r="119" spans="1:11" ht="18.75" customHeight="1">
      <c r="A119" s="3108" t="s">
        <v>2314</v>
      </c>
      <c r="B119" s="3108"/>
      <c r="C119" s="3108"/>
      <c r="D119" s="3153" t="e">
        <f ca="1">NUMBERSTRING(INT(D118*10000),2)&amp;"元整"</f>
        <v>#REF!</v>
      </c>
      <c r="E119" s="3154"/>
      <c r="F119" s="3153" t="e">
        <f ca="1">NUMBERSTRING(INT(F118*10000),2)&amp;"元整"</f>
        <v>#REF!</v>
      </c>
      <c r="G119" s="3154"/>
      <c r="H119" s="3153" t="str">
        <f ca="1">NUMBERSTRING(INT(H118*10000),2)&amp;"元整"</f>
        <v>捌亿捌仟贰佰壹拾柒万元整</v>
      </c>
      <c r="I119" s="3154"/>
    </row>
    <row r="120" spans="1:11" ht="18.75" customHeight="1">
      <c r="A120" s="3148" t="str">
        <f>IF(项目基本情况!B9="房地产市场价值","",MID(E103,3,LEN(E103)-2))</f>
        <v>估价师知悉的法定优先受偿款</v>
      </c>
      <c r="B120" s="3149"/>
      <c r="C120" s="3150"/>
      <c r="D120" s="3148">
        <f>H103</f>
        <v>0</v>
      </c>
      <c r="E120" s="3149"/>
      <c r="F120" s="3149"/>
      <c r="G120" s="3149"/>
      <c r="H120" s="3149"/>
      <c r="I120" s="3150"/>
      <c r="K120" s="2422" t="str">
        <f>IF(D120=0,"故，本次评估不存在"&amp;A120,"故，本次评估"&amp;A120&amp;"为人民币"&amp;D120&amp;"万元整。")</f>
        <v>故，本次评估不存在估价师知悉的法定优先受偿款</v>
      </c>
    </row>
    <row r="121" spans="1:11" ht="18.75" customHeight="1">
      <c r="A121" s="3194" t="s">
        <v>2314</v>
      </c>
      <c r="B121" s="3195"/>
      <c r="C121" s="3196"/>
      <c r="D121" s="3153" t="str">
        <f>IF(D120=0,"零元整",NUMBERSTRING(INT(D120*10000),2)&amp;"元整")</f>
        <v>零元整</v>
      </c>
      <c r="E121" s="3155"/>
      <c r="F121" s="3155"/>
      <c r="G121" s="3155"/>
      <c r="H121" s="3155"/>
      <c r="I121" s="3154"/>
    </row>
    <row r="122" spans="1:11" ht="18.75" customHeight="1">
      <c r="A122" s="3159" t="str">
        <f>IF(项目基本情况!B9="房地产市场价值","",MID(E107,3,LEN(E107)-2))</f>
        <v>房地产抵押价值</v>
      </c>
      <c r="B122" s="3159"/>
      <c r="C122" s="3159"/>
      <c r="D122" s="3148">
        <f ca="1">H107</f>
        <v>88217</v>
      </c>
      <c r="E122" s="3149"/>
      <c r="F122" s="3149"/>
      <c r="G122" s="3149"/>
      <c r="H122" s="3149"/>
      <c r="I122" s="3150"/>
    </row>
    <row r="123" spans="1:11" ht="18.75" customHeight="1">
      <c r="A123" s="3108" t="s">
        <v>2314</v>
      </c>
      <c r="B123" s="3108"/>
      <c r="C123" s="3108"/>
      <c r="D123" s="3153" t="str">
        <f ca="1">NUMBERSTRING(INT(D122*10000),2)&amp;"元整"</f>
        <v>捌亿捌仟贰佰壹拾柒万元整</v>
      </c>
      <c r="E123" s="3155"/>
      <c r="F123" s="3155"/>
      <c r="G123" s="3155"/>
      <c r="H123" s="3155"/>
      <c r="I123" s="3154"/>
    </row>
    <row r="124" spans="1:11" ht="18.75" customHeight="1">
      <c r="A124" s="3159" t="str">
        <f>IF(项目基本情况!B9="房地产市场价值","",MID(E109,3,LEN(E109)-2))</f>
        <v/>
      </c>
      <c r="B124" s="3159"/>
      <c r="C124" s="3159"/>
      <c r="D124" s="3148" t="str">
        <f>H109</f>
        <v>——</v>
      </c>
      <c r="E124" s="3149"/>
      <c r="F124" s="3149"/>
      <c r="G124" s="3149"/>
      <c r="H124" s="3149"/>
      <c r="I124" s="3150"/>
    </row>
    <row r="125" spans="1:11" ht="18.75" customHeight="1">
      <c r="A125" s="3108" t="s">
        <v>2314</v>
      </c>
      <c r="B125" s="3108"/>
      <c r="C125" s="3108"/>
      <c r="D125" s="3153" t="e">
        <f>NUMBERSTRING(INT(D124*10000),2)&amp;"元整"</f>
        <v>#VALUE!</v>
      </c>
      <c r="E125" s="3155"/>
      <c r="F125" s="3155"/>
      <c r="G125" s="3155"/>
      <c r="H125" s="3155"/>
      <c r="I125" s="3154"/>
    </row>
    <row r="126" spans="1:11" ht="18.75" customHeight="1">
      <c r="A126" s="3159" t="str">
        <f>IF(项目基本情况!B9="房地产市场价值","",MID(E111,3,LEN(E111)-2))</f>
        <v/>
      </c>
      <c r="B126" s="3159"/>
      <c r="C126" s="3159"/>
      <c r="D126" s="3148" t="str">
        <f>H111</f>
        <v>——</v>
      </c>
      <c r="E126" s="3149"/>
      <c r="F126" s="3149"/>
      <c r="G126" s="3149"/>
      <c r="H126" s="3149"/>
      <c r="I126" s="3150"/>
    </row>
    <row r="127" spans="1:11" ht="18.75" customHeight="1">
      <c r="A127" s="3108" t="s">
        <v>2314</v>
      </c>
      <c r="B127" s="3108"/>
      <c r="C127" s="3108"/>
      <c r="D127" s="3153" t="e">
        <f>NUMBERSTRING(INT(D126*10000),2)&amp;"元整"</f>
        <v>#VALUE!</v>
      </c>
      <c r="E127" s="3155"/>
      <c r="F127" s="3155"/>
      <c r="G127" s="3155"/>
      <c r="H127" s="3155"/>
      <c r="I127" s="3154"/>
    </row>
    <row r="128" spans="1:11" ht="21.75" customHeight="1">
      <c r="A128" s="3156" t="s">
        <v>2315</v>
      </c>
      <c r="B128" s="3156"/>
      <c r="C128" s="3156"/>
      <c r="D128" s="3156"/>
      <c r="E128" s="3156"/>
      <c r="F128" s="3156"/>
      <c r="G128" s="3156"/>
      <c r="H128" s="3156"/>
      <c r="I128" s="3156"/>
    </row>
    <row r="129" spans="1:35" ht="21.75" customHeight="1">
      <c r="A129" s="2526" t="s">
        <v>2316</v>
      </c>
      <c r="B129" s="2527"/>
      <c r="C129" s="2528" t="s">
        <v>2317</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2318</v>
      </c>
      <c r="G135" s="2543"/>
      <c r="H135" s="2543"/>
      <c r="I135" s="2544" t="s">
        <v>2319</v>
      </c>
    </row>
    <row r="136" spans="1:35" ht="21.75" customHeight="1">
      <c r="A136" s="795"/>
      <c r="B136" s="2545"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2321</v>
      </c>
    </row>
    <row r="139" spans="1:35" ht="21.75" customHeight="1">
      <c r="A139" s="795"/>
      <c r="B139" s="2545" t="s">
        <v>2322</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2321</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workbookViewId="0">
      <selection activeCell="C21" sqref="C21"/>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2323</v>
      </c>
      <c r="B1" s="1935"/>
      <c r="C1" s="242"/>
      <c r="D1" s="242"/>
      <c r="E1" s="242"/>
      <c r="F1" s="242"/>
      <c r="G1" s="1379">
        <f>MATCH(B1,'数据-取费表'!A6:A16,0)+5</f>
        <v>8</v>
      </c>
    </row>
    <row r="2" spans="1:9" s="244" customFormat="1" ht="18" customHeight="1">
      <c r="A2" s="245" t="s">
        <v>2324</v>
      </c>
      <c r="B2" s="246">
        <f ca="1">IF(D2="——",C52,C52-E2)</f>
        <v>56379</v>
      </c>
      <c r="C2" s="243" t="s">
        <v>2325</v>
      </c>
      <c r="D2" s="2548" t="s">
        <v>70</v>
      </c>
      <c r="E2" s="1440" t="e">
        <f ca="1">SUMIF(INDIRECT("'"&amp;G2&amp;"'"&amp;"!A:A"),"承租人权益价值",INDIRECT("'"&amp;G2&amp;"'"&amp;"!c:c"))</f>
        <v>#REF!</v>
      </c>
      <c r="F2" s="2549" t="s">
        <v>2325</v>
      </c>
      <c r="G2" s="2550"/>
    </row>
    <row r="3" spans="1:9" s="244" customFormat="1" ht="18" customHeight="1" thickBot="1">
      <c r="A3" s="247" t="s">
        <v>2326</v>
      </c>
      <c r="B3" s="248">
        <f ca="1">ROUND(B2*10000/(IF(B1="",'数据-汇总表'!E3,INDIRECT("'数据-取费表'!k"&amp;$G$1))),0)</f>
        <v>7723</v>
      </c>
      <c r="C3" s="243" t="s">
        <v>2327</v>
      </c>
      <c r="D3" s="243"/>
      <c r="E3" s="243"/>
      <c r="F3" s="243"/>
      <c r="G3" s="243"/>
    </row>
    <row r="4" spans="1:9" s="252" customFormat="1" ht="16.2">
      <c r="A4" s="249" t="s">
        <v>2328</v>
      </c>
      <c r="B4" s="250"/>
      <c r="C4" s="250"/>
      <c r="D4" s="250"/>
      <c r="E4" s="250"/>
      <c r="F4" s="250"/>
      <c r="G4" s="251"/>
    </row>
    <row r="5" spans="1:9" s="258" customFormat="1" ht="13.5" customHeight="1">
      <c r="A5" s="299" t="s">
        <v>2329</v>
      </c>
      <c r="B5" s="254" t="s">
        <v>2330</v>
      </c>
      <c r="C5" s="255">
        <f>C6+C7+C8</f>
        <v>12815</v>
      </c>
      <c r="D5" s="255" t="s">
        <v>2331</v>
      </c>
      <c r="E5" s="256" t="s">
        <v>2332</v>
      </c>
      <c r="F5" s="256" t="s">
        <v>2333</v>
      </c>
      <c r="G5" s="257"/>
    </row>
    <row r="6" spans="1:9" s="258" customFormat="1" ht="13.5" customHeight="1">
      <c r="A6" s="949" t="s">
        <v>2334</v>
      </c>
      <c r="B6" s="259" t="s">
        <v>2335</v>
      </c>
      <c r="C6" s="260">
        <f>'土地比较法-住宅、综合'!B2</f>
        <v>11798</v>
      </c>
      <c r="D6" s="261"/>
      <c r="E6" s="262"/>
      <c r="F6" s="262"/>
      <c r="G6" s="263"/>
    </row>
    <row r="7" spans="1:9" s="258" customFormat="1" ht="13.5" customHeight="1">
      <c r="A7" s="949" t="s">
        <v>2336</v>
      </c>
      <c r="B7" s="259" t="s">
        <v>2337</v>
      </c>
      <c r="C7" s="264">
        <f>ROUND(C6*F7,0)</f>
        <v>360</v>
      </c>
      <c r="D7" s="264"/>
      <c r="E7" s="262"/>
      <c r="F7" s="265">
        <f>IF(项目基本情况!B8="出让",0,'数据-取费表'!B48+'数据-取费表'!B49)</f>
        <v>3.0499999999999999E-2</v>
      </c>
      <c r="G7" s="263"/>
    </row>
    <row r="8" spans="1:9" s="267" customFormat="1">
      <c r="A8" s="949" t="s">
        <v>2338</v>
      </c>
      <c r="B8" s="259" t="s">
        <v>2339</v>
      </c>
      <c r="C8" s="264">
        <f>IF(G8="已包含在土地购买价格中","0",IF(B1="",'数据-取费表'!B29,IF(G9="全部缴纳",C9+C10,H9)))</f>
        <v>657</v>
      </c>
      <c r="D8" s="266"/>
      <c r="E8" s="264"/>
      <c r="F8" s="265"/>
      <c r="G8" s="2551" t="s">
        <v>3113</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90</v>
      </c>
      <c r="F9" s="265"/>
      <c r="G9" s="2552" t="s">
        <v>3115</v>
      </c>
      <c r="H9" s="1390"/>
      <c r="I9" s="2553" t="s">
        <v>2341</v>
      </c>
    </row>
    <row r="10" spans="1:9" s="258" customFormat="1" ht="13.5" customHeight="1">
      <c r="A10" s="950" t="s">
        <v>801</v>
      </c>
      <c r="B10" s="268" t="s">
        <v>2342</v>
      </c>
      <c r="C10" s="269">
        <f ca="1">ROUND(D10*E10/10000,0)</f>
        <v>657</v>
      </c>
      <c r="D10" s="1032">
        <f ca="1">IF(B1="",'数据-汇总表'!E6,IF(INDIRECT("'数据-取费表'!c"&amp;$G$1)="住宅",INDIRECT("'数据-取费表'!s"&amp;$G$1),INDIRECT("'数据-取费表'!k"&amp;$G$1)+INDIRECT("'数据-取费表'!s"&amp;$G$1)))</f>
        <v>73003.73</v>
      </c>
      <c r="E10" s="269">
        <f>'数据-取费表'!B28</f>
        <v>90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73003.73</v>
      </c>
      <c r="E19" s="255">
        <f>'数据-取费表'!B31</f>
        <v>200</v>
      </c>
      <c r="F19" s="275"/>
      <c r="G19" s="2551" t="s">
        <v>3114</v>
      </c>
    </row>
    <row r="20" spans="1:7" s="258" customFormat="1" ht="13.5" customHeight="1">
      <c r="A20" s="299" t="s">
        <v>2355</v>
      </c>
      <c r="B20" s="254" t="s">
        <v>2356</v>
      </c>
      <c r="C20" s="276">
        <f>ROUND((C5+C19)*F20,0)</f>
        <v>256</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1258</v>
      </c>
      <c r="D22" s="279">
        <f ca="1">C26</f>
        <v>1E-3</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1246</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12</v>
      </c>
      <c r="D25" s="282"/>
      <c r="E25" s="285"/>
      <c r="F25" s="283"/>
      <c r="G25" s="286" t="s">
        <v>2372</v>
      </c>
    </row>
    <row r="26" spans="1:7" s="258" customFormat="1">
      <c r="A26" s="951" t="s">
        <v>795</v>
      </c>
      <c r="B26" s="259" t="s">
        <v>2373</v>
      </c>
      <c r="C26" s="282">
        <f ca="1">ROUND(IF('数据-取费表'!B22&lt;=1,F21*F22*'数据-取费表'!B23/2,F21*(POWER((1+F22),'数据-取费表'!B23/2)-1)),4)</f>
        <v>1E-3</v>
      </c>
      <c r="D26" s="282"/>
      <c r="E26" s="285"/>
      <c r="F26" s="283"/>
      <c r="G26" s="287"/>
    </row>
    <row r="27" spans="1:7" s="258" customFormat="1" ht="26.4">
      <c r="A27" s="299" t="s">
        <v>2374</v>
      </c>
      <c r="B27" s="288" t="s">
        <v>2375</v>
      </c>
      <c r="C27" s="289">
        <f ca="1">C28</f>
        <v>2614</v>
      </c>
      <c r="D27" s="279">
        <f ca="1">C29</f>
        <v>4.0000000000000001E-3</v>
      </c>
      <c r="E27" s="280" t="s">
        <v>2376</v>
      </c>
      <c r="F27" s="290">
        <f ca="1">IF(B1="",'数据-取费表'!Q16,INDIRECT("'数据-取费表'!q"&amp;$G$1))</f>
        <v>0.2</v>
      </c>
      <c r="G27" s="291" t="s">
        <v>2377</v>
      </c>
    </row>
    <row r="28" spans="1:7" s="258" customFormat="1" ht="13.5" customHeight="1">
      <c r="A28" s="951" t="s">
        <v>791</v>
      </c>
      <c r="B28" s="292" t="s">
        <v>2378</v>
      </c>
      <c r="C28" s="293">
        <f ca="1">ROUND((C5+C19+C20)*F27*'数据-取费表'!B21/'数据-取费表'!B20,0)</f>
        <v>2614</v>
      </c>
      <c r="D28" s="279"/>
      <c r="E28" s="280"/>
      <c r="F28" s="290"/>
      <c r="G28" s="291"/>
    </row>
    <row r="29" spans="1:7" s="258" customFormat="1" ht="13.5" customHeight="1">
      <c r="A29" s="951" t="s">
        <v>792</v>
      </c>
      <c r="B29" s="292" t="s">
        <v>2379</v>
      </c>
      <c r="C29" s="282">
        <f ca="1">ROUND(C21*F27*'数据-取费表'!B21/'数据-取费表'!B20,4)</f>
        <v>4.0000000000000001E-3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18364</v>
      </c>
      <c r="D31" s="274"/>
      <c r="E31" s="255"/>
      <c r="F31" s="294"/>
      <c r="G31" s="278" t="s">
        <v>2384</v>
      </c>
    </row>
    <row r="32" spans="1:7" s="252" customFormat="1" ht="16.2">
      <c r="A32" s="296" t="s">
        <v>2385</v>
      </c>
      <c r="B32" s="297"/>
      <c r="C32" s="297"/>
      <c r="D32" s="297"/>
      <c r="E32" s="297"/>
      <c r="F32" s="297"/>
      <c r="G32" s="298"/>
    </row>
    <row r="33" spans="1:7" s="258" customFormat="1" ht="13.5" customHeight="1">
      <c r="A33" s="299" t="s">
        <v>782</v>
      </c>
      <c r="B33" s="254" t="s">
        <v>2386</v>
      </c>
      <c r="C33" s="300">
        <f ca="1">SUM(C34:C38)</f>
        <v>28416</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25551</v>
      </c>
      <c r="D34" s="261"/>
      <c r="E34" s="264"/>
      <c r="F34" s="301">
        <f ca="1">IF('数据-取费表'!B24=0,1,IF(B1="",'数据-取费表'!N16,INDIRECT("'数据-取费表'!n"&amp;$G$1)))</f>
        <v>1</v>
      </c>
      <c r="G34" s="263" t="s">
        <v>2388</v>
      </c>
    </row>
    <row r="35" spans="1:7" ht="13.5" customHeight="1">
      <c r="A35" s="951" t="s">
        <v>796</v>
      </c>
      <c r="B35" s="259" t="s">
        <v>2389</v>
      </c>
      <c r="C35" s="264">
        <f ca="1">ROUND(C34*F35,0)</f>
        <v>1022</v>
      </c>
      <c r="D35" s="264"/>
      <c r="E35" s="264"/>
      <c r="F35" s="303">
        <f>'数据-取费表'!B33</f>
        <v>0.04</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1460</v>
      </c>
      <c r="D37" s="261">
        <f ca="1">D19</f>
        <v>73003.73</v>
      </c>
      <c r="E37" s="293">
        <f>'数据-取费表'!B35</f>
        <v>200</v>
      </c>
      <c r="F37" s="303"/>
      <c r="G37" s="305" t="s">
        <v>2394</v>
      </c>
    </row>
    <row r="38" spans="1:7" ht="13.5" customHeight="1">
      <c r="A38" s="951" t="s">
        <v>799</v>
      </c>
      <c r="B38" s="259" t="s">
        <v>2395</v>
      </c>
      <c r="C38" s="264">
        <f ca="1">ROUND(C34*F38,0)</f>
        <v>383</v>
      </c>
      <c r="D38" s="264"/>
      <c r="E38" s="264"/>
      <c r="F38" s="303">
        <f>'数据-取费表'!B36</f>
        <v>1.4999999999999999E-2</v>
      </c>
      <c r="G38" s="263" t="s">
        <v>2390</v>
      </c>
    </row>
    <row r="39" spans="1:7" s="258" customFormat="1" ht="13.5" customHeight="1">
      <c r="A39" s="299" t="s">
        <v>2396</v>
      </c>
      <c r="B39" s="254" t="s">
        <v>2397</v>
      </c>
      <c r="C39" s="276">
        <f ca="1">ROUND(C33*F20,0)</f>
        <v>568</v>
      </c>
      <c r="D39" s="276"/>
      <c r="E39" s="276"/>
      <c r="F39" s="277"/>
      <c r="G39" s="278" t="s">
        <v>2398</v>
      </c>
    </row>
    <row r="40" spans="1:7" s="258" customFormat="1" ht="13.5" customHeight="1">
      <c r="A40" s="299" t="s">
        <v>2399</v>
      </c>
      <c r="B40" s="254" t="s">
        <v>2400</v>
      </c>
      <c r="C40" s="1727">
        <f>F21</f>
        <v>0.02</v>
      </c>
      <c r="D40" s="280" t="s">
        <v>2401</v>
      </c>
      <c r="E40" s="276"/>
      <c r="F40" s="277"/>
      <c r="G40" s="278" t="s">
        <v>2402</v>
      </c>
    </row>
    <row r="41" spans="1:7" s="258" customFormat="1" ht="13.5" customHeight="1">
      <c r="A41" s="299" t="s">
        <v>2403</v>
      </c>
      <c r="B41" s="254" t="s">
        <v>2404</v>
      </c>
      <c r="C41" s="276">
        <f ca="1">ROUND(SUM(C42:C43),0)</f>
        <v>1377</v>
      </c>
      <c r="D41" s="279">
        <f ca="1">C44</f>
        <v>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1350</v>
      </c>
      <c r="D42" s="282"/>
      <c r="E42" s="282"/>
      <c r="F42" s="283"/>
      <c r="G42" s="3228" t="s">
        <v>2406</v>
      </c>
    </row>
    <row r="43" spans="1:7" ht="13.5" customHeight="1">
      <c r="A43" s="951" t="s">
        <v>792</v>
      </c>
      <c r="B43" s="259" t="s">
        <v>2407</v>
      </c>
      <c r="C43" s="282">
        <f ca="1">ROUND(IF('数据-取费表'!B22&lt;=1,C39*F22*'数据-取费表'!B21/2,C39*(POWER((1+F22),'数据-取费表'!B21/2)-1)),0)</f>
        <v>27</v>
      </c>
      <c r="D43" s="282"/>
      <c r="E43" s="282"/>
      <c r="F43" s="283"/>
      <c r="G43" s="3229"/>
    </row>
    <row r="44" spans="1:7" ht="13.5" customHeight="1">
      <c r="A44" s="951" t="s">
        <v>793</v>
      </c>
      <c r="B44" s="259" t="s">
        <v>2408</v>
      </c>
      <c r="C44" s="282">
        <f ca="1">ROUND(IF('数据-取费表'!B22&lt;=1,C40*F22*'数据-取费表'!B21/2,C40*(POWER((1+F22),'数据-取费表'!B21/2)-1)),4)</f>
        <v>1E-3</v>
      </c>
      <c r="D44" s="282"/>
      <c r="E44" s="282"/>
      <c r="F44" s="283"/>
      <c r="G44" s="3230"/>
    </row>
    <row r="45" spans="1:7" s="258" customFormat="1" ht="13.5" customHeight="1">
      <c r="A45" s="299" t="s">
        <v>2409</v>
      </c>
      <c r="B45" s="288" t="s">
        <v>2375</v>
      </c>
      <c r="C45" s="289">
        <f ca="1">C46</f>
        <v>5797</v>
      </c>
      <c r="D45" s="279">
        <f ca="1">C47</f>
        <v>4.0000000000000001E-3</v>
      </c>
      <c r="E45" s="280" t="s">
        <v>2401</v>
      </c>
      <c r="F45" s="290"/>
      <c r="G45" s="291" t="s">
        <v>2410</v>
      </c>
    </row>
    <row r="46" spans="1:7" s="258" customFormat="1" ht="13.5" customHeight="1">
      <c r="A46" s="951" t="s">
        <v>791</v>
      </c>
      <c r="B46" s="292" t="s">
        <v>2411</v>
      </c>
      <c r="C46" s="293">
        <f ca="1">ROUND((C33+C39)*F27,0)</f>
        <v>5797</v>
      </c>
      <c r="D46" s="307"/>
      <c r="E46" s="280"/>
      <c r="F46" s="290"/>
      <c r="G46" s="291"/>
    </row>
    <row r="47" spans="1:7" s="258" customFormat="1" ht="13.5" customHeight="1">
      <c r="A47" s="951" t="s">
        <v>792</v>
      </c>
      <c r="B47" s="292" t="s">
        <v>2412</v>
      </c>
      <c r="C47" s="282">
        <f ca="1">ROUND(C40*F27,4)</f>
        <v>4.0000000000000001E-3</v>
      </c>
      <c r="D47" s="307"/>
      <c r="E47" s="280"/>
      <c r="F47" s="290"/>
      <c r="G47" s="291"/>
    </row>
    <row r="48" spans="1:7" s="258" customFormat="1" ht="13.5" customHeight="1">
      <c r="A48" s="299" t="s">
        <v>2374</v>
      </c>
      <c r="B48" s="254" t="s">
        <v>2413</v>
      </c>
      <c r="C48" s="1727">
        <f>ROUND(F30/(1+'数据-取费表'!C42),4)</f>
        <v>5.2400000000000002E-2</v>
      </c>
      <c r="D48" s="280" t="s">
        <v>2401</v>
      </c>
      <c r="E48" s="276"/>
      <c r="F48" s="281"/>
      <c r="G48" s="278" t="s">
        <v>2414</v>
      </c>
    </row>
    <row r="49" spans="1:7" ht="16.5" customHeight="1">
      <c r="A49" s="299" t="s">
        <v>2380</v>
      </c>
      <c r="B49" s="254" t="s">
        <v>2415</v>
      </c>
      <c r="C49" s="276">
        <f ca="1">ROUND((C33+C39+C41+C45)/(1-C40-D41-D45-C48),0)</f>
        <v>39191</v>
      </c>
      <c r="D49" s="276"/>
      <c r="E49" s="276"/>
      <c r="F49" s="308"/>
      <c r="G49" s="278" t="s">
        <v>2416</v>
      </c>
    </row>
    <row r="50" spans="1:7" s="302" customFormat="1" ht="24">
      <c r="A50" s="299" t="s">
        <v>2417</v>
      </c>
      <c r="B50" s="254" t="s">
        <v>2418</v>
      </c>
      <c r="C50" s="276"/>
      <c r="D50" s="276"/>
      <c r="E50" s="276"/>
      <c r="F50" s="308">
        <f>IF('数据-取费表'!B24=0,'数据-取费表'!N16,1)</f>
        <v>0.97</v>
      </c>
      <c r="G50" s="291" t="s">
        <v>2419</v>
      </c>
    </row>
    <row r="51" spans="1:7" ht="16.5" customHeight="1">
      <c r="A51" s="299" t="s">
        <v>2420</v>
      </c>
      <c r="B51" s="254" t="s">
        <v>2421</v>
      </c>
      <c r="C51" s="276">
        <f ca="1">ROUND(C49*F50,0)</f>
        <v>38015</v>
      </c>
      <c r="D51" s="276"/>
      <c r="E51" s="276"/>
      <c r="F51" s="308"/>
      <c r="G51" s="278" t="s">
        <v>2422</v>
      </c>
    </row>
    <row r="52" spans="1:7" s="252" customFormat="1" ht="16.8" thickBot="1">
      <c r="A52" s="309" t="s">
        <v>2423</v>
      </c>
      <c r="B52" s="310"/>
      <c r="C52" s="311">
        <f ca="1">C31+C51</f>
        <v>56379</v>
      </c>
      <c r="D52" s="310"/>
      <c r="E52" s="310"/>
      <c r="F52" s="310"/>
      <c r="G52" s="312"/>
    </row>
    <row r="55" spans="1:7" ht="15">
      <c r="B55" s="314" t="s">
        <v>2424</v>
      </c>
      <c r="C55" s="315"/>
    </row>
    <row r="56" spans="1:7">
      <c r="B56" s="317" t="s">
        <v>1507</v>
      </c>
      <c r="C56" s="319">
        <f ca="1">1-C57</f>
        <v>0.32599999999999996</v>
      </c>
    </row>
    <row r="57" spans="1:7">
      <c r="B57" s="317" t="s">
        <v>1508</v>
      </c>
      <c r="C57" s="318">
        <f ca="1">ROUND(C51/C52,3)</f>
        <v>0.67400000000000004</v>
      </c>
    </row>
  </sheetData>
  <sheetProtection password="C66D" sheet="1" objects="1" scenarios="1" formatCells="0"/>
  <mergeCells count="1">
    <mergeCell ref="G42:G44"/>
  </mergeCells>
  <phoneticPr fontId="14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3042" t="str">
        <f>项目基本情况!B1</f>
        <v>出让国有建设用地使用权及在建建筑物房地产抵押价值预评估</v>
      </c>
      <c r="C37" s="3042"/>
      <c r="D37" s="3042"/>
      <c r="E37" s="3042"/>
      <c r="F37" s="3042"/>
      <c r="G37" s="3042"/>
      <c r="H37" s="3042"/>
      <c r="I37" s="3042"/>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2">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2323</v>
      </c>
      <c r="B1" s="1935"/>
      <c r="C1" s="2554" t="s">
        <v>2425</v>
      </c>
      <c r="D1" s="242"/>
      <c r="E1" s="242"/>
      <c r="F1" s="242"/>
      <c r="G1" s="1379">
        <f>MATCH(B1,'数据-取费表'!A6:A16,0)+5</f>
        <v>8</v>
      </c>
      <c r="H1" s="1282" t="str">
        <f>IF(ISERROR(FIND("住宅",B1)),"非住宅","住宅")</f>
        <v>非住宅</v>
      </c>
    </row>
    <row r="2" spans="1:8" s="244" customFormat="1" ht="18" customHeight="1">
      <c r="A2" s="245" t="s">
        <v>2324</v>
      </c>
      <c r="B2" s="246">
        <f ca="1">ROUND(IF(D2="——",C52/10000,C52/10000-E2),0)</f>
        <v>41051</v>
      </c>
      <c r="C2" s="243" t="s">
        <v>2325</v>
      </c>
      <c r="D2" s="2548" t="s">
        <v>70</v>
      </c>
      <c r="E2" s="1440" t="e">
        <f ca="1">SUMIF(INDIRECT("'"&amp;G2&amp;"'"&amp;"!A:A"),"承租人权益价值",INDIRECT("'"&amp;G2&amp;"'"&amp;"!c:c"))</f>
        <v>#REF!</v>
      </c>
      <c r="F2" s="2549" t="s">
        <v>2325</v>
      </c>
      <c r="G2" s="2550"/>
    </row>
    <row r="3" spans="1:8" s="244" customFormat="1" ht="18" customHeight="1" thickBot="1">
      <c r="A3" s="247" t="s">
        <v>2326</v>
      </c>
      <c r="B3" s="248">
        <f ca="1">ROUND(B2*10000/(IF(B1="",'数据-汇总表'!E3,INDIRECT("'数据-取费表'!k"&amp;$G$1))),0)</f>
        <v>5623</v>
      </c>
      <c r="C3" s="243" t="s">
        <v>2327</v>
      </c>
      <c r="D3" s="243"/>
      <c r="E3" s="243"/>
      <c r="F3" s="243"/>
      <c r="G3" s="243"/>
    </row>
    <row r="4" spans="1:8" s="252" customFormat="1" ht="16.2">
      <c r="A4" s="249" t="s">
        <v>2328</v>
      </c>
      <c r="B4" s="250"/>
      <c r="C4" s="250"/>
      <c r="D4" s="250"/>
      <c r="E4" s="250"/>
      <c r="F4" s="250"/>
      <c r="G4" s="251"/>
    </row>
    <row r="5" spans="1:8" s="258" customFormat="1" ht="13.5" customHeight="1">
      <c r="A5" s="299" t="s">
        <v>2329</v>
      </c>
      <c r="B5" s="254" t="s">
        <v>2330</v>
      </c>
      <c r="C5" s="255">
        <f ca="1">C6+C7+C8</f>
        <v>6570336</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6570336</v>
      </c>
      <c r="D8" s="266"/>
      <c r="E8" s="264"/>
      <c r="F8" s="265"/>
      <c r="G8" s="2551"/>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90</v>
      </c>
      <c r="F9" s="265"/>
      <c r="G9" s="270"/>
    </row>
    <row r="10" spans="1:8" s="258" customFormat="1" ht="13.5" customHeight="1">
      <c r="A10" s="950" t="s">
        <v>801</v>
      </c>
      <c r="B10" s="268" t="s">
        <v>2342</v>
      </c>
      <c r="C10" s="269">
        <f ca="1">ROUND(D10*E10,0)</f>
        <v>6570336</v>
      </c>
      <c r="D10" s="1032">
        <f ca="1">IF(B1="",'数据-汇总表'!E6,IF(INDIRECT("'数据-取费表'!c"&amp;$G$1)="住宅",INDIRECT("'数据-取费表'!s"&amp;$G$1),INDIRECT("'数据-取费表'!k"&amp;$G$1)+INDIRECT("'数据-取费表'!s"&amp;$G$1)))</f>
        <v>73003.73</v>
      </c>
      <c r="E10" s="269">
        <f>'数据-取费表'!B28</f>
        <v>90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14600746</v>
      </c>
      <c r="D19" s="1036">
        <f ca="1">D9+D10</f>
        <v>73003.73</v>
      </c>
      <c r="E19" s="255">
        <f>'数据-取费表'!B31</f>
        <v>200</v>
      </c>
      <c r="F19" s="275"/>
      <c r="G19" s="2551"/>
    </row>
    <row r="20" spans="1:7" s="258" customFormat="1" ht="13.5" customHeight="1">
      <c r="A20" s="299" t="s">
        <v>2436</v>
      </c>
      <c r="B20" s="254" t="s">
        <v>2437</v>
      </c>
      <c r="C20" s="276">
        <f ca="1">ROUND((C5+C19)*F20,0)</f>
        <v>423422</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2079133</v>
      </c>
      <c r="D22" s="279">
        <f ca="1">C26</f>
        <v>1E-3</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639006</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1420014</v>
      </c>
      <c r="D24" s="282"/>
      <c r="E24" s="282"/>
      <c r="F24" s="283"/>
      <c r="G24" s="284" t="s">
        <v>2448</v>
      </c>
    </row>
    <row r="25" spans="1:7" s="258" customFormat="1" ht="24">
      <c r="A25" s="951" t="s">
        <v>2338</v>
      </c>
      <c r="B25" s="259" t="s">
        <v>2449</v>
      </c>
      <c r="C25" s="1381">
        <f ca="1">ROUND(IF('数据-取费表'!B22&lt;=1,C20*F22*'数据-取费表'!B22/2,C20*(POWER((1+F22),'数据-取费表'!B22/2)-1)),0)</f>
        <v>20113</v>
      </c>
      <c r="D25" s="282"/>
      <c r="E25" s="285"/>
      <c r="F25" s="283"/>
      <c r="G25" s="286" t="s">
        <v>2450</v>
      </c>
    </row>
    <row r="26" spans="1:7" s="258" customFormat="1">
      <c r="A26" s="951" t="s">
        <v>795</v>
      </c>
      <c r="B26" s="259" t="s">
        <v>2373</v>
      </c>
      <c r="C26" s="282">
        <f ca="1">ROUND(IF('数据-取费表'!B22&lt;=1,F21*F22*'数据-取费表'!B22/2,F21*(POWER((1+F22),'数据-取费表'!B22/2)-1)),4)</f>
        <v>1E-3</v>
      </c>
      <c r="D26" s="282"/>
      <c r="E26" s="285"/>
      <c r="F26" s="283"/>
      <c r="G26" s="287"/>
    </row>
    <row r="27" spans="1:7" s="258" customFormat="1" ht="26.4">
      <c r="A27" s="299" t="s">
        <v>2374</v>
      </c>
      <c r="B27" s="288" t="s">
        <v>2375</v>
      </c>
      <c r="C27" s="289">
        <f ca="1">C28</f>
        <v>4318901</v>
      </c>
      <c r="D27" s="279">
        <f ca="1">C29</f>
        <v>4.0000000000000001E-3</v>
      </c>
      <c r="E27" s="280" t="s">
        <v>2376</v>
      </c>
      <c r="F27" s="290">
        <f ca="1">IF(B1="",'数据-取费表'!Q16,INDIRECT("'数据-取费表'!q"&amp;$G$1))</f>
        <v>0.2</v>
      </c>
      <c r="G27" s="291" t="s">
        <v>2377</v>
      </c>
    </row>
    <row r="28" spans="1:7" s="258" customFormat="1" ht="13.5" customHeight="1">
      <c r="A28" s="951" t="s">
        <v>791</v>
      </c>
      <c r="B28" s="292" t="s">
        <v>2378</v>
      </c>
      <c r="C28" s="293">
        <f ca="1">ROUND((C5+C19+C20)*F27,0)</f>
        <v>4318901</v>
      </c>
      <c r="D28" s="279"/>
      <c r="E28" s="280"/>
      <c r="F28" s="290"/>
      <c r="G28" s="291"/>
    </row>
    <row r="29" spans="1:7" s="258" customFormat="1" ht="13.5" customHeight="1">
      <c r="A29" s="951" t="s">
        <v>792</v>
      </c>
      <c r="B29" s="292" t="s">
        <v>2379</v>
      </c>
      <c r="C29" s="282">
        <f ca="1">ROUND(C21*F27,4)</f>
        <v>4.0000000000000001E-3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30340926</v>
      </c>
      <c r="D31" s="274"/>
      <c r="E31" s="255"/>
      <c r="F31" s="294"/>
      <c r="G31" s="278" t="s">
        <v>2384</v>
      </c>
    </row>
    <row r="32" spans="1:7" s="252" customFormat="1" ht="16.2">
      <c r="A32" s="296" t="s">
        <v>2451</v>
      </c>
      <c r="B32" s="297"/>
      <c r="C32" s="297"/>
      <c r="D32" s="297"/>
      <c r="E32" s="297"/>
      <c r="F32" s="297"/>
      <c r="G32" s="298"/>
    </row>
    <row r="33" spans="1:7" s="258" customFormat="1" ht="13.5" customHeight="1">
      <c r="A33" s="299" t="s">
        <v>782</v>
      </c>
      <c r="B33" s="254" t="s">
        <v>2452</v>
      </c>
      <c r="C33" s="300">
        <f ca="1">SUM(C34:C38)</f>
        <v>284167019</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255513055</v>
      </c>
      <c r="D34" s="261"/>
      <c r="E34" s="264"/>
      <c r="F34" s="301"/>
      <c r="G34" s="263"/>
    </row>
    <row r="35" spans="1:7" ht="13.5" customHeight="1">
      <c r="A35" s="951" t="s">
        <v>796</v>
      </c>
      <c r="B35" s="259" t="s">
        <v>2389</v>
      </c>
      <c r="C35" s="264">
        <f ca="1">ROUND(C34*F35,0)</f>
        <v>10220522</v>
      </c>
      <c r="D35" s="264"/>
      <c r="E35" s="264"/>
      <c r="F35" s="303">
        <f>'数据-取费表'!B33</f>
        <v>0.04</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14600746</v>
      </c>
      <c r="D37" s="261">
        <f ca="1">D19</f>
        <v>73003.73</v>
      </c>
      <c r="E37" s="293">
        <f>'数据-取费表'!B35</f>
        <v>200</v>
      </c>
      <c r="F37" s="303"/>
      <c r="G37" s="305"/>
    </row>
    <row r="38" spans="1:7" ht="13.5" customHeight="1">
      <c r="A38" s="951" t="s">
        <v>799</v>
      </c>
      <c r="B38" s="259" t="s">
        <v>2395</v>
      </c>
      <c r="C38" s="264">
        <f ca="1">ROUND(C34*F38,0)</f>
        <v>3832696</v>
      </c>
      <c r="D38" s="264"/>
      <c r="E38" s="264"/>
      <c r="F38" s="303">
        <f>'数据-取费表'!B36</f>
        <v>1.4999999999999999E-2</v>
      </c>
      <c r="G38" s="263" t="s">
        <v>2390</v>
      </c>
    </row>
    <row r="39" spans="1:7" s="258" customFormat="1" ht="13.5" customHeight="1">
      <c r="A39" s="299" t="s">
        <v>2396</v>
      </c>
      <c r="B39" s="254" t="s">
        <v>2397</v>
      </c>
      <c r="C39" s="276">
        <f ca="1">ROUND(C33*F20,0)</f>
        <v>5683340</v>
      </c>
      <c r="D39" s="276"/>
      <c r="E39" s="276"/>
      <c r="F39" s="277"/>
      <c r="G39" s="278" t="s">
        <v>2398</v>
      </c>
    </row>
    <row r="40" spans="1:7" s="258" customFormat="1" ht="13.5" customHeight="1">
      <c r="A40" s="299" t="s">
        <v>2399</v>
      </c>
      <c r="B40" s="254" t="s">
        <v>2400</v>
      </c>
      <c r="C40" s="1727">
        <f>F21</f>
        <v>0.02</v>
      </c>
      <c r="D40" s="280" t="s">
        <v>2401</v>
      </c>
      <c r="E40" s="276"/>
      <c r="F40" s="277"/>
      <c r="G40" s="278" t="s">
        <v>2402</v>
      </c>
    </row>
    <row r="41" spans="1:7" s="258" customFormat="1" ht="13.5" customHeight="1">
      <c r="A41" s="299" t="s">
        <v>2403</v>
      </c>
      <c r="B41" s="254" t="s">
        <v>2404</v>
      </c>
      <c r="C41" s="276">
        <f ca="1">ROUND(SUM(C42:C43),0)</f>
        <v>13767892</v>
      </c>
      <c r="D41" s="279">
        <f ca="1">C44</f>
        <v>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13497933</v>
      </c>
      <c r="D42" s="282"/>
      <c r="E42" s="282"/>
      <c r="F42" s="283"/>
      <c r="G42" s="3228" t="s">
        <v>2453</v>
      </c>
    </row>
    <row r="43" spans="1:7" ht="13.5" customHeight="1">
      <c r="A43" s="951" t="s">
        <v>792</v>
      </c>
      <c r="B43" s="259" t="s">
        <v>2407</v>
      </c>
      <c r="C43" s="282">
        <f ca="1">ROUND(IF('数据-取费表'!B22&lt;=1,C39*F22*'数据-取费表'!B20/2,C39*(POWER((1+F22),'数据-取费表'!B20/2)-1)),0)</f>
        <v>269959</v>
      </c>
      <c r="D43" s="282"/>
      <c r="E43" s="282"/>
      <c r="F43" s="283"/>
      <c r="G43" s="3229"/>
    </row>
    <row r="44" spans="1:7" ht="13.5" customHeight="1">
      <c r="A44" s="951" t="s">
        <v>793</v>
      </c>
      <c r="B44" s="259" t="s">
        <v>2408</v>
      </c>
      <c r="C44" s="282">
        <f ca="1">ROUND(IF('数据-取费表'!B22&lt;=1,C40*F22*'数据-取费表'!B20/2,C40*(POWER((1+F22),'数据-取费表'!B20/2)-1)),4)</f>
        <v>1E-3</v>
      </c>
      <c r="D44" s="282"/>
      <c r="E44" s="282"/>
      <c r="F44" s="283"/>
      <c r="G44" s="3230"/>
    </row>
    <row r="45" spans="1:7" s="258" customFormat="1" ht="13.5" customHeight="1">
      <c r="A45" s="299" t="s">
        <v>2409</v>
      </c>
      <c r="B45" s="288" t="s">
        <v>2375</v>
      </c>
      <c r="C45" s="289">
        <f ca="1">C46</f>
        <v>57970072</v>
      </c>
      <c r="D45" s="279">
        <f ca="1">C47</f>
        <v>4.0000000000000001E-3</v>
      </c>
      <c r="E45" s="280" t="s">
        <v>2401</v>
      </c>
      <c r="F45" s="290"/>
      <c r="G45" s="291" t="s">
        <v>2410</v>
      </c>
    </row>
    <row r="46" spans="1:7" s="258" customFormat="1" ht="13.5" customHeight="1">
      <c r="A46" s="951" t="s">
        <v>791</v>
      </c>
      <c r="B46" s="292" t="s">
        <v>2411</v>
      </c>
      <c r="C46" s="293">
        <f ca="1">ROUND((C33+C39)*F27,0)</f>
        <v>57970072</v>
      </c>
      <c r="D46" s="307"/>
      <c r="E46" s="280"/>
      <c r="F46" s="290"/>
      <c r="G46" s="291"/>
    </row>
    <row r="47" spans="1:7" s="258" customFormat="1" ht="13.5" customHeight="1">
      <c r="A47" s="951" t="s">
        <v>792</v>
      </c>
      <c r="B47" s="292" t="s">
        <v>2412</v>
      </c>
      <c r="C47" s="282">
        <f ca="1">ROUND(C40*F27,4)</f>
        <v>4.0000000000000001E-3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391923177</v>
      </c>
      <c r="D49" s="276"/>
      <c r="E49" s="276"/>
      <c r="F49" s="308"/>
      <c r="G49" s="278" t="s">
        <v>2416</v>
      </c>
    </row>
    <row r="50" spans="1:7" s="302" customFormat="1">
      <c r="A50" s="299" t="s">
        <v>2417</v>
      </c>
      <c r="B50" s="254" t="s">
        <v>2418</v>
      </c>
      <c r="C50" s="276"/>
      <c r="D50" s="276"/>
      <c r="E50" s="276"/>
      <c r="F50" s="308">
        <f>IF('数据-取费表'!B24=0,'数据-取费表'!N16,1)</f>
        <v>0.97</v>
      </c>
      <c r="G50" s="291"/>
    </row>
    <row r="51" spans="1:7" ht="16.5" customHeight="1">
      <c r="A51" s="299" t="s">
        <v>2420</v>
      </c>
      <c r="B51" s="254" t="s">
        <v>2455</v>
      </c>
      <c r="C51" s="276">
        <f ca="1">ROUND(C49*F50,0)</f>
        <v>380165482</v>
      </c>
      <c r="D51" s="276"/>
      <c r="E51" s="276"/>
      <c r="F51" s="308"/>
      <c r="G51" s="278" t="s">
        <v>2422</v>
      </c>
    </row>
    <row r="52" spans="1:7" s="252" customFormat="1" ht="16.8" thickBot="1">
      <c r="A52" s="309" t="s">
        <v>2423</v>
      </c>
      <c r="B52" s="310"/>
      <c r="C52" s="311">
        <f ca="1">C31+C51</f>
        <v>410506408</v>
      </c>
      <c r="D52" s="310"/>
      <c r="E52" s="310"/>
      <c r="F52" s="310"/>
      <c r="G52" s="312"/>
    </row>
    <row r="55" spans="1:7" ht="15">
      <c r="B55" s="314" t="s">
        <v>2424</v>
      </c>
      <c r="C55" s="315"/>
    </row>
    <row r="56" spans="1:7">
      <c r="B56" s="317" t="s">
        <v>1507</v>
      </c>
      <c r="C56" s="319">
        <f ca="1">1-C57</f>
        <v>7.3999999999999955E-2</v>
      </c>
    </row>
    <row r="57" spans="1:7">
      <c r="B57" s="317" t="s">
        <v>1508</v>
      </c>
      <c r="C57" s="318">
        <f ca="1">ROUND(C51/C52,3)</f>
        <v>0.92600000000000005</v>
      </c>
    </row>
  </sheetData>
  <sheetProtection password="C66D" sheet="1" objects="1" scenarios="1" formatCells="0"/>
  <mergeCells count="1">
    <mergeCell ref="G42:G44"/>
  </mergeCells>
  <phoneticPr fontId="14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topLeftCell="A4" workbookViewId="0">
      <selection activeCell="F7" sqref="F7"/>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2456</v>
      </c>
      <c r="B1" s="1580"/>
      <c r="C1" s="1581"/>
      <c r="D1" s="1579"/>
      <c r="E1" s="320"/>
      <c r="F1" s="320"/>
      <c r="G1" s="1580"/>
      <c r="H1" s="320"/>
      <c r="I1" s="320"/>
      <c r="J1" s="320"/>
      <c r="K1" s="320">
        <f>MATCH(C1,'数据-取费表'!A6:A16,0)+5</f>
        <v>8</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5.2">
      <c r="A5" s="957" t="s">
        <v>2460</v>
      </c>
      <c r="B5" s="958" t="s">
        <v>2461</v>
      </c>
      <c r="C5" s="2555" t="s">
        <v>2462</v>
      </c>
      <c r="D5" s="2555" t="s">
        <v>2463</v>
      </c>
      <c r="E5" s="2555" t="s">
        <v>2464</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1329</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2478</v>
      </c>
      <c r="C12" s="24">
        <f ca="1">ROUND(C11*F12,0)</f>
        <v>0</v>
      </c>
      <c r="D12" s="973"/>
      <c r="E12" s="375"/>
      <c r="F12" s="976">
        <f>'数据-取费表'!B33</f>
        <v>0.04</v>
      </c>
      <c r="G12" s="8" t="s">
        <v>2479</v>
      </c>
      <c r="H12" s="968"/>
      <c r="I12" s="968"/>
      <c r="J12" s="968"/>
      <c r="K12" s="969"/>
    </row>
    <row r="13" spans="1:33" s="975" customFormat="1" ht="13.5" customHeight="1">
      <c r="A13" s="971" t="s">
        <v>1331</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1332</v>
      </c>
      <c r="B14" s="972" t="s">
        <v>2482</v>
      </c>
      <c r="C14" s="24">
        <f ca="1">ROUND(D14*E14*F11/10000,0)</f>
        <v>0</v>
      </c>
      <c r="D14" s="1033">
        <f ca="1">IF(C1="",'数据-汇总表'!E3,INDIRECT("'数据-取费表'!K"&amp;$K$1)+INDIRECT("'数据-取费表'!S"&amp;$K$1))</f>
        <v>73003.73</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73003.73</v>
      </c>
      <c r="E17" s="24">
        <f>'数据-取费表'!B32</f>
        <v>0</v>
      </c>
      <c r="F17" s="978"/>
      <c r="G17" s="140" t="s">
        <v>2488</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2489</v>
      </c>
      <c r="C18" s="24">
        <f ca="1">C19+C20-IF(C1="",'数据-取费表'!B29,IF(G18="已全部缴纳",C19+C20,H18))</f>
        <v>0</v>
      </c>
      <c r="D18" s="1033"/>
      <c r="E18" s="24"/>
      <c r="F18" s="976"/>
      <c r="G18" s="2557"/>
      <c r="H18" s="1576"/>
      <c r="I18" s="2558"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90</v>
      </c>
      <c r="F19" s="976"/>
      <c r="G19" s="15"/>
      <c r="H19" s="1578"/>
      <c r="I19" s="981"/>
      <c r="J19" s="981"/>
      <c r="K19" s="982"/>
    </row>
    <row r="20" spans="1:33" s="975" customFormat="1" ht="13.5" customHeight="1">
      <c r="A20" s="971" t="s">
        <v>806</v>
      </c>
      <c r="B20" s="972" t="s">
        <v>2492</v>
      </c>
      <c r="C20" s="24">
        <f ca="1">ROUND(D20*E20/10000,0)</f>
        <v>657</v>
      </c>
      <c r="D20" s="1033">
        <f ca="1">IF(C1="",'数据-汇总表'!E6,IF(INDIRECT("'数据-取费表'!c"&amp;$K$1)="住宅",INDIRECT("'数据-取费表'!s"&amp;$K$1),INDIRECT("'数据-取费表'!k"&amp;$K$1)+INDIRECT("'数据-取费表'!s"&amp;$K$1)))</f>
        <v>73003.73</v>
      </c>
      <c r="E20" s="24">
        <f>'数据-取费表'!B28</f>
        <v>90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0.02</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2506</v>
      </c>
      <c r="B28" s="2560" t="s">
        <v>2507</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61" t="s">
        <v>2511</v>
      </c>
      <c r="B31" s="1005" t="s">
        <v>2512</v>
      </c>
      <c r="C31" s="1006">
        <f>ROUND(C4*F31/(1+'数据-取费表'!C42),0)</f>
        <v>0</v>
      </c>
      <c r="D31" s="1007"/>
      <c r="E31" s="1008"/>
      <c r="F31" s="1009">
        <f>'数据-取费表'!B41</f>
        <v>5.5000000000000007E-2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D132"/>
  <sheetViews>
    <sheetView zoomScale="80" zoomScaleNormal="80" workbookViewId="0">
      <selection activeCell="C11" sqref="C11"/>
    </sheetView>
  </sheetViews>
  <sheetFormatPr defaultColWidth="9" defaultRowHeight="13.8"/>
  <cols>
    <col min="1" max="1" width="14.33203125" style="403" customWidth="1"/>
    <col min="2" max="2" width="15.77734375" style="403" customWidth="1"/>
    <col min="3" max="3" width="15.44140625" style="403" customWidth="1"/>
    <col min="4" max="4" width="14.109375" style="403" customWidth="1"/>
    <col min="5" max="5" width="15.44140625" style="403" customWidth="1"/>
    <col min="6" max="6" width="12.21875" style="403" customWidth="1"/>
    <col min="7" max="7" width="14.88671875" style="403" customWidth="1"/>
    <col min="8" max="8" width="12.21875" style="403" customWidth="1"/>
    <col min="9" max="9" width="15.8867187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f>F66</f>
        <v>11798</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f>ROUND(IF(D3="",B2*10000/'数据-汇总表'!E3,B2*10000/D3),0)</f>
        <v>1616</v>
      </c>
      <c r="C3" s="247" t="s">
        <v>2743</v>
      </c>
      <c r="D3" s="1582">
        <f>'数据-汇总表'!E27</f>
        <v>73003.73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2642</v>
      </c>
      <c r="B4" s="402"/>
      <c r="C4" s="3250" t="s">
        <v>2643</v>
      </c>
      <c r="D4" s="3251"/>
      <c r="E4" s="3252" t="s">
        <v>2644</v>
      </c>
      <c r="F4" s="3253"/>
      <c r="G4" s="3250" t="s">
        <v>2645</v>
      </c>
      <c r="H4" s="3251"/>
      <c r="I4" s="3250" t="s">
        <v>2646</v>
      </c>
      <c r="J4" s="3251"/>
      <c r="K4" s="610" t="s">
        <v>2647</v>
      </c>
      <c r="L4" s="1130"/>
      <c r="M4" s="1131"/>
      <c r="N4" s="1131"/>
      <c r="O4" s="1131"/>
      <c r="P4" s="3254" t="s">
        <v>2648</v>
      </c>
      <c r="Q4" s="3255"/>
      <c r="R4" s="3236" t="s">
        <v>2644</v>
      </c>
      <c r="S4" s="3237"/>
      <c r="T4" s="3236" t="s">
        <v>2645</v>
      </c>
      <c r="U4" s="3237"/>
      <c r="V4" s="3262" t="s">
        <v>2646</v>
      </c>
      <c r="W4" s="3262"/>
      <c r="X4" s="1812"/>
      <c r="Y4" s="3236" t="s">
        <v>2648</v>
      </c>
      <c r="Z4" s="3237"/>
      <c r="AA4" s="3231" t="s">
        <v>2644</v>
      </c>
      <c r="AB4" s="3232" t="s">
        <v>2645</v>
      </c>
      <c r="AC4" s="3231" t="s">
        <v>2646</v>
      </c>
    </row>
    <row r="5" spans="1:30">
      <c r="A5" s="404"/>
      <c r="B5" s="405"/>
      <c r="C5" s="3242" t="s">
        <v>3091</v>
      </c>
      <c r="D5" s="3243"/>
      <c r="E5" s="3240" t="str">
        <f>土地案例明细!A1</f>
        <v>金沙江路北、民胜路东侧</v>
      </c>
      <c r="F5" s="3241"/>
      <c r="G5" s="3246" t="str">
        <f>土地案例明细!A2</f>
        <v>汇龙镇南郊村</v>
      </c>
      <c r="H5" s="3243"/>
      <c r="I5" s="3246" t="str">
        <f>土地案例明细!A3</f>
        <v>牡丹江路南、公园路西侧</v>
      </c>
      <c r="J5" s="3243"/>
      <c r="K5" s="610"/>
      <c r="L5" s="1130"/>
      <c r="M5" s="1131"/>
      <c r="N5" s="1131"/>
      <c r="O5" s="1131"/>
      <c r="P5" s="3256"/>
      <c r="Q5" s="3257"/>
      <c r="R5" s="3238"/>
      <c r="S5" s="3239"/>
      <c r="T5" s="3238"/>
      <c r="U5" s="3239"/>
      <c r="V5" s="3262"/>
      <c r="W5" s="3262"/>
      <c r="X5" s="1812"/>
      <c r="Y5" s="3238"/>
      <c r="Z5" s="3239"/>
      <c r="AA5" s="3232"/>
      <c r="AB5" s="3232"/>
      <c r="AC5" s="3232"/>
    </row>
    <row r="6" spans="1:30" ht="15" thickBot="1">
      <c r="A6" s="406"/>
      <c r="B6" s="407"/>
      <c r="C6" s="3244" t="s">
        <v>2543</v>
      </c>
      <c r="D6" s="3245"/>
      <c r="E6" s="3247" t="s">
        <v>2543</v>
      </c>
      <c r="F6" s="3248"/>
      <c r="G6" s="3244" t="s">
        <v>2543</v>
      </c>
      <c r="H6" s="3245"/>
      <c r="I6" s="3244" t="s">
        <v>2543</v>
      </c>
      <c r="J6" s="3245"/>
      <c r="K6" s="610" t="s">
        <v>2544</v>
      </c>
      <c r="L6" s="1130"/>
      <c r="M6" s="1131"/>
      <c r="N6" s="1131"/>
      <c r="O6" s="1131"/>
      <c r="P6" s="3258"/>
      <c r="Q6" s="3259"/>
      <c r="R6" s="3238"/>
      <c r="S6" s="3239"/>
      <c r="T6" s="3260"/>
      <c r="U6" s="3261"/>
      <c r="V6" s="3262"/>
      <c r="W6" s="3262"/>
      <c r="X6" s="1812"/>
      <c r="Y6" s="3260"/>
      <c r="Z6" s="3261"/>
      <c r="AA6" s="3233"/>
      <c r="AB6" s="3233"/>
      <c r="AC6" s="3233"/>
    </row>
    <row r="7" spans="1:30" s="117" customFormat="1" ht="15" thickBot="1">
      <c r="A7" s="408" t="s">
        <v>2545</v>
      </c>
      <c r="B7" s="409"/>
      <c r="C7" s="410">
        <f>'数据-取费表'!B2</f>
        <v>43921</v>
      </c>
      <c r="D7" s="411">
        <v>100</v>
      </c>
      <c r="E7" s="412" t="str">
        <f>土地案例明细!J1</f>
        <v>2020-03-03</v>
      </c>
      <c r="F7" s="413">
        <f>SUMIF(70:70,YEAR(E7)&amp;"-"&amp;INT((MONTH(E7)+2)/3),71:71)</f>
        <v>100</v>
      </c>
      <c r="G7" s="2697" t="str">
        <f>土地案例明细!J2</f>
        <v>2018-12-19</v>
      </c>
      <c r="H7" s="411">
        <f>SUMIF(70:70,YEAR(G7)&amp;"-"&amp;INT((MONTH(G7)+2)/3),71:71)</f>
        <v>97.5</v>
      </c>
      <c r="I7" s="2697" t="str">
        <f>土地案例明细!J3</f>
        <v>2018-04-18</v>
      </c>
      <c r="J7" s="411">
        <f>SUMIF(70:70,YEAR(I7)&amp;"-"&amp;INT((MONTH(I7)+2)/3),71:71)</f>
        <v>96.5</v>
      </c>
      <c r="K7" s="611"/>
      <c r="L7" s="1132"/>
      <c r="M7" s="1133"/>
      <c r="N7" s="1133"/>
      <c r="O7" s="1133"/>
      <c r="P7" s="3234" t="s">
        <v>2546</v>
      </c>
      <c r="Q7" s="3263"/>
      <c r="R7" s="770" t="s">
        <v>17</v>
      </c>
      <c r="S7" s="771">
        <f t="shared" ref="S7:S15" si="0">F7</f>
        <v>100</v>
      </c>
      <c r="T7" s="770" t="s">
        <v>17</v>
      </c>
      <c r="U7" s="771">
        <f t="shared" ref="U7:U15" si="1">H7</f>
        <v>97.5</v>
      </c>
      <c r="V7" s="770" t="s">
        <v>17</v>
      </c>
      <c r="W7" s="771">
        <f t="shared" ref="W7:W15" si="2">J7</f>
        <v>96.5</v>
      </c>
      <c r="X7" s="772"/>
      <c r="Y7" s="3234" t="s">
        <v>2546</v>
      </c>
      <c r="Z7" s="3235"/>
      <c r="AA7" s="773">
        <f>D7/F7</f>
        <v>1</v>
      </c>
      <c r="AB7" s="773">
        <f>D7/H7</f>
        <v>1.0256410256410255</v>
      </c>
      <c r="AC7" s="773">
        <f>D7/J7</f>
        <v>1.0362694300518134</v>
      </c>
    </row>
    <row r="8" spans="1:30" s="117" customFormat="1" ht="15" thickBot="1">
      <c r="A8" s="408" t="s">
        <v>2547</v>
      </c>
      <c r="B8" s="409"/>
      <c r="C8" s="414" t="s">
        <v>2548</v>
      </c>
      <c r="D8" s="411">
        <v>100</v>
      </c>
      <c r="E8" s="414" t="s">
        <v>3092</v>
      </c>
      <c r="F8" s="413">
        <f>SUMIF(73:73,E8,74:74)-SUMIF(73:73,C8,74:74)+100</f>
        <v>100</v>
      </c>
      <c r="G8" s="414" t="s">
        <v>3092</v>
      </c>
      <c r="H8" s="411">
        <f>SUMIF(73:73,G8,74:74)-SUMIF(73:73,C8,74:74)+100</f>
        <v>100</v>
      </c>
      <c r="I8" s="414" t="s">
        <v>3092</v>
      </c>
      <c r="J8" s="411">
        <f>SUMIF(73:73,I8,74:74)-SUMIF(73:73,C8,74:74)+100</f>
        <v>100</v>
      </c>
      <c r="K8" s="611"/>
      <c r="L8" s="1132"/>
      <c r="M8" s="1133"/>
      <c r="N8" s="1133"/>
      <c r="O8" s="1133"/>
      <c r="P8" s="3234" t="s">
        <v>2549</v>
      </c>
      <c r="Q8" s="3235"/>
      <c r="R8" s="770" t="s">
        <v>17</v>
      </c>
      <c r="S8" s="771">
        <f t="shared" si="0"/>
        <v>100</v>
      </c>
      <c r="T8" s="770" t="s">
        <v>17</v>
      </c>
      <c r="U8" s="771">
        <f t="shared" si="1"/>
        <v>100</v>
      </c>
      <c r="V8" s="770" t="s">
        <v>17</v>
      </c>
      <c r="W8" s="771">
        <f t="shared" si="2"/>
        <v>100</v>
      </c>
      <c r="X8" s="772"/>
      <c r="Y8" s="3234" t="s">
        <v>2549</v>
      </c>
      <c r="Z8" s="3235"/>
      <c r="AA8" s="773">
        <f t="shared" ref="AA8:AA45" si="3">D8/F8</f>
        <v>1</v>
      </c>
      <c r="AB8" s="773">
        <f t="shared" ref="AB8:AB45" si="4">D8/H8</f>
        <v>1</v>
      </c>
      <c r="AC8" s="773">
        <f t="shared" ref="AC8:AC45" si="5">D8/J8</f>
        <v>1</v>
      </c>
    </row>
    <row r="9" spans="1:30" s="117" customFormat="1" ht="14.4">
      <c r="A9" s="415" t="s">
        <v>2550</v>
      </c>
      <c r="B9" s="71" t="s">
        <v>2551</v>
      </c>
      <c r="C9" s="2700" t="s">
        <v>1372</v>
      </c>
      <c r="D9" s="135">
        <v>100</v>
      </c>
      <c r="E9" s="2700" t="s">
        <v>1372</v>
      </c>
      <c r="F9" s="135">
        <f>SUMIF(75:75,E9,76:76)-SUMIF(75:75,C9,76:76)+100</f>
        <v>100</v>
      </c>
      <c r="G9" s="2700" t="s">
        <v>1372</v>
      </c>
      <c r="H9" s="135">
        <f>SUMIF(75:75,G9,76:76)-SUMIF(75:75,C9,76:76)+100</f>
        <v>100</v>
      </c>
      <c r="I9" s="2700" t="s">
        <v>1372</v>
      </c>
      <c r="J9" s="135">
        <f>SUMIF(75:75,I9,76:76)-SUMIF(75:75,C9,76:76)+100</f>
        <v>100</v>
      </c>
      <c r="K9" s="611"/>
      <c r="L9" s="1132"/>
      <c r="M9" s="1133"/>
      <c r="N9" s="1133"/>
      <c r="O9" s="1134"/>
      <c r="P9" s="3249" t="s">
        <v>2552</v>
      </c>
      <c r="Q9" s="1794" t="str">
        <f t="shared" ref="Q9:Q15" si="6">B9</f>
        <v>用途</v>
      </c>
      <c r="R9" s="770" t="s">
        <v>17</v>
      </c>
      <c r="S9" s="771">
        <f t="shared" si="0"/>
        <v>100</v>
      </c>
      <c r="T9" s="770" t="s">
        <v>17</v>
      </c>
      <c r="U9" s="771">
        <f t="shared" si="1"/>
        <v>100</v>
      </c>
      <c r="V9" s="770" t="s">
        <v>17</v>
      </c>
      <c r="W9" s="771">
        <f t="shared" si="2"/>
        <v>100</v>
      </c>
      <c r="X9" s="772"/>
      <c r="Y9" s="3108" t="s">
        <v>2553</v>
      </c>
      <c r="Z9" s="55" t="str">
        <f t="shared" ref="Z9:Z15" si="7">Q9</f>
        <v>用途</v>
      </c>
      <c r="AA9" s="773">
        <f t="shared" si="3"/>
        <v>1</v>
      </c>
      <c r="AB9" s="773">
        <f t="shared" si="4"/>
        <v>1</v>
      </c>
      <c r="AC9" s="773">
        <f t="shared" si="5"/>
        <v>1</v>
      </c>
    </row>
    <row r="10" spans="1:30" s="427" customFormat="1" ht="28.8">
      <c r="A10" s="421"/>
      <c r="B10" s="422" t="s">
        <v>2554</v>
      </c>
      <c r="C10" s="432">
        <f>项目基本情况!E15</f>
        <v>36.97</v>
      </c>
      <c r="D10" s="136">
        <v>100</v>
      </c>
      <c r="E10" s="465" t="s">
        <v>3093</v>
      </c>
      <c r="F10" s="136">
        <f>ROUND(100/'数据-取费表'!G16,0)</f>
        <v>103</v>
      </c>
      <c r="G10" s="463" t="s">
        <v>3093</v>
      </c>
      <c r="H10" s="136">
        <f>ROUND(100/'数据-取费表'!G16,0)</f>
        <v>103</v>
      </c>
      <c r="I10" s="463" t="s">
        <v>3093</v>
      </c>
      <c r="J10" s="136">
        <f>ROUND(100/'数据-取费表'!G16,0)</f>
        <v>103</v>
      </c>
      <c r="K10" s="672"/>
      <c r="L10" s="1135"/>
      <c r="M10" s="1136"/>
      <c r="N10" s="1136"/>
      <c r="O10" s="1137"/>
      <c r="P10" s="3249"/>
      <c r="Q10" s="1794" t="str">
        <f t="shared" si="6"/>
        <v>土地使用年限（年）</v>
      </c>
      <c r="R10" s="770" t="s">
        <v>17</v>
      </c>
      <c r="S10" s="771">
        <f t="shared" si="0"/>
        <v>103</v>
      </c>
      <c r="T10" s="770" t="s">
        <v>17</v>
      </c>
      <c r="U10" s="771">
        <f t="shared" si="1"/>
        <v>103</v>
      </c>
      <c r="V10" s="770" t="s">
        <v>17</v>
      </c>
      <c r="W10" s="771">
        <f t="shared" si="2"/>
        <v>103</v>
      </c>
      <c r="X10" s="772"/>
      <c r="Y10" s="3108"/>
      <c r="Z10" s="55" t="str">
        <f t="shared" si="7"/>
        <v>土地使用年限（年）</v>
      </c>
      <c r="AA10" s="773">
        <f t="shared" si="3"/>
        <v>0.970873786407767</v>
      </c>
      <c r="AB10" s="773">
        <f t="shared" si="4"/>
        <v>0.970873786407767</v>
      </c>
      <c r="AC10" s="773">
        <f t="shared" si="5"/>
        <v>0.970873786407767</v>
      </c>
    </row>
    <row r="11" spans="1:30" ht="15">
      <c r="A11" s="428"/>
      <c r="B11" s="422" t="s">
        <v>2555</v>
      </c>
      <c r="C11" s="429"/>
      <c r="D11" s="136">
        <v>100</v>
      </c>
      <c r="E11" s="429"/>
      <c r="F11" s="136">
        <f>LOOKUP(E11,80:80,81:81)-LOOKUP(C11,80:80,81:81)+100</f>
        <v>100</v>
      </c>
      <c r="G11" s="430"/>
      <c r="H11" s="136">
        <f>LOOKUP(G11,80:80,81:81)-LOOKUP(C11,80:80,81:81)+100</f>
        <v>100</v>
      </c>
      <c r="I11" s="429"/>
      <c r="J11" s="136">
        <f>LOOKUP(I11,80:80,81:81)-LOOKUP(C11,80:80,81:81)+100</f>
        <v>100</v>
      </c>
      <c r="K11" s="673"/>
      <c r="L11" s="1138"/>
      <c r="M11" s="1131"/>
      <c r="N11" s="1131"/>
      <c r="O11" s="1139"/>
      <c r="P11" s="3249"/>
      <c r="Q11" s="1794" t="str">
        <f t="shared" si="6"/>
        <v>容积率</v>
      </c>
      <c r="R11" s="770" t="s">
        <v>17</v>
      </c>
      <c r="S11" s="771">
        <f t="shared" si="0"/>
        <v>100</v>
      </c>
      <c r="T11" s="770" t="s">
        <v>17</v>
      </c>
      <c r="U11" s="771">
        <f t="shared" si="1"/>
        <v>100</v>
      </c>
      <c r="V11" s="770" t="s">
        <v>17</v>
      </c>
      <c r="W11" s="771">
        <f t="shared" si="2"/>
        <v>100</v>
      </c>
      <c r="X11" s="772"/>
      <c r="Y11" s="3108"/>
      <c r="Z11" s="55" t="str">
        <f t="shared" si="7"/>
        <v>容积率</v>
      </c>
      <c r="AA11" s="773">
        <f t="shared" si="3"/>
        <v>1</v>
      </c>
      <c r="AB11" s="773">
        <f t="shared" si="4"/>
        <v>1</v>
      </c>
      <c r="AC11" s="773">
        <f t="shared" si="5"/>
        <v>1</v>
      </c>
    </row>
    <row r="12" spans="1:30" s="117" customFormat="1" ht="15" hidden="1">
      <c r="A12" s="431"/>
      <c r="B12" s="2601"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49"/>
      <c r="Q12" s="1794" t="str">
        <f t="shared" si="6"/>
        <v>配建</v>
      </c>
      <c r="R12" s="770" t="s">
        <v>17</v>
      </c>
      <c r="S12" s="771">
        <f t="shared" si="0"/>
        <v>100</v>
      </c>
      <c r="T12" s="770" t="s">
        <v>17</v>
      </c>
      <c r="U12" s="771">
        <f t="shared" si="1"/>
        <v>100</v>
      </c>
      <c r="V12" s="770" t="s">
        <v>17</v>
      </c>
      <c r="W12" s="771">
        <f t="shared" si="2"/>
        <v>100</v>
      </c>
      <c r="X12" s="772"/>
      <c r="Y12" s="3108"/>
      <c r="Z12" s="55" t="str">
        <f t="shared" si="7"/>
        <v>配建</v>
      </c>
      <c r="AA12" s="773">
        <f>D12/F12</f>
        <v>1</v>
      </c>
      <c r="AB12" s="773">
        <f>D12/H12</f>
        <v>1</v>
      </c>
      <c r="AC12" s="773">
        <f>D12/J12</f>
        <v>1</v>
      </c>
    </row>
    <row r="13" spans="1:30" ht="15" hidden="1">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49"/>
      <c r="Q13" s="1794">
        <f t="shared" si="6"/>
        <v>111</v>
      </c>
      <c r="R13" s="770" t="s">
        <v>17</v>
      </c>
      <c r="S13" s="771">
        <f t="shared" si="0"/>
        <v>100</v>
      </c>
      <c r="T13" s="770" t="s">
        <v>17</v>
      </c>
      <c r="U13" s="771">
        <f t="shared" si="1"/>
        <v>100</v>
      </c>
      <c r="V13" s="770" t="s">
        <v>17</v>
      </c>
      <c r="W13" s="771">
        <f t="shared" si="2"/>
        <v>100</v>
      </c>
      <c r="X13" s="772"/>
      <c r="Y13" s="3108"/>
      <c r="Z13" s="55">
        <f t="shared" si="7"/>
        <v>111</v>
      </c>
      <c r="AA13" s="773">
        <f>D13/F13</f>
        <v>1</v>
      </c>
      <c r="AB13" s="773">
        <f>D13/H13</f>
        <v>1</v>
      </c>
      <c r="AC13" s="773">
        <f>D13/J13</f>
        <v>1</v>
      </c>
    </row>
    <row r="14" spans="1:30" ht="15.6" hidden="1"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49"/>
      <c r="Q14" s="1794">
        <f t="shared" si="6"/>
        <v>111</v>
      </c>
      <c r="R14" s="770" t="s">
        <v>17</v>
      </c>
      <c r="S14" s="771">
        <f t="shared" si="0"/>
        <v>100</v>
      </c>
      <c r="T14" s="770" t="s">
        <v>17</v>
      </c>
      <c r="U14" s="771">
        <f t="shared" si="1"/>
        <v>100</v>
      </c>
      <c r="V14" s="770" t="s">
        <v>17</v>
      </c>
      <c r="W14" s="771">
        <f t="shared" si="2"/>
        <v>100</v>
      </c>
      <c r="X14" s="772"/>
      <c r="Y14" s="3108"/>
      <c r="Z14" s="55">
        <f t="shared" si="7"/>
        <v>111</v>
      </c>
      <c r="AA14" s="773">
        <f>D14/F14</f>
        <v>1</v>
      </c>
      <c r="AB14" s="773">
        <f>D14/H14</f>
        <v>1</v>
      </c>
      <c r="AC14" s="773">
        <f>D14/J14</f>
        <v>1</v>
      </c>
    </row>
    <row r="15" spans="1:30" ht="96.6" hidden="1">
      <c r="A15" s="440" t="s">
        <v>2556</v>
      </c>
      <c r="B15" s="69" t="s">
        <v>2080</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64" t="s">
        <v>2557</v>
      </c>
      <c r="Q15" s="1809" t="str">
        <f t="shared" si="6"/>
        <v>居住社区成熟度</v>
      </c>
      <c r="R15" s="774" t="s">
        <v>17</v>
      </c>
      <c r="S15" s="775">
        <f t="shared" si="0"/>
        <v>100</v>
      </c>
      <c r="T15" s="774" t="s">
        <v>17</v>
      </c>
      <c r="U15" s="775">
        <f t="shared" si="1"/>
        <v>100</v>
      </c>
      <c r="V15" s="774" t="s">
        <v>17</v>
      </c>
      <c r="W15" s="775">
        <f t="shared" si="2"/>
        <v>100</v>
      </c>
      <c r="X15" s="1812"/>
      <c r="Y15" s="3264" t="s">
        <v>2557</v>
      </c>
      <c r="Z15" s="1813" t="str">
        <f t="shared" si="7"/>
        <v>居住社区成熟度</v>
      </c>
      <c r="AA15" s="1810">
        <f t="shared" si="3"/>
        <v>1</v>
      </c>
      <c r="AB15" s="1810">
        <f t="shared" si="4"/>
        <v>1</v>
      </c>
      <c r="AC15" s="1810">
        <f t="shared" si="5"/>
        <v>1</v>
      </c>
    </row>
    <row r="16" spans="1:30" ht="15" hidden="1">
      <c r="A16" s="428"/>
      <c r="B16" s="446"/>
      <c r="C16" s="447"/>
      <c r="D16" s="448"/>
      <c r="E16" s="2606"/>
      <c r="F16" s="448"/>
      <c r="G16" s="2606"/>
      <c r="H16" s="450"/>
      <c r="I16" s="2605"/>
      <c r="J16" s="448"/>
      <c r="K16" s="672"/>
      <c r="L16" s="1140"/>
      <c r="M16" s="1131"/>
      <c r="N16" s="1131"/>
      <c r="O16" s="1139"/>
      <c r="P16" s="3265"/>
      <c r="Q16" s="1809"/>
      <c r="R16" s="774"/>
      <c r="S16" s="775"/>
      <c r="T16" s="774"/>
      <c r="U16" s="775"/>
      <c r="V16" s="774"/>
      <c r="W16" s="775"/>
      <c r="X16" s="1812"/>
      <c r="Y16" s="3265"/>
      <c r="Z16" s="1813"/>
      <c r="AA16" s="1810">
        <v>1</v>
      </c>
      <c r="AB16" s="1810">
        <v>1</v>
      </c>
      <c r="AC16" s="1810">
        <v>1</v>
      </c>
    </row>
    <row r="17" spans="1:29" ht="69">
      <c r="A17" s="428"/>
      <c r="B17" s="451" t="s">
        <v>2650</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65"/>
      <c r="Q17" s="1809" t="str">
        <f>B17</f>
        <v>商业繁华度</v>
      </c>
      <c r="R17" s="774" t="s">
        <v>17</v>
      </c>
      <c r="S17" s="775">
        <f>F17</f>
        <v>100</v>
      </c>
      <c r="T17" s="774" t="s">
        <v>17</v>
      </c>
      <c r="U17" s="775">
        <f>H17</f>
        <v>100</v>
      </c>
      <c r="V17" s="774" t="s">
        <v>17</v>
      </c>
      <c r="W17" s="775">
        <f>J17</f>
        <v>100</v>
      </c>
      <c r="X17" s="1812"/>
      <c r="Y17" s="3265"/>
      <c r="Z17" s="1813" t="str">
        <f>Q17</f>
        <v>商业繁华度</v>
      </c>
      <c r="AA17" s="1810">
        <f t="shared" si="3"/>
        <v>1</v>
      </c>
      <c r="AB17" s="1810">
        <f t="shared" si="4"/>
        <v>1</v>
      </c>
      <c r="AC17" s="1810">
        <f t="shared" si="5"/>
        <v>1</v>
      </c>
    </row>
    <row r="18" spans="1:29" ht="15">
      <c r="A18" s="428"/>
      <c r="B18" s="456"/>
      <c r="C18" s="2609" t="s">
        <v>3112</v>
      </c>
      <c r="D18" s="450"/>
      <c r="E18" s="2609" t="s">
        <v>3112</v>
      </c>
      <c r="F18" s="450"/>
      <c r="G18" s="2609" t="s">
        <v>3112</v>
      </c>
      <c r="H18" s="448"/>
      <c r="I18" s="2609" t="s">
        <v>3112</v>
      </c>
      <c r="J18" s="448"/>
      <c r="K18" s="672"/>
      <c r="L18" s="1140"/>
      <c r="M18" s="1131"/>
      <c r="N18" s="1131"/>
      <c r="O18" s="1139"/>
      <c r="P18" s="3265"/>
      <c r="Q18" s="1809"/>
      <c r="R18" s="774"/>
      <c r="S18" s="775"/>
      <c r="T18" s="774"/>
      <c r="U18" s="775"/>
      <c r="V18" s="774"/>
      <c r="W18" s="775"/>
      <c r="X18" s="1812"/>
      <c r="Y18" s="3265"/>
      <c r="Z18" s="1813"/>
      <c r="AA18" s="1810">
        <v>1</v>
      </c>
      <c r="AB18" s="1810">
        <v>1</v>
      </c>
      <c r="AC18" s="1810">
        <v>1</v>
      </c>
    </row>
    <row r="19" spans="1:29" ht="69" hidden="1">
      <c r="A19" s="428"/>
      <c r="B19" s="451" t="s">
        <v>2684</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65"/>
      <c r="Q19" s="1809" t="str">
        <f>B19</f>
        <v>办公集聚程度</v>
      </c>
      <c r="R19" s="774" t="s">
        <v>17</v>
      </c>
      <c r="S19" s="775">
        <f>F19</f>
        <v>100</v>
      </c>
      <c r="T19" s="774" t="s">
        <v>17</v>
      </c>
      <c r="U19" s="775">
        <f>H19</f>
        <v>100</v>
      </c>
      <c r="V19" s="774" t="s">
        <v>17</v>
      </c>
      <c r="W19" s="775">
        <f>J19</f>
        <v>100</v>
      </c>
      <c r="X19" s="1812"/>
      <c r="Y19" s="3265"/>
      <c r="Z19" s="1813" t="str">
        <f>Q19</f>
        <v>办公集聚程度</v>
      </c>
      <c r="AA19" s="1810">
        <f t="shared" si="3"/>
        <v>1</v>
      </c>
      <c r="AB19" s="1810">
        <f t="shared" si="4"/>
        <v>1</v>
      </c>
      <c r="AC19" s="1810">
        <f t="shared" si="5"/>
        <v>1</v>
      </c>
    </row>
    <row r="20" spans="1:29" ht="15" hidden="1">
      <c r="A20" s="428"/>
      <c r="B20" s="456"/>
      <c r="C20" s="447"/>
      <c r="D20" s="448"/>
      <c r="E20" s="2606"/>
      <c r="F20" s="448"/>
      <c r="G20" s="2606"/>
      <c r="H20" s="448"/>
      <c r="I20" s="2605"/>
      <c r="J20" s="448"/>
      <c r="K20" s="672"/>
      <c r="L20" s="1140"/>
      <c r="M20" s="1131"/>
      <c r="N20" s="1131"/>
      <c r="O20" s="1139"/>
      <c r="P20" s="3265"/>
      <c r="Q20" s="1809"/>
      <c r="R20" s="774"/>
      <c r="S20" s="775"/>
      <c r="T20" s="774"/>
      <c r="U20" s="775"/>
      <c r="V20" s="774"/>
      <c r="W20" s="775"/>
      <c r="X20" s="1812"/>
      <c r="Y20" s="3265"/>
      <c r="Z20" s="1813"/>
      <c r="AA20" s="1810">
        <v>1</v>
      </c>
      <c r="AB20" s="1810">
        <v>1</v>
      </c>
      <c r="AC20" s="1810">
        <v>1</v>
      </c>
    </row>
    <row r="21" spans="1:29" ht="82.8">
      <c r="A21" s="428"/>
      <c r="B21" s="451" t="s">
        <v>2706</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65"/>
      <c r="Q21" s="1809" t="str">
        <f>B21</f>
        <v>交通便捷度</v>
      </c>
      <c r="R21" s="774" t="s">
        <v>17</v>
      </c>
      <c r="S21" s="775">
        <f>F21</f>
        <v>100</v>
      </c>
      <c r="T21" s="774" t="s">
        <v>17</v>
      </c>
      <c r="U21" s="775">
        <f>H21</f>
        <v>100</v>
      </c>
      <c r="V21" s="774" t="s">
        <v>17</v>
      </c>
      <c r="W21" s="775">
        <f>J21</f>
        <v>100</v>
      </c>
      <c r="X21" s="1812"/>
      <c r="Y21" s="3265"/>
      <c r="Z21" s="1813" t="str">
        <f>Q21</f>
        <v>交通便捷度</v>
      </c>
      <c r="AA21" s="1810">
        <f t="shared" si="3"/>
        <v>1</v>
      </c>
      <c r="AB21" s="1810">
        <f t="shared" si="4"/>
        <v>1</v>
      </c>
      <c r="AC21" s="1810">
        <f t="shared" si="5"/>
        <v>1</v>
      </c>
    </row>
    <row r="22" spans="1:29" ht="15">
      <c r="A22" s="428"/>
      <c r="B22" s="1384"/>
      <c r="C22" s="447" t="s">
        <v>3112</v>
      </c>
      <c r="D22" s="450"/>
      <c r="E22" s="2609" t="s">
        <v>3112</v>
      </c>
      <c r="F22" s="448"/>
      <c r="G22" s="2609" t="s">
        <v>3112</v>
      </c>
      <c r="H22" s="448"/>
      <c r="I22" s="2609" t="s">
        <v>3112</v>
      </c>
      <c r="J22" s="448"/>
      <c r="K22" s="672"/>
      <c r="L22" s="1140"/>
      <c r="M22" s="1131"/>
      <c r="N22" s="1131"/>
      <c r="O22" s="1139"/>
      <c r="P22" s="3265"/>
      <c r="Q22" s="1809"/>
      <c r="R22" s="774"/>
      <c r="S22" s="775"/>
      <c r="T22" s="774"/>
      <c r="U22" s="775"/>
      <c r="V22" s="774"/>
      <c r="W22" s="775"/>
      <c r="X22" s="1812"/>
      <c r="Y22" s="3265"/>
      <c r="Z22" s="1813"/>
      <c r="AA22" s="1810">
        <v>1</v>
      </c>
      <c r="AB22" s="1810">
        <v>1</v>
      </c>
      <c r="AC22" s="1810">
        <v>1</v>
      </c>
    </row>
    <row r="23" spans="1:29" ht="28.8">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65"/>
      <c r="Q23" s="1809" t="str">
        <f t="shared" ref="Q23:Q37" si="8">B23</f>
        <v>区域土地利用方向</v>
      </c>
      <c r="R23" s="774" t="s">
        <v>17</v>
      </c>
      <c r="S23" s="775">
        <f>F23</f>
        <v>100</v>
      </c>
      <c r="T23" s="774" t="s">
        <v>17</v>
      </c>
      <c r="U23" s="775">
        <f>H23</f>
        <v>100</v>
      </c>
      <c r="V23" s="774" t="s">
        <v>17</v>
      </c>
      <c r="W23" s="775">
        <f>J23</f>
        <v>100</v>
      </c>
      <c r="X23" s="1812"/>
      <c r="Y23" s="3265"/>
      <c r="Z23" s="1813" t="str">
        <f>Q23</f>
        <v>区域土地利用方向</v>
      </c>
      <c r="AA23" s="1810">
        <f t="shared" si="3"/>
        <v>1</v>
      </c>
      <c r="AB23" s="1810">
        <f t="shared" si="4"/>
        <v>1</v>
      </c>
      <c r="AC23" s="1810">
        <f t="shared" si="5"/>
        <v>1</v>
      </c>
    </row>
    <row r="24" spans="1:29" ht="15">
      <c r="A24" s="404"/>
      <c r="B24" s="456"/>
      <c r="C24" s="616" t="s">
        <v>3112</v>
      </c>
      <c r="D24" s="448"/>
      <c r="E24" s="2609" t="s">
        <v>3112</v>
      </c>
      <c r="F24" s="448"/>
      <c r="G24" s="2609" t="s">
        <v>3112</v>
      </c>
      <c r="H24" s="448"/>
      <c r="I24" s="2609" t="s">
        <v>3112</v>
      </c>
      <c r="J24" s="448"/>
      <c r="K24" s="812"/>
      <c r="L24" s="1140"/>
      <c r="M24" s="1131"/>
      <c r="N24" s="1131"/>
      <c r="O24" s="1139"/>
      <c r="P24" s="3265"/>
      <c r="Q24" s="1809"/>
      <c r="R24" s="774"/>
      <c r="S24" s="775"/>
      <c r="T24" s="774"/>
      <c r="U24" s="775"/>
      <c r="V24" s="774"/>
      <c r="W24" s="775"/>
      <c r="X24" s="1812"/>
      <c r="Y24" s="3265"/>
      <c r="Z24" s="1813"/>
      <c r="AA24" s="1810"/>
      <c r="AB24" s="1810"/>
      <c r="AC24" s="1810"/>
    </row>
    <row r="25" spans="1:29" ht="55.2">
      <c r="A25" s="404"/>
      <c r="B25" s="1384" t="s">
        <v>2746</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65"/>
      <c r="Q25" s="1809" t="str">
        <f t="shared" si="8"/>
        <v>自然及人文环境状况</v>
      </c>
      <c r="R25" s="774" t="s">
        <v>17</v>
      </c>
      <c r="S25" s="775">
        <f>F25</f>
        <v>100</v>
      </c>
      <c r="T25" s="774" t="s">
        <v>17</v>
      </c>
      <c r="U25" s="775">
        <f>H25</f>
        <v>100</v>
      </c>
      <c r="V25" s="774" t="s">
        <v>17</v>
      </c>
      <c r="W25" s="775">
        <f>J25</f>
        <v>100</v>
      </c>
      <c r="X25" s="1812"/>
      <c r="Y25" s="3265"/>
      <c r="Z25" s="1813" t="str">
        <f>Q25</f>
        <v>自然及人文环境状况</v>
      </c>
      <c r="AA25" s="1810">
        <f t="shared" si="3"/>
        <v>1</v>
      </c>
      <c r="AB25" s="1810">
        <f t="shared" si="4"/>
        <v>1</v>
      </c>
      <c r="AC25" s="1810">
        <f t="shared" si="5"/>
        <v>1</v>
      </c>
    </row>
    <row r="26" spans="1:29" ht="15">
      <c r="A26" s="404"/>
      <c r="B26" s="456"/>
      <c r="C26" s="447" t="s">
        <v>3112</v>
      </c>
      <c r="D26" s="448"/>
      <c r="E26" s="2609" t="s">
        <v>3112</v>
      </c>
      <c r="F26" s="448"/>
      <c r="G26" s="2609" t="s">
        <v>3112</v>
      </c>
      <c r="H26" s="448"/>
      <c r="I26" s="2609" t="s">
        <v>3112</v>
      </c>
      <c r="J26" s="448"/>
      <c r="K26" s="672"/>
      <c r="L26" s="1140"/>
      <c r="M26" s="1131"/>
      <c r="N26" s="1131"/>
      <c r="O26" s="1139"/>
      <c r="P26" s="3265"/>
      <c r="Q26" s="1809"/>
      <c r="R26" s="774"/>
      <c r="S26" s="775"/>
      <c r="T26" s="774"/>
      <c r="U26" s="775"/>
      <c r="V26" s="774"/>
      <c r="W26" s="775"/>
      <c r="X26" s="1812"/>
      <c r="Y26" s="3265"/>
      <c r="Z26" s="1813"/>
      <c r="AA26" s="1810">
        <v>1</v>
      </c>
      <c r="AB26" s="1810">
        <v>1</v>
      </c>
      <c r="AC26" s="1810">
        <v>1</v>
      </c>
    </row>
    <row r="27" spans="1:29" s="117" customFormat="1" ht="41.4">
      <c r="A27" s="649"/>
      <c r="B27" s="1384" t="s">
        <v>2651</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65"/>
      <c r="Q27" s="1794" t="str">
        <f t="shared" si="8"/>
        <v>公共配套设施</v>
      </c>
      <c r="R27" s="770" t="s">
        <v>17</v>
      </c>
      <c r="S27" s="771">
        <f>F27</f>
        <v>100</v>
      </c>
      <c r="T27" s="770" t="s">
        <v>17</v>
      </c>
      <c r="U27" s="771">
        <f>H27</f>
        <v>100</v>
      </c>
      <c r="V27" s="770" t="s">
        <v>17</v>
      </c>
      <c r="W27" s="771">
        <f>J27</f>
        <v>100</v>
      </c>
      <c r="X27" s="772"/>
      <c r="Y27" s="3265"/>
      <c r="Z27" s="55" t="str">
        <f>Q27</f>
        <v>公共配套设施</v>
      </c>
      <c r="AA27" s="1810">
        <f>D27/F27</f>
        <v>1</v>
      </c>
      <c r="AB27" s="1810">
        <f>D27/H27</f>
        <v>1</v>
      </c>
      <c r="AC27" s="1810">
        <f>D27/J27</f>
        <v>1</v>
      </c>
    </row>
    <row r="28" spans="1:29" s="117" customFormat="1" ht="15">
      <c r="A28" s="649"/>
      <c r="B28" s="456"/>
      <c r="C28" s="2701" t="s">
        <v>3112</v>
      </c>
      <c r="D28" s="448"/>
      <c r="E28" s="2609" t="s">
        <v>3112</v>
      </c>
      <c r="F28" s="448"/>
      <c r="G28" s="2609" t="s">
        <v>3112</v>
      </c>
      <c r="H28" s="448"/>
      <c r="I28" s="2609" t="s">
        <v>3112</v>
      </c>
      <c r="J28" s="448"/>
      <c r="K28" s="672"/>
      <c r="L28" s="1132"/>
      <c r="M28" s="1133"/>
      <c r="N28" s="1133"/>
      <c r="O28" s="1134"/>
      <c r="P28" s="3265"/>
      <c r="Q28" s="1794"/>
      <c r="R28" s="770"/>
      <c r="S28" s="771"/>
      <c r="T28" s="770"/>
      <c r="U28" s="771"/>
      <c r="V28" s="770"/>
      <c r="W28" s="771"/>
      <c r="X28" s="772"/>
      <c r="Y28" s="3265"/>
      <c r="Z28" s="55"/>
      <c r="AA28" s="1810">
        <v>1</v>
      </c>
      <c r="AB28" s="1810">
        <v>1</v>
      </c>
      <c r="AC28" s="1810">
        <v>1</v>
      </c>
    </row>
    <row r="29" spans="1:29" s="117" customFormat="1" ht="27.6">
      <c r="A29" s="649"/>
      <c r="B29" s="1384" t="s">
        <v>2652</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65"/>
      <c r="Q29" s="1794" t="str">
        <f t="shared" ref="Q29" si="9">B29</f>
        <v>基础设施水平</v>
      </c>
      <c r="R29" s="770" t="s">
        <v>17</v>
      </c>
      <c r="S29" s="771">
        <f>F29</f>
        <v>100</v>
      </c>
      <c r="T29" s="770" t="s">
        <v>17</v>
      </c>
      <c r="U29" s="771">
        <f>H29</f>
        <v>100</v>
      </c>
      <c r="V29" s="770" t="s">
        <v>17</v>
      </c>
      <c r="W29" s="771">
        <f>J29</f>
        <v>100</v>
      </c>
      <c r="X29" s="772"/>
      <c r="Y29" s="3265"/>
      <c r="Z29" s="55" t="str">
        <f>Q29</f>
        <v>基础设施水平</v>
      </c>
      <c r="AA29" s="1810">
        <f>D29/F29</f>
        <v>1</v>
      </c>
      <c r="AB29" s="1810">
        <f>D29/H29</f>
        <v>1</v>
      </c>
      <c r="AC29" s="1810">
        <f>D29/J29</f>
        <v>1</v>
      </c>
    </row>
    <row r="30" spans="1:29" s="117" customFormat="1" ht="15">
      <c r="A30" s="649"/>
      <c r="B30" s="456"/>
      <c r="C30" s="2701" t="s">
        <v>3108</v>
      </c>
      <c r="D30" s="448"/>
      <c r="E30" s="2701" t="s">
        <v>3108</v>
      </c>
      <c r="F30" s="448"/>
      <c r="G30" s="2701" t="s">
        <v>3108</v>
      </c>
      <c r="H30" s="448"/>
      <c r="I30" s="2701" t="s">
        <v>3108</v>
      </c>
      <c r="J30" s="448"/>
      <c r="K30" s="672"/>
      <c r="L30" s="1132"/>
      <c r="M30" s="1133"/>
      <c r="N30" s="1133"/>
      <c r="O30" s="1134"/>
      <c r="P30" s="3265"/>
      <c r="Q30" s="1794"/>
      <c r="R30" s="770"/>
      <c r="S30" s="771"/>
      <c r="T30" s="770"/>
      <c r="U30" s="771"/>
      <c r="V30" s="770"/>
      <c r="W30" s="771"/>
      <c r="X30" s="772"/>
      <c r="Y30" s="3265"/>
      <c r="Z30" s="55"/>
      <c r="AA30" s="1810">
        <v>1</v>
      </c>
      <c r="AB30" s="1810">
        <v>1</v>
      </c>
      <c r="AC30" s="1810">
        <v>1</v>
      </c>
    </row>
    <row r="31" spans="1:29" ht="15">
      <c r="A31" s="428"/>
      <c r="B31" s="456" t="s">
        <v>2653</v>
      </c>
      <c r="C31" s="616" t="s">
        <v>3116</v>
      </c>
      <c r="D31" s="435">
        <v>100</v>
      </c>
      <c r="E31" s="616" t="s">
        <v>3116</v>
      </c>
      <c r="F31" s="435">
        <f>SUMIF(104:104,E31,105:105)-SUMIF(104:104,C31,105:105)+100</f>
        <v>100</v>
      </c>
      <c r="G31" s="616" t="s">
        <v>3116</v>
      </c>
      <c r="H31" s="435">
        <f>SUMIF(104:104,G31,105:105)-SUMIF(104:104,C31,105:105)+100</f>
        <v>100</v>
      </c>
      <c r="I31" s="616" t="s">
        <v>3116</v>
      </c>
      <c r="J31" s="435">
        <f>SUMIF(104:104,I31,105:105)-SUMIF(104:104,C31,105:105)+100</f>
        <v>100</v>
      </c>
      <c r="K31" s="673"/>
      <c r="L31" s="1140"/>
      <c r="M31" s="1131"/>
      <c r="N31" s="1131"/>
      <c r="O31" s="1139"/>
      <c r="P31" s="3265"/>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65"/>
      <c r="Z31" s="1813" t="str">
        <f t="shared" ref="Z31:Z45" si="13">Q31</f>
        <v>临街状况</v>
      </c>
      <c r="AA31" s="1810">
        <f t="shared" si="3"/>
        <v>1</v>
      </c>
      <c r="AB31" s="1810">
        <f t="shared" si="4"/>
        <v>1</v>
      </c>
      <c r="AC31" s="1810">
        <f t="shared" si="5"/>
        <v>1</v>
      </c>
    </row>
    <row r="32" spans="1:29" ht="28.8">
      <c r="A32" s="428"/>
      <c r="B32" s="1384" t="s">
        <v>2688</v>
      </c>
      <c r="C32" s="2970" t="s">
        <v>3262</v>
      </c>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65"/>
      <c r="Q32" s="1809" t="str">
        <f t="shared" si="8"/>
        <v>毗邻道路的类型与等级</v>
      </c>
      <c r="R32" s="774" t="s">
        <v>17</v>
      </c>
      <c r="S32" s="775">
        <f t="shared" si="10"/>
        <v>100</v>
      </c>
      <c r="T32" s="774" t="s">
        <v>17</v>
      </c>
      <c r="U32" s="775">
        <f t="shared" si="11"/>
        <v>100</v>
      </c>
      <c r="V32" s="774" t="s">
        <v>17</v>
      </c>
      <c r="W32" s="775">
        <f t="shared" si="12"/>
        <v>100</v>
      </c>
      <c r="X32" s="1812"/>
      <c r="Y32" s="3265"/>
      <c r="Z32" s="1813" t="str">
        <f t="shared" si="13"/>
        <v>毗邻道路的类型与等级</v>
      </c>
      <c r="AA32" s="1810">
        <f t="shared" si="3"/>
        <v>1</v>
      </c>
      <c r="AB32" s="1810">
        <f t="shared" si="4"/>
        <v>1</v>
      </c>
      <c r="AC32" s="1810">
        <f t="shared" si="5"/>
        <v>1</v>
      </c>
    </row>
    <row r="33" spans="1:29" ht="15">
      <c r="A33" s="428"/>
      <c r="B33" s="456"/>
      <c r="C33" s="447" t="s">
        <v>3261</v>
      </c>
      <c r="D33" s="448"/>
      <c r="E33" s="447" t="s">
        <v>3261</v>
      </c>
      <c r="F33" s="448"/>
      <c r="G33" s="447" t="s">
        <v>3261</v>
      </c>
      <c r="H33" s="448"/>
      <c r="I33" s="447" t="s">
        <v>3261</v>
      </c>
      <c r="J33" s="448"/>
      <c r="K33" s="613"/>
      <c r="L33" s="1140"/>
      <c r="M33" s="1131"/>
      <c r="N33" s="1131"/>
      <c r="O33" s="1139"/>
      <c r="P33" s="3265"/>
      <c r="Q33" s="1809"/>
      <c r="R33" s="774"/>
      <c r="S33" s="775"/>
      <c r="T33" s="774"/>
      <c r="U33" s="775"/>
      <c r="V33" s="774"/>
      <c r="W33" s="775"/>
      <c r="X33" s="1812"/>
      <c r="Y33" s="3265"/>
      <c r="Z33" s="1813"/>
      <c r="AA33" s="1810">
        <v>1</v>
      </c>
      <c r="AB33" s="1810">
        <v>1</v>
      </c>
      <c r="AC33" s="1810">
        <v>1</v>
      </c>
    </row>
    <row r="34" spans="1:29" ht="15.6" thickBot="1">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65"/>
      <c r="Q34" s="1809" t="str">
        <f t="shared" si="8"/>
        <v>土地级别</v>
      </c>
      <c r="R34" s="774" t="s">
        <v>17</v>
      </c>
      <c r="S34" s="775">
        <f t="shared" si="10"/>
        <v>100</v>
      </c>
      <c r="T34" s="774" t="s">
        <v>17</v>
      </c>
      <c r="U34" s="775">
        <f t="shared" si="11"/>
        <v>100</v>
      </c>
      <c r="V34" s="774" t="s">
        <v>17</v>
      </c>
      <c r="W34" s="775">
        <f t="shared" si="12"/>
        <v>100</v>
      </c>
      <c r="X34" s="1812"/>
      <c r="Y34" s="3265"/>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65"/>
      <c r="Q35" s="1809">
        <f t="shared" si="8"/>
        <v>111</v>
      </c>
      <c r="R35" s="774" t="s">
        <v>17</v>
      </c>
      <c r="S35" s="775">
        <f t="shared" si="10"/>
        <v>100</v>
      </c>
      <c r="T35" s="774" t="s">
        <v>17</v>
      </c>
      <c r="U35" s="775">
        <f t="shared" si="11"/>
        <v>100</v>
      </c>
      <c r="V35" s="774" t="s">
        <v>17</v>
      </c>
      <c r="W35" s="775">
        <f t="shared" si="12"/>
        <v>100</v>
      </c>
      <c r="X35" s="1812"/>
      <c r="Y35" s="3265"/>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6" t="s">
        <v>2562</v>
      </c>
      <c r="Q36" s="1809">
        <f t="shared" si="8"/>
        <v>111</v>
      </c>
      <c r="R36" s="774" t="s">
        <v>17</v>
      </c>
      <c r="S36" s="775">
        <f t="shared" si="10"/>
        <v>100</v>
      </c>
      <c r="T36" s="774" t="s">
        <v>17</v>
      </c>
      <c r="U36" s="775">
        <f t="shared" si="11"/>
        <v>100</v>
      </c>
      <c r="V36" s="774" t="s">
        <v>17</v>
      </c>
      <c r="W36" s="775">
        <f t="shared" si="12"/>
        <v>100</v>
      </c>
      <c r="X36" s="1812"/>
      <c r="Y36" s="3267" t="s">
        <v>2562</v>
      </c>
      <c r="Z36" s="1813">
        <f t="shared" si="13"/>
        <v>111</v>
      </c>
      <c r="AA36" s="1810">
        <f t="shared" si="3"/>
        <v>1</v>
      </c>
      <c r="AB36" s="1810">
        <f t="shared" si="4"/>
        <v>1</v>
      </c>
      <c r="AC36" s="1810">
        <f t="shared" si="5"/>
        <v>1</v>
      </c>
    </row>
    <row r="37" spans="1:29" s="471" customFormat="1" ht="15.6"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67"/>
      <c r="Q37" s="1809">
        <f t="shared" si="8"/>
        <v>111</v>
      </c>
      <c r="R37" s="777" t="s">
        <v>17</v>
      </c>
      <c r="S37" s="778">
        <f t="shared" si="10"/>
        <v>100</v>
      </c>
      <c r="T37" s="777" t="s">
        <v>17</v>
      </c>
      <c r="U37" s="778">
        <f t="shared" si="11"/>
        <v>100</v>
      </c>
      <c r="V37" s="777" t="s">
        <v>17</v>
      </c>
      <c r="W37" s="778">
        <f t="shared" si="12"/>
        <v>100</v>
      </c>
      <c r="X37" s="779"/>
      <c r="Y37" s="3267"/>
      <c r="Z37" s="780">
        <f t="shared" si="13"/>
        <v>111</v>
      </c>
      <c r="AA37" s="1810">
        <f t="shared" si="3"/>
        <v>1</v>
      </c>
      <c r="AB37" s="1810">
        <f t="shared" si="4"/>
        <v>1</v>
      </c>
      <c r="AC37" s="1810">
        <f t="shared" si="5"/>
        <v>1</v>
      </c>
    </row>
    <row r="38" spans="1:29" ht="15.6">
      <c r="A38" s="472" t="s">
        <v>2560</v>
      </c>
      <c r="B38" s="456" t="s">
        <v>2748</v>
      </c>
      <c r="C38" s="679"/>
      <c r="D38" s="467">
        <v>100</v>
      </c>
      <c r="E38" s="679"/>
      <c r="F38" s="467">
        <f>LOOKUP(E38,117:117,118:118)-LOOKUP(C38,117:117,118:118)+100</f>
        <v>100</v>
      </c>
      <c r="G38" s="679"/>
      <c r="H38" s="467">
        <f>LOOKUP(G38,117:117,118:118)-LOOKUP(C38,117:117,118:118)+100</f>
        <v>100</v>
      </c>
      <c r="I38" s="530"/>
      <c r="J38" s="467">
        <f>LOOKUP(I38,117:117,118:118)-LOOKUP(C38,117:117,118:118)+100</f>
        <v>100</v>
      </c>
      <c r="K38" s="613"/>
      <c r="L38" s="1140"/>
      <c r="M38" s="1131"/>
      <c r="N38" s="1131"/>
      <c r="O38" s="1139"/>
      <c r="P38" s="3267"/>
      <c r="Q38" s="1809" t="str">
        <f>B38</f>
        <v>宗地面积</v>
      </c>
      <c r="R38" s="774" t="s">
        <v>17</v>
      </c>
      <c r="S38" s="775">
        <f t="shared" si="10"/>
        <v>100</v>
      </c>
      <c r="T38" s="774" t="s">
        <v>17</v>
      </c>
      <c r="U38" s="775">
        <f t="shared" si="11"/>
        <v>100</v>
      </c>
      <c r="V38" s="774" t="s">
        <v>17</v>
      </c>
      <c r="W38" s="775">
        <f t="shared" si="12"/>
        <v>100</v>
      </c>
      <c r="X38" s="1812"/>
      <c r="Y38" s="3267"/>
      <c r="Z38" s="1813" t="str">
        <f t="shared" si="13"/>
        <v>宗地面积</v>
      </c>
      <c r="AA38" s="1810">
        <f t="shared" si="3"/>
        <v>1</v>
      </c>
      <c r="AB38" s="1810">
        <f t="shared" si="4"/>
        <v>1</v>
      </c>
      <c r="AC38" s="1810">
        <f t="shared" si="5"/>
        <v>1</v>
      </c>
    </row>
    <row r="39" spans="1:29" ht="15">
      <c r="A39" s="472"/>
      <c r="B39" s="422" t="s">
        <v>2749</v>
      </c>
      <c r="C39" s="2614" t="s">
        <v>3263</v>
      </c>
      <c r="D39" s="435">
        <v>100</v>
      </c>
      <c r="E39" s="2614" t="s">
        <v>3263</v>
      </c>
      <c r="F39" s="435">
        <f>SUMIF(119:119,E39,120:120)-SUMIF(119:119,C39,120:120)+100</f>
        <v>100</v>
      </c>
      <c r="G39" s="2614" t="s">
        <v>3263</v>
      </c>
      <c r="H39" s="435">
        <f>SUMIF(119:119,G39,120:120)-SUMIF(119:119,C39,120:120)+100</f>
        <v>100</v>
      </c>
      <c r="I39" s="2614" t="s">
        <v>3263</v>
      </c>
      <c r="J39" s="435">
        <f>SUMIF(119:119,I39,120:120)-SUMIF(119:119,C39,120:120)+100</f>
        <v>100</v>
      </c>
      <c r="K39" s="612"/>
      <c r="L39" s="1140"/>
      <c r="M39" s="1131"/>
      <c r="N39" s="1131"/>
      <c r="O39" s="1139"/>
      <c r="P39" s="3267"/>
      <c r="Q39" s="1809" t="str">
        <f t="shared" ref="Q39:Q45" si="14">B39</f>
        <v>宗地形状</v>
      </c>
      <c r="R39" s="774" t="s">
        <v>17</v>
      </c>
      <c r="S39" s="775">
        <f t="shared" si="10"/>
        <v>100</v>
      </c>
      <c r="T39" s="774" t="s">
        <v>17</v>
      </c>
      <c r="U39" s="775">
        <f t="shared" si="11"/>
        <v>100</v>
      </c>
      <c r="V39" s="774" t="s">
        <v>17</v>
      </c>
      <c r="W39" s="775">
        <f t="shared" si="12"/>
        <v>100</v>
      </c>
      <c r="X39" s="1812"/>
      <c r="Y39" s="3267"/>
      <c r="Z39" s="1813" t="str">
        <f t="shared" si="13"/>
        <v>宗地形状</v>
      </c>
      <c r="AA39" s="1810">
        <f t="shared" si="3"/>
        <v>1</v>
      </c>
      <c r="AB39" s="1810">
        <f t="shared" si="4"/>
        <v>1</v>
      </c>
      <c r="AC39" s="1810">
        <f t="shared" si="5"/>
        <v>1</v>
      </c>
    </row>
    <row r="40" spans="1:29" ht="15">
      <c r="A40" s="472"/>
      <c r="B40" s="422" t="s">
        <v>2750</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267"/>
      <c r="Q40" s="1809" t="str">
        <f t="shared" si="14"/>
        <v>临街宽度及深度</v>
      </c>
      <c r="R40" s="774" t="s">
        <v>17</v>
      </c>
      <c r="S40" s="775">
        <f t="shared" si="10"/>
        <v>100</v>
      </c>
      <c r="T40" s="774" t="s">
        <v>17</v>
      </c>
      <c r="U40" s="775">
        <f t="shared" si="11"/>
        <v>100</v>
      </c>
      <c r="V40" s="774" t="s">
        <v>17</v>
      </c>
      <c r="W40" s="775">
        <f t="shared" si="12"/>
        <v>100</v>
      </c>
      <c r="X40" s="1812"/>
      <c r="Y40" s="3267"/>
      <c r="Z40" s="1813" t="str">
        <f t="shared" si="13"/>
        <v>临街宽度及深度</v>
      </c>
      <c r="AA40" s="1810">
        <f t="shared" si="3"/>
        <v>1</v>
      </c>
      <c r="AB40" s="1810">
        <f t="shared" si="4"/>
        <v>1</v>
      </c>
      <c r="AC40" s="1810">
        <f t="shared" si="5"/>
        <v>1</v>
      </c>
    </row>
    <row r="41" spans="1:29" s="117" customFormat="1" ht="15">
      <c r="A41" s="473"/>
      <c r="B41" s="422" t="s">
        <v>2751</v>
      </c>
      <c r="C41" s="2703" t="s">
        <v>3108</v>
      </c>
      <c r="D41" s="136">
        <v>100</v>
      </c>
      <c r="E41" s="2703" t="s">
        <v>3109</v>
      </c>
      <c r="F41" s="435">
        <f>SUMIF(123:123,E41,124:124)-SUMIF(123:123,C41,124:124)+100</f>
        <v>98</v>
      </c>
      <c r="G41" s="2703" t="s">
        <v>3109</v>
      </c>
      <c r="H41" s="435">
        <f>SUMIF(123:123,G41,124:124)-SUMIF(123:123,C41,124:124)+100</f>
        <v>98</v>
      </c>
      <c r="I41" s="2703" t="s">
        <v>3109</v>
      </c>
      <c r="J41" s="435">
        <f>SUMIF(123:123,I41,124:124)-SUMIF(123:123,C41,124:124)+100</f>
        <v>98</v>
      </c>
      <c r="K41" s="612">
        <v>2</v>
      </c>
      <c r="L41" s="1132"/>
      <c r="M41" s="1133"/>
      <c r="N41" s="1133"/>
      <c r="O41" s="1134"/>
      <c r="P41" s="3267"/>
      <c r="Q41" s="1809" t="str">
        <f t="shared" si="14"/>
        <v>宗地开发程度</v>
      </c>
      <c r="R41" s="770" t="s">
        <v>17</v>
      </c>
      <c r="S41" s="771">
        <f t="shared" si="10"/>
        <v>98</v>
      </c>
      <c r="T41" s="770" t="s">
        <v>17</v>
      </c>
      <c r="U41" s="771">
        <f t="shared" si="11"/>
        <v>98</v>
      </c>
      <c r="V41" s="770" t="s">
        <v>17</v>
      </c>
      <c r="W41" s="771">
        <f t="shared" si="12"/>
        <v>98</v>
      </c>
      <c r="X41" s="772"/>
      <c r="Y41" s="3267"/>
      <c r="Z41" s="55" t="str">
        <f t="shared" si="13"/>
        <v>宗地开发程度</v>
      </c>
      <c r="AA41" s="773">
        <f t="shared" si="3"/>
        <v>1.0204081632653061</v>
      </c>
      <c r="AB41" s="773">
        <f t="shared" si="4"/>
        <v>1.0204081632653061</v>
      </c>
      <c r="AC41" s="773">
        <f t="shared" si="5"/>
        <v>1.0204081632653061</v>
      </c>
    </row>
    <row r="42" spans="1:29" ht="15.6" thickBot="1">
      <c r="A42" s="472"/>
      <c r="B42" s="422" t="s">
        <v>2752</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267" t="s">
        <v>2562</v>
      </c>
      <c r="Q42" s="1809" t="str">
        <f t="shared" si="14"/>
        <v>工程地质条件</v>
      </c>
      <c r="R42" s="774" t="s">
        <v>17</v>
      </c>
      <c r="S42" s="775">
        <f t="shared" si="10"/>
        <v>100</v>
      </c>
      <c r="T42" s="774" t="s">
        <v>17</v>
      </c>
      <c r="U42" s="775">
        <f t="shared" si="11"/>
        <v>100</v>
      </c>
      <c r="V42" s="774" t="s">
        <v>17</v>
      </c>
      <c r="W42" s="775">
        <f t="shared" si="12"/>
        <v>100</v>
      </c>
      <c r="X42" s="1812"/>
      <c r="Y42" s="3267" t="s">
        <v>2562</v>
      </c>
      <c r="Z42" s="1813" t="str">
        <f t="shared" si="13"/>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67"/>
      <c r="Q43" s="1809">
        <f t="shared" si="14"/>
        <v>111</v>
      </c>
      <c r="R43" s="774" t="s">
        <v>17</v>
      </c>
      <c r="S43" s="775">
        <f t="shared" si="10"/>
        <v>100</v>
      </c>
      <c r="T43" s="774" t="s">
        <v>17</v>
      </c>
      <c r="U43" s="775">
        <f t="shared" si="11"/>
        <v>100</v>
      </c>
      <c r="V43" s="774" t="s">
        <v>17</v>
      </c>
      <c r="W43" s="775">
        <f t="shared" si="12"/>
        <v>100</v>
      </c>
      <c r="X43" s="1812"/>
      <c r="Y43" s="3267"/>
      <c r="Z43" s="1813">
        <f t="shared" si="13"/>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67"/>
      <c r="Q44" s="1809">
        <f t="shared" si="14"/>
        <v>111</v>
      </c>
      <c r="R44" s="774" t="s">
        <v>17</v>
      </c>
      <c r="S44" s="775">
        <f t="shared" si="10"/>
        <v>100</v>
      </c>
      <c r="T44" s="774" t="s">
        <v>17</v>
      </c>
      <c r="U44" s="775">
        <f t="shared" si="11"/>
        <v>100</v>
      </c>
      <c r="V44" s="774" t="s">
        <v>17</v>
      </c>
      <c r="W44" s="775">
        <f t="shared" si="12"/>
        <v>100</v>
      </c>
      <c r="X44" s="1812"/>
      <c r="Y44" s="3267"/>
      <c r="Z44" s="1813">
        <f t="shared" si="13"/>
        <v>111</v>
      </c>
      <c r="AA44" s="1810">
        <f t="shared" si="3"/>
        <v>1</v>
      </c>
      <c r="AB44" s="1810">
        <f t="shared" si="4"/>
        <v>1</v>
      </c>
      <c r="AC44" s="1810">
        <f t="shared" si="5"/>
        <v>1</v>
      </c>
    </row>
    <row r="45" spans="1:29" s="471" customFormat="1" ht="15.6" hidden="1" thickBot="1">
      <c r="A45" s="468"/>
      <c r="B45" s="1387">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67"/>
      <c r="Q45" s="1809">
        <f t="shared" si="14"/>
        <v>111</v>
      </c>
      <c r="R45" s="777" t="s">
        <v>17</v>
      </c>
      <c r="S45" s="778">
        <f t="shared" si="10"/>
        <v>100</v>
      </c>
      <c r="T45" s="777" t="s">
        <v>17</v>
      </c>
      <c r="U45" s="778">
        <f t="shared" si="11"/>
        <v>100</v>
      </c>
      <c r="V45" s="777" t="s">
        <v>17</v>
      </c>
      <c r="W45" s="778">
        <f t="shared" si="12"/>
        <v>100</v>
      </c>
      <c r="X45" s="779"/>
      <c r="Y45" s="3267"/>
      <c r="Z45" s="780">
        <f t="shared" si="13"/>
        <v>111</v>
      </c>
      <c r="AA45" s="1810">
        <f t="shared" si="3"/>
        <v>1</v>
      </c>
      <c r="AB45" s="1810">
        <f t="shared" si="4"/>
        <v>1</v>
      </c>
      <c r="AC45" s="1810">
        <f t="shared" si="5"/>
        <v>1</v>
      </c>
    </row>
    <row r="46" spans="1:29" ht="14.4">
      <c r="A46" s="479" t="s">
        <v>2717</v>
      </c>
      <c r="B46" s="2705" t="s">
        <v>2753</v>
      </c>
      <c r="C46" s="682" t="s">
        <v>1</v>
      </c>
      <c r="D46" s="481"/>
      <c r="E46" s="482">
        <f>土地案例明细!N1</f>
        <v>1871.15</v>
      </c>
      <c r="F46" s="483"/>
      <c r="G46" s="484">
        <f>土地案例明细!N2</f>
        <v>1846.55</v>
      </c>
      <c r="H46" s="485"/>
      <c r="I46" s="482">
        <f>土地案例明细!N3</f>
        <v>1617.2</v>
      </c>
      <c r="J46" s="485"/>
      <c r="K46" s="783"/>
      <c r="L46" s="1143"/>
      <c r="M46" s="1144"/>
      <c r="N46" s="1131"/>
      <c r="O46" s="1144"/>
      <c r="P46" s="3249" t="str">
        <f>A46</f>
        <v>成交单价</v>
      </c>
      <c r="Q46" s="3249"/>
      <c r="R46" s="3262">
        <f>E46</f>
        <v>1871.15</v>
      </c>
      <c r="S46" s="3262"/>
      <c r="T46" s="3262">
        <f>G46</f>
        <v>1846.55</v>
      </c>
      <c r="U46" s="3262"/>
      <c r="V46" s="3262">
        <f>I46</f>
        <v>1617.2</v>
      </c>
      <c r="W46" s="3262"/>
      <c r="X46" s="759"/>
      <c r="Y46" s="781"/>
      <c r="Z46" s="759"/>
      <c r="AA46" s="759"/>
      <c r="AB46" s="759"/>
      <c r="AC46" s="759"/>
    </row>
    <row r="47" spans="1:29" ht="15" thickBot="1">
      <c r="A47" s="486" t="s">
        <v>2666</v>
      </c>
      <c r="B47" s="683"/>
      <c r="C47" s="490">
        <f>R48</f>
        <v>1797</v>
      </c>
      <c r="D47" s="489"/>
      <c r="E47" s="490">
        <f>R47</f>
        <v>1854</v>
      </c>
      <c r="F47" s="491"/>
      <c r="G47" s="488">
        <f>T47</f>
        <v>1876</v>
      </c>
      <c r="H47" s="489"/>
      <c r="I47" s="490">
        <f>V47</f>
        <v>1660</v>
      </c>
      <c r="J47" s="489"/>
      <c r="K47" s="784"/>
      <c r="L47" s="1143"/>
      <c r="M47" s="1144"/>
      <c r="N47" s="1144"/>
      <c r="O47" s="1144"/>
      <c r="P47" s="3249" t="str">
        <f>A47</f>
        <v>比较价值（元/平方米）</v>
      </c>
      <c r="Q47" s="3249"/>
      <c r="R47" s="3268">
        <f>ROUND(PRODUCT(R46,AA7:AA45),0)</f>
        <v>1854</v>
      </c>
      <c r="S47" s="3268"/>
      <c r="T47" s="3268">
        <f>ROUND(PRODUCT(T46,AB7:AB45),0)</f>
        <v>1876</v>
      </c>
      <c r="U47" s="3268"/>
      <c r="V47" s="3268">
        <f>ROUND(PRODUCT(V46,AC7:AC45),0)</f>
        <v>1660</v>
      </c>
      <c r="W47" s="3268"/>
      <c r="X47" s="759"/>
      <c r="Y47" s="759"/>
      <c r="Z47" s="759"/>
      <c r="AA47" s="759"/>
      <c r="AB47" s="759"/>
      <c r="AC47" s="759"/>
    </row>
    <row r="48" spans="1:29" ht="15" thickBot="1">
      <c r="A48" s="492" t="s">
        <v>2754</v>
      </c>
      <c r="B48" s="493"/>
      <c r="C48" s="494">
        <f>R48</f>
        <v>1797</v>
      </c>
      <c r="D48" s="494"/>
      <c r="E48" s="494"/>
      <c r="F48" s="494"/>
      <c r="G48" s="494"/>
      <c r="H48" s="494"/>
      <c r="I48" s="494"/>
      <c r="J48" s="494"/>
      <c r="K48" s="785"/>
      <c r="L48" s="1143"/>
      <c r="M48" s="1144"/>
      <c r="N48" s="1144"/>
      <c r="O48" s="1144"/>
      <c r="P48" s="3269" t="str">
        <f>A48</f>
        <v>估价对象XX用房的比较价值（楼面单价，元/平方米）</v>
      </c>
      <c r="Q48" s="3270"/>
      <c r="R48" s="3271">
        <f>ROUND(AVERAGE(R47:V47),0)</f>
        <v>1797</v>
      </c>
      <c r="S48" s="3271"/>
      <c r="T48" s="3271"/>
      <c r="U48" s="3271"/>
      <c r="V48" s="3271"/>
      <c r="W48" s="327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f>IF(E46&lt;E47,E47/E46-1,E46/E47-1)</f>
        <v>9.2502696871630263E-3</v>
      </c>
      <c r="F51" s="500" t="str">
        <f>IF(OR(E51&gt;=0.3,E51&lt;=-0.3),"超过30%","")</f>
        <v/>
      </c>
      <c r="G51" s="499">
        <f>IF(G46&lt;G47,G47/G46-1,G46/G47-1)</f>
        <v>1.5948661016490284E-2</v>
      </c>
      <c r="H51" s="500" t="str">
        <f>IF(OR(G51&gt;=0.3,G51&lt;=-0.3),"超过30%","")</f>
        <v/>
      </c>
      <c r="I51" s="499">
        <f>IF(I46&lt;I47,I47/I46-1,I46/I47-1)</f>
        <v>2.6465495918872151E-2</v>
      </c>
      <c r="J51" s="500" t="str">
        <f>IF(OR(I51&gt;=0.3,I51&lt;=-0.3),"超过30%","")</f>
        <v/>
      </c>
      <c r="K51" s="1105"/>
      <c r="L51" s="1106"/>
      <c r="M51" s="1144"/>
      <c r="N51" s="1144"/>
      <c r="O51" s="1144"/>
    </row>
    <row r="52" spans="1:15" ht="13.5" customHeight="1">
      <c r="A52" s="1144"/>
      <c r="B52" s="1144"/>
      <c r="C52" s="497" t="s">
        <v>2669</v>
      </c>
      <c r="D52" s="501"/>
      <c r="E52" s="499">
        <f>IF(E47&lt;G47,G47/E47-1,E47/G47-1)</f>
        <v>1.1866235167206085E-2</v>
      </c>
      <c r="F52" s="500" t="str">
        <f>IF(OR(E52&gt;=0.2,E52&lt;=-0.2),"超过20%","")</f>
        <v/>
      </c>
      <c r="G52" s="499">
        <f>IF(G47&lt;I47,I47/G47-1,G47/I47-1)</f>
        <v>0.13012048192771086</v>
      </c>
      <c r="H52" s="500" t="str">
        <f>IF(OR(G52&gt;=0.2,G52&lt;=-0.2),"超过20%","")</f>
        <v/>
      </c>
      <c r="I52" s="499">
        <f>IF(I47&lt;E47,E47/I47-1,I47/E47-1)</f>
        <v>0.11686746987951802</v>
      </c>
      <c r="J52" s="500" t="str">
        <f>IF(OR(I52&gt;=0.2,I52&lt;=-0.2),"超过20%","")</f>
        <v/>
      </c>
      <c r="K52" s="1105"/>
      <c r="L52" s="1106"/>
      <c r="M52" s="1144"/>
      <c r="N52" s="1144"/>
      <c r="O52" s="1144"/>
    </row>
    <row r="53" spans="1:15" s="502" customFormat="1" ht="13.5" customHeight="1">
      <c r="A53" s="1145"/>
      <c r="B53" s="1145"/>
      <c r="C53" s="497" t="s">
        <v>2670</v>
      </c>
      <c r="D53" s="501"/>
      <c r="E53" s="499">
        <f>IF(E46&lt;G46,G46/E46-1,E46/G46-1)</f>
        <v>1.3322141290514899E-2</v>
      </c>
      <c r="F53" s="500" t="str">
        <f>IF(OR(E53&gt;=0.3,E53&lt;=-0.3),"超过30%","")</f>
        <v/>
      </c>
      <c r="G53" s="499">
        <f>IF(G46&lt;I46,I46/G46-1,G46/I46-1)</f>
        <v>0.14181919366806817</v>
      </c>
      <c r="H53" s="500" t="str">
        <f>IF(OR(G53&gt;=0.3,G53&lt;=-0.3),"超过30%","")</f>
        <v/>
      </c>
      <c r="I53" s="499">
        <f>IF(I46&lt;E46,E46/I46-1,I46/E46-1)</f>
        <v>0.15703067029433582</v>
      </c>
      <c r="J53" s="500" t="str">
        <f>IF(OR(I53&gt;=0.3,I53&lt;=-0.3),"超过30%","")</f>
        <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6" t="s">
        <v>3090</v>
      </c>
      <c r="D55" s="2707" t="s">
        <v>2758</v>
      </c>
      <c r="E55" s="686" t="s">
        <v>2759</v>
      </c>
      <c r="F55" s="1107" t="s">
        <v>2760</v>
      </c>
      <c r="G55" s="3250" t="s">
        <v>2761</v>
      </c>
      <c r="H55" s="3272"/>
      <c r="I55" s="144" t="s">
        <v>2762</v>
      </c>
      <c r="J55" s="2708">
        <f>项目基本情况!F35</f>
        <v>0</v>
      </c>
      <c r="K55" s="2709" t="s">
        <v>2763</v>
      </c>
      <c r="L55" s="1106"/>
      <c r="M55" s="1144"/>
      <c r="N55" s="1144"/>
      <c r="O55" s="1144"/>
    </row>
    <row r="56" spans="1:15" s="692" customFormat="1">
      <c r="A56" s="688" t="s">
        <v>2764</v>
      </c>
      <c r="B56" s="689">
        <f>C48</f>
        <v>1797</v>
      </c>
      <c r="C56" s="690">
        <v>1</v>
      </c>
      <c r="D56" s="1163">
        <v>1</v>
      </c>
      <c r="E56" s="690">
        <f>'数据-汇总表'!E8+'数据-汇总表'!E9</f>
        <v>65654.289999999994</v>
      </c>
      <c r="F56" s="1103">
        <f t="shared" ref="F56:F65" si="15">ROUND(B56*E56/10000,0)</f>
        <v>11798</v>
      </c>
      <c r="G56" s="3273"/>
      <c r="H56" s="3249"/>
      <c r="I56" s="1108">
        <v>1</v>
      </c>
      <c r="J56" s="1111">
        <v>1</v>
      </c>
      <c r="K56" s="1145"/>
      <c r="L56" s="941"/>
      <c r="M56" s="941"/>
      <c r="N56" s="941"/>
      <c r="O56" s="941"/>
    </row>
    <row r="57" spans="1:15" s="692" customFormat="1">
      <c r="A57" s="693" t="s">
        <v>2765</v>
      </c>
      <c r="B57" s="262">
        <f>ROUND($C$48*C57*D57,0)</f>
        <v>0</v>
      </c>
      <c r="C57" s="200">
        <f t="shared" ref="C57:C65" si="16">IF($C$55="北京市系数",I57,J57)</f>
        <v>0</v>
      </c>
      <c r="D57" s="1164">
        <v>0.25</v>
      </c>
      <c r="E57" s="694">
        <f>'数据-汇总表'!G20</f>
        <v>7349.44</v>
      </c>
      <c r="F57" s="1103">
        <f t="shared" si="15"/>
        <v>0</v>
      </c>
      <c r="G57" s="3274" t="s">
        <v>2766</v>
      </c>
      <c r="H57" s="1104">
        <f>项目基本情况!B37</f>
        <v>0</v>
      </c>
      <c r="I57" s="1108">
        <f>SUMIF(修正!A45:A56,H57,修正!B45:B56)</f>
        <v>0</v>
      </c>
      <c r="J57" s="1112"/>
      <c r="K57" s="1144"/>
      <c r="L57" s="941"/>
      <c r="M57" s="941"/>
      <c r="N57" s="941"/>
      <c r="O57" s="941"/>
    </row>
    <row r="58" spans="1:15" s="692" customFormat="1">
      <c r="A58" s="693" t="s">
        <v>2767</v>
      </c>
      <c r="B58" s="262">
        <f t="shared" ref="B58:B65" si="17">ROUND($C$48*C58*D58,0)</f>
        <v>0</v>
      </c>
      <c r="C58" s="200">
        <f t="shared" si="16"/>
        <v>0</v>
      </c>
      <c r="D58" s="1164">
        <v>0.25</v>
      </c>
      <c r="E58" s="694"/>
      <c r="F58" s="1103">
        <f t="shared" si="15"/>
        <v>0</v>
      </c>
      <c r="G58" s="3274"/>
      <c r="H58" s="1104">
        <f>项目基本情况!B37</f>
        <v>0</v>
      </c>
      <c r="I58" s="1108">
        <f>SUMIF(修正!A45:A56,H58,修正!C45:C56)</f>
        <v>0</v>
      </c>
      <c r="J58" s="1112"/>
      <c r="K58" s="1145"/>
      <c r="L58" s="941"/>
      <c r="M58" s="941"/>
      <c r="N58" s="941"/>
      <c r="O58" s="941"/>
    </row>
    <row r="59" spans="1:15" s="692" customFormat="1">
      <c r="A59" s="693" t="s">
        <v>2768</v>
      </c>
      <c r="B59" s="262">
        <f t="shared" si="17"/>
        <v>0</v>
      </c>
      <c r="C59" s="200">
        <f t="shared" si="16"/>
        <v>0</v>
      </c>
      <c r="D59" s="1164">
        <v>0.25</v>
      </c>
      <c r="E59" s="694"/>
      <c r="F59" s="1103">
        <f t="shared" si="15"/>
        <v>0</v>
      </c>
      <c r="G59" s="3274"/>
      <c r="H59" s="1104">
        <f>项目基本情况!B37</f>
        <v>0</v>
      </c>
      <c r="I59" s="1108">
        <f>SUMIF(修正!A45:A56,H59,修正!D45:D56)</f>
        <v>0</v>
      </c>
      <c r="J59" s="1112"/>
      <c r="K59" s="1144"/>
      <c r="L59" s="941"/>
      <c r="M59" s="941"/>
      <c r="N59" s="941"/>
      <c r="O59" s="941"/>
    </row>
    <row r="60" spans="1:15" s="692" customFormat="1">
      <c r="A60" s="693" t="s">
        <v>2769</v>
      </c>
      <c r="B60" s="262">
        <f t="shared" si="17"/>
        <v>0</v>
      </c>
      <c r="C60" s="200">
        <f t="shared" si="16"/>
        <v>0</v>
      </c>
      <c r="D60" s="1164">
        <v>0.25</v>
      </c>
      <c r="E60" s="694"/>
      <c r="F60" s="1103">
        <f t="shared" si="15"/>
        <v>0</v>
      </c>
      <c r="G60" s="3274"/>
      <c r="H60" s="1104">
        <f>项目基本情况!B37</f>
        <v>0</v>
      </c>
      <c r="I60" s="1108">
        <f>SUMIF(修正!A45:A56,H60,修正!E45:E56)</f>
        <v>0</v>
      </c>
      <c r="J60" s="1112"/>
      <c r="K60" s="1145"/>
      <c r="L60" s="941"/>
      <c r="M60" s="941"/>
      <c r="N60" s="941"/>
      <c r="O60" s="941"/>
    </row>
    <row r="61" spans="1:15" s="692" customFormat="1">
      <c r="A61" s="693" t="s">
        <v>2770</v>
      </c>
      <c r="B61" s="262">
        <f t="shared" si="17"/>
        <v>0</v>
      </c>
      <c r="C61" s="200">
        <f t="shared" si="16"/>
        <v>0</v>
      </c>
      <c r="D61" s="1164">
        <v>0.25</v>
      </c>
      <c r="E61" s="261">
        <f>'数据-汇总表'!E11</f>
        <v>0</v>
      </c>
      <c r="F61" s="1103">
        <f t="shared" si="15"/>
        <v>0</v>
      </c>
      <c r="G61" s="2710" t="s">
        <v>2771</v>
      </c>
      <c r="H61" s="1104">
        <f>项目基本情况!C37</f>
        <v>0</v>
      </c>
      <c r="I61" s="1108">
        <f>SUMIF(修正!A45:A56,H61,修正!F45:F56)</f>
        <v>0</v>
      </c>
      <c r="J61" s="1112"/>
      <c r="K61" s="1144"/>
      <c r="L61" s="941"/>
      <c r="M61" s="941"/>
      <c r="N61" s="941"/>
      <c r="O61" s="941"/>
    </row>
    <row r="62" spans="1:15" s="692" customFormat="1">
      <c r="A62" s="693" t="s">
        <v>2772</v>
      </c>
      <c r="B62" s="262">
        <f t="shared" si="17"/>
        <v>0</v>
      </c>
      <c r="C62" s="200">
        <f t="shared" si="16"/>
        <v>0</v>
      </c>
      <c r="D62" s="1164">
        <v>0.25</v>
      </c>
      <c r="E62" s="261">
        <f>'数据-汇总表'!E12</f>
        <v>0</v>
      </c>
      <c r="F62" s="1103">
        <f t="shared" si="15"/>
        <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f t="shared" si="17"/>
        <v>0</v>
      </c>
      <c r="C63" s="200">
        <f t="shared" si="16"/>
        <v>0</v>
      </c>
      <c r="D63" s="1164">
        <v>0.25</v>
      </c>
      <c r="E63" s="261">
        <f>'数据-汇总表'!E13</f>
        <v>0</v>
      </c>
      <c r="F63" s="1103">
        <f t="shared" si="15"/>
        <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f t="shared" si="17"/>
        <v>0</v>
      </c>
      <c r="C64" s="200">
        <f t="shared" si="16"/>
        <v>0</v>
      </c>
      <c r="D64" s="1164">
        <v>0.25</v>
      </c>
      <c r="E64" s="261">
        <f>'数据-汇总表'!E14</f>
        <v>0</v>
      </c>
      <c r="F64" s="1103">
        <f t="shared" si="15"/>
        <v>0</v>
      </c>
      <c r="G64" s="2710" t="s">
        <v>2766</v>
      </c>
      <c r="H64" s="1104">
        <f>项目基本情况!B37</f>
        <v>0</v>
      </c>
      <c r="I64" s="1108">
        <f>SUMIF(修正!A45:A56,H64,修正!H45:H56)</f>
        <v>0</v>
      </c>
      <c r="J64" s="1112"/>
      <c r="K64" s="1145"/>
      <c r="L64" s="941"/>
      <c r="M64" s="941"/>
      <c r="N64" s="941"/>
      <c r="O64" s="941"/>
    </row>
    <row r="65" spans="1:17" s="692" customFormat="1" ht="14.4" thickBot="1">
      <c r="A65" s="693" t="s">
        <v>2777</v>
      </c>
      <c r="B65" s="262">
        <f t="shared" si="17"/>
        <v>0</v>
      </c>
      <c r="C65" s="200">
        <f t="shared" si="16"/>
        <v>0</v>
      </c>
      <c r="D65" s="1164">
        <v>0.25</v>
      </c>
      <c r="E65" s="261">
        <f>'数据-汇总表'!E15</f>
        <v>0</v>
      </c>
      <c r="F65" s="1103">
        <f t="shared" si="15"/>
        <v>0</v>
      </c>
      <c r="G65" s="2711" t="s">
        <v>2771</v>
      </c>
      <c r="H65" s="1114">
        <f>项目基本情况!C37</f>
        <v>0</v>
      </c>
      <c r="I65" s="1110">
        <f>SUMIF(修正!A45:A56,H65,修正!H45:H56)</f>
        <v>0</v>
      </c>
      <c r="J65" s="1113"/>
      <c r="K65" s="1144"/>
      <c r="L65" s="941"/>
      <c r="M65" s="941"/>
      <c r="N65" s="941"/>
      <c r="O65" s="941"/>
    </row>
    <row r="66" spans="1:17" s="692" customFormat="1" thickBot="1">
      <c r="A66" s="695" t="s">
        <v>2778</v>
      </c>
      <c r="B66" s="696" t="s">
        <v>28</v>
      </c>
      <c r="C66" s="696" t="s">
        <v>29</v>
      </c>
      <c r="D66" s="696" t="s">
        <v>1025</v>
      </c>
      <c r="E66" s="696">
        <f>IF(B46="楼面地价",SUM(E56:E65),'数据-汇总表'!D3)</f>
        <v>73003.73</v>
      </c>
      <c r="F66" s="697">
        <f>IF(B46="楼面地价",SUM(F56:F65),ROUND(C48*E66/10000,0))</f>
        <v>11798</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2.2" thickBot="1">
      <c r="A69" s="763" t="s">
        <v>2671</v>
      </c>
      <c r="B69" s="759"/>
      <c r="C69" s="764"/>
      <c r="D69" s="764"/>
      <c r="E69" s="764"/>
      <c r="F69" s="765"/>
      <c r="G69" s="765"/>
      <c r="H69" s="764"/>
      <c r="I69" s="764"/>
      <c r="J69" s="1159"/>
      <c r="K69" s="1160"/>
      <c r="L69" s="1161"/>
      <c r="M69" s="1159"/>
      <c r="N69" s="1159"/>
      <c r="O69" s="1159"/>
      <c r="P69" s="503"/>
      <c r="Q69" s="504"/>
    </row>
    <row r="70" spans="1:17" s="508" customFormat="1" ht="14.4">
      <c r="A70" s="2712" t="s">
        <v>2779</v>
      </c>
      <c r="B70" s="1359"/>
      <c r="C70" s="1571" t="str">
        <f>YEAR(C68)&amp;"-"&amp;ROUNDUP(MONTH(C68)/3,0)</f>
        <v>2020-1</v>
      </c>
      <c r="D70" s="1571" t="str">
        <f>YEAR(D68)&amp;"-"&amp;ROUNDUP(MONTH(D68)/3,0)</f>
        <v>2019-4</v>
      </c>
      <c r="E70" s="1571" t="str">
        <f t="shared" ref="E70:O70" si="19">YEAR(E68)&amp;"-"&amp;ROUNDUP(MONTH(E68)/3,0)</f>
        <v>2019-3</v>
      </c>
      <c r="F70" s="1571" t="str">
        <f t="shared" si="19"/>
        <v>2019-2</v>
      </c>
      <c r="G70" s="1571" t="str">
        <f t="shared" si="19"/>
        <v>2019-1</v>
      </c>
      <c r="H70" s="1571" t="str">
        <f t="shared" si="19"/>
        <v>2018-4</v>
      </c>
      <c r="I70" s="1571" t="str">
        <f t="shared" si="19"/>
        <v>2018-3</v>
      </c>
      <c r="J70" s="1571" t="str">
        <f t="shared" si="19"/>
        <v>2018-2</v>
      </c>
      <c r="K70" s="1571" t="str">
        <f t="shared" si="19"/>
        <v>2018-1</v>
      </c>
      <c r="L70" s="1571" t="str">
        <f t="shared" si="19"/>
        <v>2017-4</v>
      </c>
      <c r="M70" s="1571" t="str">
        <f t="shared" si="19"/>
        <v>2017-3</v>
      </c>
      <c r="N70" s="1571" t="str">
        <f t="shared" si="19"/>
        <v>2017-2</v>
      </c>
      <c r="O70" s="1571" t="str">
        <f t="shared" si="19"/>
        <v>2017-1</v>
      </c>
      <c r="P70" s="507"/>
    </row>
    <row r="71" spans="1:17" s="117" customFormat="1" ht="30" customHeight="1">
      <c r="A71" s="2713" t="s">
        <v>1372</v>
      </c>
      <c r="B71" s="332" t="str">
        <f>"北京市平均增长率"&amp;TEXT(SUMIF(基准地价修正!N21:N25,A71,基准地价修正!P21:P25),"0.00%")</f>
        <v>北京市平均增长率1.34%</v>
      </c>
      <c r="C71" s="603">
        <v>100</v>
      </c>
      <c r="D71" s="595">
        <f>C71-0.5</f>
        <v>99.5</v>
      </c>
      <c r="E71" s="595">
        <f t="shared" ref="E71:O71" si="20">D71-0.5</f>
        <v>99</v>
      </c>
      <c r="F71" s="595">
        <f t="shared" si="20"/>
        <v>98.5</v>
      </c>
      <c r="G71" s="595">
        <f t="shared" si="20"/>
        <v>98</v>
      </c>
      <c r="H71" s="595">
        <f t="shared" si="20"/>
        <v>97.5</v>
      </c>
      <c r="I71" s="595">
        <f t="shared" si="20"/>
        <v>97</v>
      </c>
      <c r="J71" s="595">
        <f t="shared" si="20"/>
        <v>96.5</v>
      </c>
      <c r="K71" s="595">
        <f t="shared" si="20"/>
        <v>96</v>
      </c>
      <c r="L71" s="595">
        <f t="shared" si="20"/>
        <v>95.5</v>
      </c>
      <c r="M71" s="595">
        <f>L71-0.5</f>
        <v>95</v>
      </c>
      <c r="N71" s="595">
        <f t="shared" si="20"/>
        <v>94.5</v>
      </c>
      <c r="O71" s="595">
        <f t="shared" si="20"/>
        <v>94</v>
      </c>
      <c r="P71" s="504"/>
    </row>
    <row r="72" spans="1:17" s="117" customFormat="1" ht="15" thickBot="1">
      <c r="A72" s="515" t="s">
        <v>2582</v>
      </c>
      <c r="B72" s="516"/>
      <c r="C72" s="517"/>
      <c r="D72" s="518"/>
      <c r="E72" s="518"/>
      <c r="F72" s="518"/>
      <c r="G72" s="518"/>
      <c r="H72" s="518"/>
      <c r="I72" s="518"/>
      <c r="J72" s="518"/>
      <c r="K72" s="518"/>
      <c r="L72" s="518"/>
      <c r="M72" s="519"/>
      <c r="N72" s="518"/>
      <c r="O72" s="1162"/>
      <c r="P72" s="504"/>
      <c r="Q72" s="504"/>
    </row>
    <row r="73" spans="1:17" s="117" customFormat="1" ht="14.4">
      <c r="A73" s="521" t="s">
        <v>2547</v>
      </c>
      <c r="B73" s="510"/>
      <c r="C73" s="522" t="s">
        <v>2649</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2585</v>
      </c>
      <c r="B75" s="528" t="s">
        <v>2551</v>
      </c>
      <c r="C75" s="2971" t="s">
        <v>3264</v>
      </c>
      <c r="D75" s="530"/>
      <c r="E75" s="530"/>
      <c r="F75" s="530"/>
      <c r="G75" s="530"/>
      <c r="H75" s="530"/>
      <c r="I75" s="530"/>
      <c r="J75" s="530"/>
      <c r="K75" s="531"/>
      <c r="L75" s="532"/>
      <c r="M75" s="533"/>
      <c r="N75" s="1152"/>
      <c r="O75" s="1152"/>
      <c r="P75" s="45"/>
      <c r="Q75" s="504"/>
    </row>
    <row r="76" spans="1:17" ht="14.4" thickBot="1">
      <c r="A76" s="534"/>
      <c r="B76" s="535"/>
      <c r="C76" s="536">
        <v>100</v>
      </c>
      <c r="D76" s="536"/>
      <c r="E76" s="536"/>
      <c r="F76" s="536"/>
      <c r="G76" s="536"/>
      <c r="H76" s="536"/>
      <c r="I76" s="536"/>
      <c r="J76" s="536"/>
      <c r="K76" s="536"/>
      <c r="L76" s="536"/>
      <c r="M76" s="537"/>
      <c r="N76" s="1153"/>
      <c r="O76" s="1153"/>
      <c r="P76" s="45"/>
      <c r="Q76" s="504"/>
    </row>
    <row r="77" spans="1:17" ht="29.4" thickTop="1">
      <c r="A77" s="534"/>
      <c r="B77" s="538" t="s">
        <v>2554</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2555</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c r="A80" s="534"/>
      <c r="B80" s="548"/>
      <c r="C80" s="549">
        <v>0</v>
      </c>
      <c r="D80" s="549">
        <v>1</v>
      </c>
      <c r="E80" s="549">
        <v>2</v>
      </c>
      <c r="F80" s="549">
        <v>3</v>
      </c>
      <c r="G80" s="549">
        <v>4</v>
      </c>
      <c r="H80" s="549">
        <v>5</v>
      </c>
      <c r="I80" s="549"/>
      <c r="J80" s="549"/>
      <c r="K80" s="550"/>
      <c r="L80" s="551"/>
      <c r="M80" s="552"/>
      <c r="N80" s="1152"/>
      <c r="O80" s="1152"/>
      <c r="P80" s="45"/>
      <c r="Q80" s="504"/>
    </row>
    <row r="81" spans="1:17" ht="14.4" thickBot="1">
      <c r="A81" s="534"/>
      <c r="B81" s="535"/>
      <c r="C81" s="544">
        <v>100</v>
      </c>
      <c r="D81" s="544">
        <f t="shared" ref="D81:M81" si="22">IF($B$46="单位面积地价",C81+$K11,C81-$K11)</f>
        <v>100</v>
      </c>
      <c r="E81" s="544">
        <f t="shared" si="22"/>
        <v>100</v>
      </c>
      <c r="F81" s="544">
        <f t="shared" si="22"/>
        <v>100</v>
      </c>
      <c r="G81" s="544">
        <f t="shared" si="22"/>
        <v>100</v>
      </c>
      <c r="H81" s="544">
        <f t="shared" si="22"/>
        <v>100</v>
      </c>
      <c r="I81" s="544">
        <f t="shared" si="22"/>
        <v>100</v>
      </c>
      <c r="J81" s="544">
        <f t="shared" si="22"/>
        <v>100</v>
      </c>
      <c r="K81" s="544">
        <f t="shared" si="22"/>
        <v>100</v>
      </c>
      <c r="L81" s="544">
        <f t="shared" si="22"/>
        <v>100</v>
      </c>
      <c r="M81" s="544">
        <f t="shared" si="22"/>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2780</v>
      </c>
      <c r="C90" s="578" t="s">
        <v>2594</v>
      </c>
      <c r="D90" s="578" t="s">
        <v>2595</v>
      </c>
      <c r="E90" s="578" t="s">
        <v>2596</v>
      </c>
      <c r="F90" s="578" t="s">
        <v>2597</v>
      </c>
      <c r="G90" s="578" t="s">
        <v>2598</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2781</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2782</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9.4" thickTop="1">
      <c r="A106" s="534"/>
      <c r="B106" s="538" t="s">
        <v>2688</v>
      </c>
      <c r="C106" s="2965" t="s">
        <v>3094</v>
      </c>
      <c r="D106" s="2965" t="s">
        <v>3095</v>
      </c>
      <c r="E106" s="2965" t="s">
        <v>3096</v>
      </c>
      <c r="F106" s="2965" t="s">
        <v>3097</v>
      </c>
      <c r="G106" s="2965" t="s">
        <v>3098</v>
      </c>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 thickTop="1">
      <c r="A108" s="534"/>
      <c r="B108" s="538" t="s">
        <v>2747</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2560</v>
      </c>
      <c r="B116" s="528" t="s">
        <v>2787</v>
      </c>
      <c r="C116" s="529" t="str">
        <f>C117&amp;"(含)"&amp;"-"&amp;D117</f>
        <v>0(含)-</v>
      </c>
      <c r="D116" s="529" t="str">
        <f t="shared" ref="D116:M116" si="26">D117&amp;"(含)"&amp;"-"&amp;E117</f>
        <v>(含)-</v>
      </c>
      <c r="E116" s="529" t="str">
        <f t="shared" si="26"/>
        <v>(含)-</v>
      </c>
      <c r="F116" s="529" t="str">
        <f t="shared" si="26"/>
        <v>(含)-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c r="A117" s="534"/>
      <c r="B117" s="546"/>
      <c r="C117" s="595">
        <v>0</v>
      </c>
      <c r="D117" s="595"/>
      <c r="E117" s="595"/>
      <c r="F117" s="595"/>
      <c r="G117" s="595"/>
      <c r="H117" s="595"/>
      <c r="I117" s="595"/>
      <c r="J117" s="596"/>
      <c r="K117" s="596"/>
      <c r="L117" s="597"/>
      <c r="M117" s="598"/>
      <c r="N117" s="1152"/>
      <c r="O117" s="1152"/>
      <c r="P117" s="45"/>
      <c r="Q117" s="504"/>
    </row>
    <row r="118" spans="1:17" ht="14.4" thickBot="1">
      <c r="A118" s="534"/>
      <c r="B118" s="543"/>
      <c r="C118" s="570">
        <v>0</v>
      </c>
      <c r="D118" s="591"/>
      <c r="E118" s="591"/>
      <c r="F118" s="591"/>
      <c r="G118" s="591"/>
      <c r="H118" s="591"/>
      <c r="I118" s="591"/>
      <c r="J118" s="591"/>
      <c r="K118" s="591"/>
      <c r="L118" s="591"/>
      <c r="M118" s="592"/>
      <c r="N118" s="1153"/>
      <c r="O118" s="1153"/>
      <c r="P118" s="45"/>
      <c r="Q118" s="504"/>
    </row>
    <row r="119" spans="1:17" ht="15" thickTop="1">
      <c r="A119" s="599"/>
      <c r="B119" s="538" t="s">
        <v>2788</v>
      </c>
      <c r="C119" s="2966" t="s">
        <v>3099</v>
      </c>
      <c r="D119" s="2966" t="s">
        <v>3100</v>
      </c>
      <c r="E119" s="2966" t="s">
        <v>3101</v>
      </c>
      <c r="F119" s="2966" t="s">
        <v>3102</v>
      </c>
      <c r="G119" s="583"/>
      <c r="H119" s="583"/>
      <c r="I119" s="583"/>
      <c r="J119" s="583"/>
      <c r="K119" s="584"/>
      <c r="L119" s="585"/>
      <c r="M119" s="586"/>
      <c r="N119" s="1152"/>
      <c r="O119" s="1152"/>
      <c r="P119" s="45"/>
      <c r="Q119" s="504"/>
    </row>
    <row r="120" spans="1:17" ht="14.4" thickBot="1">
      <c r="A120" s="534"/>
      <c r="B120" s="543"/>
      <c r="C120" s="544">
        <v>100</v>
      </c>
      <c r="D120" s="544">
        <f t="shared" ref="D120:M120" si="27">C120-$K39</f>
        <v>100</v>
      </c>
      <c r="E120" s="544">
        <f t="shared" si="27"/>
        <v>100</v>
      </c>
      <c r="F120" s="544">
        <f t="shared" si="27"/>
        <v>100</v>
      </c>
      <c r="G120" s="544">
        <f t="shared" si="27"/>
        <v>100</v>
      </c>
      <c r="H120" s="544">
        <f t="shared" si="27"/>
        <v>100</v>
      </c>
      <c r="I120" s="544">
        <f t="shared" si="27"/>
        <v>100</v>
      </c>
      <c r="J120" s="544">
        <f t="shared" si="27"/>
        <v>100</v>
      </c>
      <c r="K120" s="544">
        <f t="shared" si="27"/>
        <v>100</v>
      </c>
      <c r="L120" s="544">
        <f t="shared" si="27"/>
        <v>100</v>
      </c>
      <c r="M120" s="545">
        <f t="shared" si="27"/>
        <v>100</v>
      </c>
      <c r="N120" s="1153"/>
      <c r="O120" s="1153"/>
      <c r="P120" s="45"/>
      <c r="Q120" s="504"/>
    </row>
    <row r="121" spans="1:17" ht="15" thickTop="1">
      <c r="A121" s="599"/>
      <c r="B121" s="538" t="s">
        <v>2789</v>
      </c>
      <c r="C121" s="2965" t="s">
        <v>3103</v>
      </c>
      <c r="D121" s="2965" t="s">
        <v>3104</v>
      </c>
      <c r="E121" s="2965" t="s">
        <v>3105</v>
      </c>
      <c r="F121" s="2966" t="s">
        <v>3106</v>
      </c>
      <c r="G121" s="583"/>
      <c r="H121" s="583"/>
      <c r="I121" s="583"/>
      <c r="J121" s="583"/>
      <c r="K121" s="584"/>
      <c r="L121" s="585"/>
      <c r="M121" s="586"/>
      <c r="N121" s="1152"/>
      <c r="O121" s="1152"/>
      <c r="P121" s="45"/>
      <c r="Q121" s="504"/>
    </row>
    <row r="122" spans="1:17" ht="14.4"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3"/>
      <c r="O122" s="1153"/>
      <c r="P122" s="45"/>
      <c r="Q122" s="504"/>
    </row>
    <row r="123" spans="1:17" s="471" customFormat="1" ht="15" thickTop="1">
      <c r="A123" s="593"/>
      <c r="B123" s="538" t="s">
        <v>2790</v>
      </c>
      <c r="C123" s="554" t="s">
        <v>3107</v>
      </c>
      <c r="D123" s="554" t="s">
        <v>3108</v>
      </c>
      <c r="E123" s="554" t="s">
        <v>3109</v>
      </c>
      <c r="F123" s="554" t="s">
        <v>3110</v>
      </c>
      <c r="G123" s="554" t="s">
        <v>3111</v>
      </c>
      <c r="H123" s="583"/>
      <c r="I123" s="583"/>
      <c r="J123" s="583"/>
      <c r="K123" s="584"/>
      <c r="L123" s="585"/>
      <c r="M123" s="586"/>
      <c r="N123" s="1154"/>
      <c r="O123" s="1154"/>
      <c r="P123" s="558"/>
      <c r="Q123" s="559"/>
    </row>
    <row r="124" spans="1:17" s="471" customFormat="1" ht="14.4" thickBot="1">
      <c r="A124" s="553"/>
      <c r="B124" s="543"/>
      <c r="C124" s="544">
        <v>100</v>
      </c>
      <c r="D124" s="544">
        <f>C124-$K41</f>
        <v>98</v>
      </c>
      <c r="E124" s="544">
        <f t="shared" ref="E124:M124" si="29">D124-$K41</f>
        <v>96</v>
      </c>
      <c r="F124" s="544">
        <f t="shared" si="29"/>
        <v>94</v>
      </c>
      <c r="G124" s="544">
        <f t="shared" si="29"/>
        <v>92</v>
      </c>
      <c r="H124" s="544">
        <f t="shared" si="29"/>
        <v>90</v>
      </c>
      <c r="I124" s="544">
        <f t="shared" si="29"/>
        <v>88</v>
      </c>
      <c r="J124" s="544">
        <f t="shared" si="29"/>
        <v>86</v>
      </c>
      <c r="K124" s="544">
        <f t="shared" si="29"/>
        <v>84</v>
      </c>
      <c r="L124" s="544">
        <f t="shared" si="29"/>
        <v>82</v>
      </c>
      <c r="M124" s="545">
        <f t="shared" si="29"/>
        <v>80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30">C126-$K42</f>
        <v>100</v>
      </c>
      <c r="E126" s="544">
        <f t="shared" si="30"/>
        <v>100</v>
      </c>
      <c r="F126" s="544">
        <f t="shared" si="30"/>
        <v>100</v>
      </c>
      <c r="G126" s="544">
        <f t="shared" si="30"/>
        <v>100</v>
      </c>
      <c r="H126" s="544">
        <f t="shared" si="30"/>
        <v>100</v>
      </c>
      <c r="I126" s="544">
        <f t="shared" si="30"/>
        <v>100</v>
      </c>
      <c r="J126" s="544">
        <f t="shared" si="30"/>
        <v>100</v>
      </c>
      <c r="K126" s="544">
        <f t="shared" si="30"/>
        <v>100</v>
      </c>
      <c r="L126" s="544">
        <f t="shared" si="30"/>
        <v>100</v>
      </c>
      <c r="M126" s="545">
        <f t="shared" si="30"/>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77" priority="14" stopIfTrue="1" operator="containsText" text="超过">
      <formula>NOT(ISERROR(SEARCH("超过",F51)))</formula>
    </cfRule>
  </conditionalFormatting>
  <conditionalFormatting sqref="J53">
    <cfRule type="containsText" dxfId="176" priority="13" stopIfTrue="1" operator="containsText" text="超过">
      <formula>NOT(ISERROR(SEARCH("超过",J53)))</formula>
    </cfRule>
  </conditionalFormatting>
  <conditionalFormatting sqref="H53">
    <cfRule type="containsText" dxfId="175" priority="12" stopIfTrue="1" operator="containsText" text="超过">
      <formula>NOT(ISERROR(SEARCH("超过",H53)))</formula>
    </cfRule>
  </conditionalFormatting>
  <conditionalFormatting sqref="F53">
    <cfRule type="containsText" dxfId="174" priority="11" stopIfTrue="1" operator="containsText" text="超过">
      <formula>NOT(ISERROR(SEARCH("超过",F53)))</formula>
    </cfRule>
  </conditionalFormatting>
  <conditionalFormatting sqref="F52 H52 J52">
    <cfRule type="containsText" dxfId="173" priority="10" stopIfTrue="1" operator="containsText" text="超过">
      <formula>NOT(ISERROR(SEARCH("超过",F52)))</formula>
    </cfRule>
  </conditionalFormatting>
  <conditionalFormatting sqref="E51">
    <cfRule type="expression" dxfId="172" priority="9" stopIfTrue="1">
      <formula>$F$51="超过30%"</formula>
    </cfRule>
  </conditionalFormatting>
  <conditionalFormatting sqref="G53">
    <cfRule type="expression" dxfId="171" priority="8" stopIfTrue="1">
      <formula>$H$53="超过30%"</formula>
    </cfRule>
  </conditionalFormatting>
  <conditionalFormatting sqref="E52">
    <cfRule type="expression" dxfId="170" priority="7" stopIfTrue="1">
      <formula>$F$52="超过20%"</formula>
    </cfRule>
  </conditionalFormatting>
  <conditionalFormatting sqref="E53">
    <cfRule type="expression" dxfId="169" priority="6" stopIfTrue="1">
      <formula>$F$53="超过30%"</formula>
    </cfRule>
  </conditionalFormatting>
  <conditionalFormatting sqref="G51">
    <cfRule type="expression" dxfId="168" priority="5" stopIfTrue="1">
      <formula>$H$53+$H$51="超过30%"</formula>
    </cfRule>
  </conditionalFormatting>
  <conditionalFormatting sqref="G52">
    <cfRule type="expression" dxfId="167" priority="4" stopIfTrue="1">
      <formula>$H$52="超过20%"</formula>
    </cfRule>
  </conditionalFormatting>
  <conditionalFormatting sqref="I51">
    <cfRule type="expression" dxfId="166" priority="3" stopIfTrue="1">
      <formula>$J$51="超过30%"</formula>
    </cfRule>
  </conditionalFormatting>
  <conditionalFormatting sqref="I52">
    <cfRule type="expression" dxfId="165" priority="2" stopIfTrue="1">
      <formula>$J$52="超过20%"</formula>
    </cfRule>
  </conditionalFormatting>
  <conditionalFormatting sqref="I53">
    <cfRule type="expression" dxfId="164" priority="1" stopIfTrue="1">
      <formula>$J$53="超过30%"</formula>
    </cfRule>
  </conditionalFormatting>
  <dataValidations count="24">
    <dataValidation type="list" allowBlank="1" showInputMessage="1" showErrorMessage="1" sqref="C25" xr:uid="{00000000-0002-0000-1500-000000000000}">
      <formula1>住宅朝向</formula1>
    </dataValidation>
    <dataValidation type="list" allowBlank="1" showInputMessage="1" showErrorMessage="1" sqref="E28 C28 G28 I28" xr:uid="{00000000-0002-0000-1500-000001000000}">
      <formula1>公共配套设施</formula1>
    </dataValidation>
    <dataValidation type="list" allowBlank="1" showInputMessage="1" showErrorMessage="1" sqref="E22 C22 G22 I22" xr:uid="{00000000-0002-0000-1500-000002000000}">
      <formula1>交通便捷度</formula1>
    </dataValidation>
    <dataValidation type="list" allowBlank="1" showInputMessage="1" showErrorMessage="1" sqref="E16 G16 I16 C16" xr:uid="{00000000-0002-0000-1500-000003000000}">
      <formula1>居住社区成熟度</formula1>
    </dataValidation>
    <dataValidation type="list" allowBlank="1" showInputMessage="1" showErrorMessage="1" sqref="C26 E26 G26 I26" xr:uid="{00000000-0002-0000-1500-000004000000}">
      <formula1>环境</formula1>
    </dataValidation>
    <dataValidation type="list" allowBlank="1" showInputMessage="1" showErrorMessage="1" sqref="B46" xr:uid="{00000000-0002-0000-1500-000005000000}">
      <formula1>单价内涵</formula1>
    </dataValidation>
    <dataValidation type="list" allowBlank="1" showInputMessage="1" showErrorMessage="1" sqref="C8 E8 G8 I8" xr:uid="{00000000-0002-0000-1500-000006000000}">
      <formula1>套综交易情况</formula1>
    </dataValidation>
    <dataValidation type="list" allowBlank="1" showInputMessage="1" showErrorMessage="1" sqref="C9 E9 G9 I9" xr:uid="{00000000-0002-0000-1500-000007000000}">
      <formula1>套综用途</formula1>
    </dataValidation>
    <dataValidation type="list" allowBlank="1" showInputMessage="1" showErrorMessage="1" sqref="E18 C18 G18 I18" xr:uid="{00000000-0002-0000-1500-000008000000}">
      <formula1>商业繁华度</formula1>
    </dataValidation>
    <dataValidation type="list" allowBlank="1" showInputMessage="1" showErrorMessage="1" sqref="E20 C20 G20 I20" xr:uid="{00000000-0002-0000-1500-000009000000}">
      <formula1>办公集聚程度</formula1>
    </dataValidation>
    <dataValidation type="list" allowBlank="1" showInputMessage="1" showErrorMessage="1" sqref="C33 E33 G33 I33" xr:uid="{00000000-0002-0000-1500-00000A000000}">
      <formula1>套综道路等级</formula1>
    </dataValidation>
    <dataValidation type="list" allowBlank="1" showInputMessage="1" showErrorMessage="1" sqref="C34 E34 G34 I34" xr:uid="{00000000-0002-0000-1500-00000B000000}">
      <formula1>套综土地级别</formula1>
    </dataValidation>
    <dataValidation type="list" allowBlank="1" showInputMessage="1" showErrorMessage="1" sqref="C39 E39 G39 I39" xr:uid="{00000000-0002-0000-1500-00000C000000}">
      <formula1>套综宗地形状</formula1>
    </dataValidation>
    <dataValidation type="list" allowBlank="1" showInputMessage="1" showErrorMessage="1" sqref="C40 E40 G40 I40" xr:uid="{00000000-0002-0000-1500-00000D000000}">
      <formula1>套综临街宽度及深度</formula1>
    </dataValidation>
    <dataValidation type="list" allowBlank="1" showInputMessage="1" showErrorMessage="1" sqref="C41 E41 G41 I41" xr:uid="{00000000-0002-0000-1500-00000E000000}">
      <formula1>套综宗地内开发程度</formula1>
    </dataValidation>
    <dataValidation type="list" allowBlank="1" showInputMessage="1" showErrorMessage="1" sqref="C42 E42 G42 I42" xr:uid="{00000000-0002-0000-1500-00000F000000}">
      <formula1>套综工程地质条件</formula1>
    </dataValidation>
    <dataValidation type="list" allowBlank="1" showInputMessage="1" showErrorMessage="1" sqref="C31 E31 G31 I31" xr:uid="{00000000-0002-0000-1500-000010000000}">
      <formula1>临街状况</formula1>
    </dataValidation>
    <dataValidation type="list" allowBlank="1" showInputMessage="1" showErrorMessage="1" sqref="E24 G24 I24 C24" xr:uid="{00000000-0002-0000-1500-000011000000}">
      <formula1>区域土地利用方向</formula1>
    </dataValidation>
    <dataValidation type="list" allowBlank="1" showInputMessage="1" showErrorMessage="1" sqref="C55" xr:uid="{00000000-0002-0000-1500-000012000000}">
      <formula1>"北京市系数,其他省市系数"</formula1>
    </dataValidation>
    <dataValidation type="list" allowBlank="1" showInputMessage="1" showErrorMessage="1" sqref="G62" xr:uid="{00000000-0002-0000-1500-000013000000}">
      <formula1>"商业,办公,住宅,工业"</formula1>
    </dataValidation>
    <dataValidation type="list" allowBlank="1" showInputMessage="1" showErrorMessage="1" sqref="G63" xr:uid="{00000000-0002-0000-1500-000014000000}">
      <formula1>"住宅,工业"</formula1>
    </dataValidation>
    <dataValidation type="list" allowBlank="1" showInputMessage="1" showErrorMessage="1" sqref="D57:D65" xr:uid="{00000000-0002-0000-1500-000015000000}">
      <formula1>"25%,1"</formula1>
    </dataValidation>
    <dataValidation type="list" allowBlank="1" showInputMessage="1" showErrorMessage="1" sqref="C30 E30 G30 I30" xr:uid="{00000000-0002-0000-1500-000016000000}">
      <formula1>基础设施水平</formula1>
    </dataValidation>
    <dataValidation type="list" allowBlank="1" showInputMessage="1" showErrorMessage="1" sqref="A71" xr:uid="{00000000-0002-0000-15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92D050"/>
  </sheetPr>
  <dimension ref="A1:F13"/>
  <sheetViews>
    <sheetView workbookViewId="0">
      <selection activeCell="F7" sqref="F7"/>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62" t="s">
        <v>2523</v>
      </c>
      <c r="B1" s="2563"/>
      <c r="C1" s="2563"/>
      <c r="D1" s="2563"/>
      <c r="E1" s="2564"/>
    </row>
    <row r="2" spans="1:6" ht="15.6">
      <c r="A2" s="2565" t="s">
        <v>2324</v>
      </c>
      <c r="B2" s="2566">
        <f ca="1">SUMIF(B6:B13,"&lt;&gt;#ref!",B6:B13)</f>
        <v>109443</v>
      </c>
      <c r="C2" s="2567" t="s">
        <v>2516</v>
      </c>
      <c r="D2" s="2568" t="s">
        <v>2517</v>
      </c>
      <c r="E2" s="2569">
        <f>SUM(E6:E13)</f>
        <v>73003.73</v>
      </c>
    </row>
    <row r="3" spans="1:6" ht="15.6">
      <c r="A3" s="2565" t="s">
        <v>1389</v>
      </c>
      <c r="B3" s="2566">
        <f ca="1">ROUND(B2*10000/E2,0)</f>
        <v>14991</v>
      </c>
      <c r="C3" s="2567" t="s">
        <v>2524</v>
      </c>
      <c r="D3" s="2570"/>
      <c r="E3" s="2571"/>
    </row>
    <row r="4" spans="1:6" ht="15.6">
      <c r="A4" s="2572"/>
      <c r="B4" s="2570"/>
      <c r="C4" s="2570"/>
      <c r="D4" s="2570"/>
      <c r="E4" s="2571"/>
    </row>
    <row r="5" spans="1:6" ht="14.4">
      <c r="A5" s="2573" t="s">
        <v>2518</v>
      </c>
      <c r="B5" s="3275" t="s">
        <v>2519</v>
      </c>
      <c r="C5" s="3275"/>
      <c r="D5" s="2574"/>
      <c r="E5" s="2575" t="s">
        <v>2520</v>
      </c>
      <c r="F5" s="2576" t="s">
        <v>2521</v>
      </c>
    </row>
    <row r="6" spans="1:6" ht="14.4">
      <c r="A6" s="2577" t="str">
        <f>'数据-取费表'!AN6</f>
        <v>收益法</v>
      </c>
      <c r="B6" s="2576">
        <f ca="1">IF(F6="是",'数据-取费表'!AO6,0)</f>
        <v>107520</v>
      </c>
      <c r="C6" s="2567" t="s">
        <v>2516</v>
      </c>
      <c r="D6" s="2570"/>
      <c r="E6" s="2578">
        <f>IF(OR(A6=0,F6="否"),0,'数据-取费表'!K6+'数据-取费表'!S6)</f>
        <v>65654.289999999994</v>
      </c>
      <c r="F6" s="2579" t="s">
        <v>2522</v>
      </c>
    </row>
    <row r="7" spans="1:6" ht="14.4">
      <c r="A7" s="2577" t="str">
        <f>'数据-取费表'!AN7</f>
        <v>收益法-地下商业</v>
      </c>
      <c r="B7" s="2576">
        <f ca="1">IF(F7="是",'数据-取费表'!AO7,0)</f>
        <v>1923</v>
      </c>
      <c r="C7" s="2567" t="s">
        <v>2516</v>
      </c>
      <c r="D7" s="2570"/>
      <c r="E7" s="2578">
        <f>IF(OR(A7=0,F7="否"),0,'数据-取费表'!K7+'数据-取费表'!S7)</f>
        <v>7349.44</v>
      </c>
      <c r="F7" s="2579" t="s">
        <v>2522</v>
      </c>
    </row>
    <row r="8" spans="1:6" ht="14.4">
      <c r="A8" s="2577">
        <f>'数据-取费表'!AN8</f>
        <v>0</v>
      </c>
      <c r="B8" s="2576" t="e">
        <f ca="1">IF(F8="是",'数据-取费表'!AO8,0)</f>
        <v>#REF!</v>
      </c>
      <c r="C8" s="2567" t="s">
        <v>2516</v>
      </c>
      <c r="D8" s="2570"/>
      <c r="E8" s="2578">
        <f>IF(OR(A8=0,F8="否"),0,'数据-取费表'!K8+'数据-取费表'!S8)</f>
        <v>0</v>
      </c>
      <c r="F8" s="2579" t="s">
        <v>2522</v>
      </c>
    </row>
    <row r="9" spans="1:6" ht="14.4">
      <c r="A9" s="2577">
        <f>'数据-取费表'!AN9</f>
        <v>0</v>
      </c>
      <c r="B9" s="2576" t="e">
        <f ca="1">IF(F9="是",'数据-取费表'!AO9,0)</f>
        <v>#REF!</v>
      </c>
      <c r="C9" s="2567" t="s">
        <v>2516</v>
      </c>
      <c r="D9" s="2570"/>
      <c r="E9" s="2578">
        <f>IF(OR(A9=0,F9="否"),0,'数据-取费表'!K9+'数据-取费表'!S9)</f>
        <v>0</v>
      </c>
      <c r="F9" s="2579" t="s">
        <v>2522</v>
      </c>
    </row>
    <row r="10" spans="1:6" ht="14.4">
      <c r="A10" s="2577">
        <f>'数据-取费表'!AN10</f>
        <v>0</v>
      </c>
      <c r="B10" s="2576" t="e">
        <f ca="1">IF(F10="是",'数据-取费表'!AO10,0)</f>
        <v>#REF!</v>
      </c>
      <c r="C10" s="2567" t="s">
        <v>2516</v>
      </c>
      <c r="D10" s="2570"/>
      <c r="E10" s="2578">
        <f>IF(OR(A10=0,F10="否"),0,'数据-取费表'!K10+'数据-取费表'!S10)</f>
        <v>0</v>
      </c>
      <c r="F10" s="2579" t="s">
        <v>2522</v>
      </c>
    </row>
    <row r="11" spans="1:6" ht="14.4">
      <c r="A11" s="2577">
        <f>'数据-取费表'!AN11</f>
        <v>0</v>
      </c>
      <c r="B11" s="2576" t="e">
        <f ca="1">IF(F11="是",'数据-取费表'!AO11,0)</f>
        <v>#REF!</v>
      </c>
      <c r="C11" s="2567" t="s">
        <v>2516</v>
      </c>
      <c r="D11" s="2570"/>
      <c r="E11" s="2578">
        <f>IF(OR(A11=0,F11="否"),0,'数据-取费表'!K11+'数据-取费表'!S11)</f>
        <v>0</v>
      </c>
      <c r="F11" s="2579" t="s">
        <v>2522</v>
      </c>
    </row>
    <row r="12" spans="1:6" ht="14.4">
      <c r="A12" s="2577">
        <f>'数据-取费表'!AN12</f>
        <v>0</v>
      </c>
      <c r="B12" s="2576" t="e">
        <f ca="1">IF(F12="是",'数据-取费表'!AO12,0)</f>
        <v>#REF!</v>
      </c>
      <c r="C12" s="2567" t="s">
        <v>2516</v>
      </c>
      <c r="D12" s="2570"/>
      <c r="E12" s="2578">
        <f>IF(OR(A12=0,F12="否"),0,'数据-取费表'!K12+'数据-取费表'!S12)</f>
        <v>0</v>
      </c>
      <c r="F12" s="2579" t="s">
        <v>2522</v>
      </c>
    </row>
    <row r="13" spans="1:6" ht="15" thickBot="1">
      <c r="A13" s="2580">
        <f>'数据-取费表'!AN13</f>
        <v>0</v>
      </c>
      <c r="B13" s="2576" t="e">
        <f ca="1">IF(F13="是",'数据-取费表'!AO13,0)</f>
        <v>#REF!</v>
      </c>
      <c r="C13" s="2581" t="s">
        <v>2516</v>
      </c>
      <c r="D13" s="2582"/>
      <c r="E13" s="2578">
        <f>IF(OR(A13=0,F13="否"),0,'数据-取费表'!K13+'数据-取费表'!S13)</f>
        <v>0</v>
      </c>
      <c r="F13" s="2579" t="s">
        <v>2522</v>
      </c>
    </row>
  </sheetData>
  <sheetProtection password="C66D" sheet="1" objects="1" scenarios="1" formatCells="0"/>
  <mergeCells count="1">
    <mergeCell ref="B5:C5"/>
  </mergeCells>
  <phoneticPr fontId="144" type="noConversion"/>
  <dataValidations count="1">
    <dataValidation type="list" allowBlank="1" showInputMessage="1" showErrorMessage="1" sqref="F6:F13" xr:uid="{00000000-0002-0000-1600-000000000000}">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zoomScale="70" zoomScaleNormal="70" zoomScaleSheetLayoutView="90" workbookViewId="0">
      <selection activeCell="J56" sqref="J5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1583</v>
      </c>
      <c r="B1" s="782"/>
      <c r="C1" s="1836" t="s">
        <v>1372</v>
      </c>
      <c r="D1" s="1819" t="s">
        <v>70</v>
      </c>
      <c r="E1" s="1820" t="s">
        <v>1381</v>
      </c>
      <c r="F1" s="1283">
        <f ca="1">J53</f>
        <v>36.97</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107520</v>
      </c>
      <c r="C2" s="1844" t="s">
        <v>1510</v>
      </c>
      <c r="D2" s="1844"/>
      <c r="E2" s="1845"/>
      <c r="F2" s="1846"/>
      <c r="G2" s="1847"/>
      <c r="H2" s="1839"/>
      <c r="I2" s="1839"/>
      <c r="J2" s="1839"/>
      <c r="K2" s="1840"/>
      <c r="L2" s="1839"/>
      <c r="M2" s="1839"/>
    </row>
    <row r="3" spans="1:37" ht="18" customHeight="1" thickBot="1">
      <c r="A3" s="1848" t="s">
        <v>1511</v>
      </c>
      <c r="B3" s="1849">
        <f ca="1">IF(ISERROR(B2*10000/F43),0,ROUND(B2*10000/F43,0))</f>
        <v>16377</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6263</v>
      </c>
      <c r="D5" s="1821" t="s">
        <v>1396</v>
      </c>
      <c r="E5" s="1293"/>
      <c r="F5" s="1294"/>
      <c r="G5" s="1850"/>
      <c r="H5" s="344">
        <v>1</v>
      </c>
      <c r="I5" s="345" t="s">
        <v>1395</v>
      </c>
      <c r="J5" s="1292">
        <f ca="1">J6+J10+J12</f>
        <v>0</v>
      </c>
      <c r="K5" s="1821" t="s">
        <v>1396</v>
      </c>
      <c r="L5" s="1293"/>
      <c r="M5" s="1294"/>
    </row>
    <row r="6" spans="1:37" ht="18" customHeight="1">
      <c r="A6" s="1291" t="s">
        <v>1031</v>
      </c>
      <c r="B6" s="3278" t="s">
        <v>1397</v>
      </c>
      <c r="C6" s="1296">
        <f ca="1">ROUND(F6*F8*F7*(1-F9)/10000,0)</f>
        <v>6255</v>
      </c>
      <c r="D6" s="164" t="s">
        <v>3028</v>
      </c>
      <c r="E6" s="347" t="s">
        <v>1399</v>
      </c>
      <c r="F6" s="348">
        <f ca="1">INDIRECT("'数据-取费表'!u"&amp;$G$1)</f>
        <v>2.9</v>
      </c>
      <c r="G6" s="1850"/>
      <c r="H6" s="1291" t="s">
        <v>1031</v>
      </c>
      <c r="I6" s="3278" t="s">
        <v>1397</v>
      </c>
      <c r="J6" s="346">
        <f ca="1">ROUND(M6*M8*M7*(1-M9)/10000,0)</f>
        <v>0</v>
      </c>
      <c r="K6" s="164" t="s">
        <v>3027</v>
      </c>
      <c r="L6" s="347" t="s">
        <v>1399</v>
      </c>
      <c r="M6" s="348">
        <f ca="1">INDIRECT("'数据-取费表'!z"&amp;$G$1)</f>
        <v>0</v>
      </c>
    </row>
    <row r="7" spans="1:37" ht="18" customHeight="1">
      <c r="A7" s="1295"/>
      <c r="B7" s="3279"/>
      <c r="C7" s="1297"/>
      <c r="D7" s="352"/>
      <c r="E7" s="1298" t="s">
        <v>1400</v>
      </c>
      <c r="F7" s="348">
        <f ca="1">IF(INDIRECT("'数据-取费表'!ah"&amp;$G$1)="",INDIRECT("'数据-取费表'!k"&amp;$G$1),INDIRECT("'数据-取费表'!ah"&amp;$G$1))</f>
        <v>65654.289999999994</v>
      </c>
      <c r="G7" s="1850"/>
      <c r="H7" s="349"/>
      <c r="I7" s="3279"/>
      <c r="J7" s="351"/>
      <c r="K7" s="352"/>
      <c r="L7" s="347" t="s">
        <v>1400</v>
      </c>
      <c r="M7" s="348">
        <f ca="1">F7</f>
        <v>65654.289999999994</v>
      </c>
    </row>
    <row r="8" spans="1:37" ht="18" customHeight="1">
      <c r="A8" s="349"/>
      <c r="B8" s="3279"/>
      <c r="C8" s="351"/>
      <c r="D8" s="352"/>
      <c r="E8" s="347" t="s">
        <v>1401</v>
      </c>
      <c r="F8" s="348">
        <f ca="1">INDIRECT("'数据-取费表'!ai"&amp;$G$1)</f>
        <v>365</v>
      </c>
      <c r="G8" s="1850"/>
      <c r="H8" s="349"/>
      <c r="I8" s="3279"/>
      <c r="J8" s="351"/>
      <c r="K8" s="352"/>
      <c r="L8" s="347" t="s">
        <v>1401</v>
      </c>
      <c r="M8" s="348">
        <f ca="1">INDIRECT("'数据-取费表'!ai"&amp;$G$1)</f>
        <v>365</v>
      </c>
    </row>
    <row r="9" spans="1:37" ht="18" customHeight="1">
      <c r="A9" s="349"/>
      <c r="B9" s="3280"/>
      <c r="C9" s="351"/>
      <c r="D9" s="352"/>
      <c r="E9" s="347" t="s">
        <v>1402</v>
      </c>
      <c r="F9" s="357">
        <f ca="1">INDIRECT("'数据-取费表'!w"&amp;$G$1)</f>
        <v>0.1</v>
      </c>
      <c r="G9" s="1850"/>
      <c r="H9" s="349"/>
      <c r="I9" s="3280"/>
      <c r="J9" s="351"/>
      <c r="K9" s="352"/>
      <c r="L9" s="358" t="s">
        <v>1402</v>
      </c>
      <c r="M9" s="359">
        <f ca="1">INDIRECT("'数据-取费表'!ab"&amp;$G$1)</f>
        <v>0</v>
      </c>
    </row>
    <row r="10" spans="1:37" ht="18" customHeight="1">
      <c r="A10" s="1291" t="s">
        <v>1035</v>
      </c>
      <c r="B10" s="1822" t="s">
        <v>1403</v>
      </c>
      <c r="C10" s="361">
        <f ca="1">ROUND(IF(F10="押一",C6/12*F11,IF(F10="押二",C6/12*2*F11,IF(F10="押三",C6/12*3*F11,C11*F11))),0)</f>
        <v>8</v>
      </c>
      <c r="D10" s="1823" t="s">
        <v>3037</v>
      </c>
      <c r="E10" s="358" t="s">
        <v>1404</v>
      </c>
      <c r="F10" s="1366" t="s">
        <v>3083</v>
      </c>
      <c r="G10" s="1850"/>
      <c r="H10" s="1291" t="s">
        <v>1035</v>
      </c>
      <c r="I10" s="1822" t="s">
        <v>1403</v>
      </c>
      <c r="J10" s="346">
        <f ca="1">ROUND(IF(M10="押一",J6/12*M11,IF(M10="押二",J6/12*2*M11,IF(M10="押三",J6/12*3*M11,J11*M11))),0)</f>
        <v>0</v>
      </c>
      <c r="K10" s="1823" t="s">
        <v>3036</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34189</v>
      </c>
      <c r="D13" s="1331" t="s">
        <v>1409</v>
      </c>
      <c r="E13" s="1331" t="s">
        <v>1410</v>
      </c>
      <c r="F13" s="1332">
        <f ca="1">INDIRECT("'数据-取费表'!y"&amp;$G$1)</f>
        <v>0.97</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22979</v>
      </c>
      <c r="D14" s="1799" t="s">
        <v>1412</v>
      </c>
      <c r="E14" s="1793"/>
      <c r="F14" s="364"/>
      <c r="G14" s="1850"/>
      <c r="H14" s="1201" t="s">
        <v>1031</v>
      </c>
      <c r="I14" s="347" t="s">
        <v>1413</v>
      </c>
      <c r="J14" s="24">
        <f ca="1">C29</f>
        <v>35246</v>
      </c>
      <c r="K14" s="15"/>
      <c r="L14" s="979"/>
      <c r="M14" s="980"/>
    </row>
    <row r="15" spans="1:37" s="1857" customFormat="1" ht="18" customHeight="1" thickBot="1">
      <c r="A15" s="1201" t="s">
        <v>1032</v>
      </c>
      <c r="B15" s="347" t="s">
        <v>1414</v>
      </c>
      <c r="C15" s="24">
        <f ca="1">ROUND(C14*F15,0)</f>
        <v>919</v>
      </c>
      <c r="D15" s="365" t="s">
        <v>1415</v>
      </c>
      <c r="E15" s="365" t="s">
        <v>1416</v>
      </c>
      <c r="F15" s="366">
        <f>'数据-取费表'!B33</f>
        <v>0.04</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825</v>
      </c>
      <c r="K16" s="1337" t="s">
        <v>1419</v>
      </c>
      <c r="L16" s="1338"/>
      <c r="M16" s="1294"/>
    </row>
    <row r="17" spans="1:37" s="1857" customFormat="1" ht="18" customHeight="1">
      <c r="A17" s="1201" t="s">
        <v>1384</v>
      </c>
      <c r="B17" s="347" t="s">
        <v>1420</v>
      </c>
      <c r="C17" s="24">
        <f ca="1">ROUND(F17*(F43+INDIRECT("'数据-取费表'!S"&amp;$G$1))/10000,0)</f>
        <v>1313</v>
      </c>
      <c r="D17" s="347" t="s">
        <v>1421</v>
      </c>
      <c r="E17" s="347" t="s">
        <v>1422</v>
      </c>
      <c r="F17" s="26">
        <f>'数据-取费表'!B35</f>
        <v>200</v>
      </c>
      <c r="G17" s="1853"/>
      <c r="H17" s="1201" t="s">
        <v>1031</v>
      </c>
      <c r="I17" s="347" t="s">
        <v>1423</v>
      </c>
      <c r="J17" s="24">
        <f ca="1">ROUND(IF(项目基本情况!B11="自然人",J6*M17/(1+'数据-取费表'!C42),J18+J19+J20),1)</f>
        <v>296.10000000000002</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345</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25556</v>
      </c>
      <c r="D19" s="140" t="s">
        <v>1430</v>
      </c>
      <c r="E19" s="1817"/>
      <c r="F19" s="26"/>
      <c r="G19" s="1850"/>
      <c r="H19" s="1201" t="s">
        <v>1032</v>
      </c>
      <c r="I19" s="347" t="s">
        <v>1431</v>
      </c>
      <c r="J19" s="24">
        <f ca="1">IF(K19="按租金收入计税",ROUND(J6*M19/(1+'数据-取费表'!C42),2),ROUND(C29*M19*0.7,2))</f>
        <v>296.07</v>
      </c>
      <c r="K19" s="1827" t="s">
        <v>1432</v>
      </c>
      <c r="L19" s="347" t="s">
        <v>1416</v>
      </c>
      <c r="M19" s="367">
        <f>IF(K19="按租金收入计税",'数据-取费表'!B51,'数据-取费表'!B50)</f>
        <v>1.2E-2</v>
      </c>
    </row>
    <row r="20" spans="1:37" s="1857" customFormat="1" ht="18" customHeight="1">
      <c r="A20" s="1201" t="s">
        <v>1035</v>
      </c>
      <c r="B20" s="347" t="s">
        <v>1433</v>
      </c>
      <c r="C20" s="24">
        <f ca="1">ROUND(C19*F20,0)</f>
        <v>511</v>
      </c>
      <c r="D20" s="369" t="s">
        <v>1434</v>
      </c>
      <c r="E20" s="347" t="s">
        <v>1416</v>
      </c>
      <c r="F20" s="367">
        <f>'数据-取费表'!B37</f>
        <v>0.02</v>
      </c>
      <c r="G20" s="1853"/>
      <c r="H20" s="1201" t="s">
        <v>1383</v>
      </c>
      <c r="I20" s="164" t="s">
        <v>1435</v>
      </c>
      <c r="J20" s="25">
        <f ca="1">ROUND(M20*M21/10000,2)</f>
        <v>0</v>
      </c>
      <c r="K20" s="370" t="s">
        <v>1436</v>
      </c>
      <c r="L20" s="347" t="s">
        <v>1437</v>
      </c>
      <c r="M20" s="371">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528.70000000000005</v>
      </c>
      <c r="K22" s="1797"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1238</v>
      </c>
      <c r="D23" s="375" t="str">
        <f>IF(F23&lt;=1,"(建造成本+管理费用)×利率×(建设周期÷2)","(建造成本+管理费用)×((1+利率)^(建设周期÷2)-1)")</f>
        <v>(建造成本+管理费用)×((1+利率)^(建设周期÷2)-1)</v>
      </c>
      <c r="E23" s="347" t="s">
        <v>1446</v>
      </c>
      <c r="F23" s="371">
        <f>'数据-取费表'!B20</f>
        <v>2</v>
      </c>
      <c r="G23" s="1853"/>
      <c r="H23" s="1201" t="s">
        <v>1071</v>
      </c>
      <c r="I23" s="347" t="s">
        <v>1447</v>
      </c>
      <c r="J23" s="24">
        <f ca="1">ROUND(J13*M23,1)</f>
        <v>0</v>
      </c>
      <c r="K23" s="1797"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ROUND(J5*M24,1)</f>
        <v>0</v>
      </c>
      <c r="K24" s="1342" t="s">
        <v>1453</v>
      </c>
      <c r="L24" s="1340" t="s">
        <v>1449</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9" t="s">
        <v>1027</v>
      </c>
      <c r="I25" s="1344" t="s">
        <v>1457</v>
      </c>
      <c r="J25" s="355">
        <f ca="1">J5-J16</f>
        <v>-825</v>
      </c>
      <c r="K25" s="1345" t="s">
        <v>1458</v>
      </c>
      <c r="L25" s="1346"/>
      <c r="M25" s="1347"/>
    </row>
    <row r="26" spans="1:37">
      <c r="A26" s="1201" t="s">
        <v>1030</v>
      </c>
      <c r="B26" s="347" t="s">
        <v>1459</v>
      </c>
      <c r="C26" s="24">
        <f ca="1">ROUND((C19+C20)*F26,0)</f>
        <v>5213</v>
      </c>
      <c r="D26" s="369" t="s">
        <v>1460</v>
      </c>
      <c r="E26" s="358" t="s">
        <v>1461</v>
      </c>
      <c r="F26" s="357">
        <f ca="1">INDIRECT("'数据-取费表'!q"&amp;$G$1)</f>
        <v>0.2</v>
      </c>
      <c r="G26" s="1850"/>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35246</v>
      </c>
      <c r="D29" s="1342"/>
      <c r="E29" s="1340"/>
      <c r="F29" s="1343"/>
      <c r="G29" s="1853"/>
      <c r="H29" s="380" t="s">
        <v>1029</v>
      </c>
      <c r="I29" s="381" t="s">
        <v>1473</v>
      </c>
      <c r="J29" s="382">
        <f ca="1">ROUND(J26/(1+F40)^F41,0)</f>
        <v>0</v>
      </c>
      <c r="K29" s="383" t="s">
        <v>1474</v>
      </c>
      <c r="L29" s="384"/>
      <c r="M29" s="385">
        <f ca="1">INDIRECT("'数据-取费表'!k"&amp;$G$1)</f>
        <v>65654.289999999994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1716</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ROUND(IF(项目基本情况!B11="自然人",C6*F31/(1+'数据-取费表'!C42),C32+C33+C34),1)</f>
        <v>1042.5</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327.64</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714.86</v>
      </c>
      <c r="D33" s="1827" t="s">
        <v>3080</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0</v>
      </c>
      <c r="D34" s="370" t="s">
        <v>1436</v>
      </c>
      <c r="E34" s="347" t="s">
        <v>1437</v>
      </c>
      <c r="F34" s="371">
        <f>'数据-取费表'!B52</f>
        <v>5</v>
      </c>
      <c r="G34" s="1850"/>
      <c r="H34" s="745"/>
      <c r="I34" s="1859"/>
      <c r="J34" s="1860"/>
      <c r="K34" s="1862"/>
      <c r="L34" s="1863"/>
      <c r="M34" s="1863"/>
    </row>
    <row r="35" spans="1:18" ht="18" customHeight="1">
      <c r="A35" s="1353"/>
      <c r="B35" s="1351"/>
      <c r="C35" s="29"/>
      <c r="D35" s="373"/>
      <c r="E35" s="347" t="s">
        <v>1441</v>
      </c>
      <c r="F35" s="348">
        <f ca="1">INDIRECT("'数据-取费表'!r"&amp;$G$1)</f>
        <v>0</v>
      </c>
      <c r="G35" s="1850"/>
      <c r="H35" s="745"/>
      <c r="I35" s="1859"/>
      <c r="J35" s="1860"/>
      <c r="K35" s="1861"/>
      <c r="L35" s="1858"/>
      <c r="M35" s="1858"/>
    </row>
    <row r="36" spans="1:18" ht="18" customHeight="1">
      <c r="A36" s="1352" t="s">
        <v>1035</v>
      </c>
      <c r="B36" s="347" t="s">
        <v>1443</v>
      </c>
      <c r="C36" s="24">
        <f ca="1">ROUND(C29*F36,1)</f>
        <v>528.70000000000005</v>
      </c>
      <c r="D36" s="1797"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51.3</v>
      </c>
      <c r="D37" s="1797" t="s">
        <v>1448</v>
      </c>
      <c r="E37" s="347" t="s">
        <v>1449</v>
      </c>
      <c r="F37" s="376">
        <f ca="1">INDIRECT("'数据-取费表'!Al"&amp;$G$1)</f>
        <v>1.5E-3</v>
      </c>
      <c r="G37" s="1850"/>
      <c r="H37" s="1858"/>
      <c r="I37" s="1859"/>
      <c r="J37" s="1860"/>
      <c r="K37" s="751"/>
      <c r="L37" s="1858"/>
      <c r="M37" s="1858"/>
    </row>
    <row r="38" spans="1:18" ht="18" customHeight="1" thickBot="1">
      <c r="A38" s="1339" t="s">
        <v>1387</v>
      </c>
      <c r="B38" s="1340" t="s">
        <v>1433</v>
      </c>
      <c r="C38" s="1341">
        <f ca="1">ROUND(C5*F38,1)</f>
        <v>93.9</v>
      </c>
      <c r="D38" s="1342" t="s">
        <v>1453</v>
      </c>
      <c r="E38" s="1340" t="s">
        <v>1449</v>
      </c>
      <c r="F38" s="1336">
        <f ca="1">INDIRECT("'数据-取费表'!Am"&amp;$G$1)</f>
        <v>1.4999999999999999E-2</v>
      </c>
      <c r="G38" s="1850"/>
      <c r="H38" s="1858"/>
      <c r="I38" s="1859"/>
      <c r="J38" s="1860"/>
      <c r="K38" s="1864"/>
      <c r="L38" s="1858"/>
      <c r="M38" s="1858"/>
    </row>
    <row r="39" spans="1:18" ht="24.6" customHeight="1" thickTop="1">
      <c r="A39" s="1329" t="s">
        <v>1027</v>
      </c>
      <c r="B39" s="1344" t="s">
        <v>1477</v>
      </c>
      <c r="C39" s="355">
        <f ca="1">C5-C30</f>
        <v>4547</v>
      </c>
      <c r="D39" s="1345" t="s">
        <v>1478</v>
      </c>
      <c r="E39" s="1346"/>
      <c r="F39" s="1347"/>
      <c r="G39" s="1850"/>
      <c r="H39" s="1858"/>
      <c r="I39" s="1859"/>
      <c r="J39" s="1860"/>
      <c r="K39" s="1864"/>
      <c r="L39" s="1858"/>
      <c r="M39" s="1858"/>
    </row>
    <row r="40" spans="1:18" ht="18" customHeight="1">
      <c r="A40" s="344" t="s">
        <v>1028</v>
      </c>
      <c r="B40" s="345" t="s">
        <v>1479</v>
      </c>
      <c r="C40" s="346">
        <f ca="1">ROUND(C39*(1-((1+F42)/(1+F40))^F41)/(F40-F42),0)</f>
        <v>106937</v>
      </c>
      <c r="D40" s="370" t="s">
        <v>1463</v>
      </c>
      <c r="E40" s="347" t="s">
        <v>1464</v>
      </c>
      <c r="F40" s="357">
        <f ca="1">INDIRECT("'数据-取费表'!I"&amp;$G$1)</f>
        <v>5.5E-2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36.97</v>
      </c>
      <c r="G41" s="1850"/>
      <c r="H41" s="732"/>
      <c r="I41" s="1859"/>
      <c r="J41" s="1860"/>
      <c r="K41" s="751"/>
      <c r="L41" s="732"/>
      <c r="M41" s="732"/>
    </row>
    <row r="42" spans="1:18" ht="18" customHeight="1">
      <c r="A42" s="353"/>
      <c r="B42" s="354"/>
      <c r="C42" s="355"/>
      <c r="D42" s="373"/>
      <c r="E42" s="347" t="s">
        <v>1471</v>
      </c>
      <c r="F42" s="357">
        <f ca="1">INDIRECT("'数据-取费表'!v"&amp;$G$1)</f>
        <v>0.03</v>
      </c>
      <c r="G42" s="1850"/>
      <c r="H42" s="732"/>
      <c r="I42" s="1859"/>
      <c r="J42" s="1860"/>
      <c r="K42" s="751"/>
      <c r="L42" s="732"/>
      <c r="M42" s="732"/>
    </row>
    <row r="43" spans="1:18" ht="18" customHeight="1" thickBot="1">
      <c r="A43" s="380" t="s">
        <v>1029</v>
      </c>
      <c r="B43" s="381" t="s">
        <v>1481</v>
      </c>
      <c r="C43" s="382">
        <f ca="1">ROUND(C40*10000/F43,0)</f>
        <v>16288</v>
      </c>
      <c r="D43" s="383" t="s">
        <v>1482</v>
      </c>
      <c r="E43" s="384" t="s">
        <v>1483</v>
      </c>
      <c r="F43" s="385">
        <f ca="1">INDIRECT("'数据-取费表'!k"&amp;$G$1)</f>
        <v>65654.289999999994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8" thickBot="1">
      <c r="A46" s="1869" t="s">
        <v>1514</v>
      </c>
      <c r="C46" s="1870">
        <f ca="1">C68-C40</f>
        <v>-162424</v>
      </c>
      <c r="D46" s="1871" t="str">
        <f>C2</f>
        <v>万元</v>
      </c>
      <c r="E46" s="1865"/>
      <c r="F46" s="1865"/>
      <c r="I46" s="1872" t="s">
        <v>1515</v>
      </c>
      <c r="J46" s="1873"/>
      <c r="K46" s="1874"/>
      <c r="L46" s="1875">
        <f ca="1">IF(M47="住宅",0,IF(L48&gt;J51,L60,J60))</f>
        <v>583</v>
      </c>
      <c r="O46" s="1876" t="s">
        <v>1516</v>
      </c>
      <c r="P46" s="1877" t="s">
        <v>1517</v>
      </c>
      <c r="Q46" s="1878" t="s">
        <v>1518</v>
      </c>
      <c r="R46" s="1878" t="s">
        <v>1519</v>
      </c>
    </row>
    <row r="47" spans="1:18" s="1841" customFormat="1" ht="13.8" thickBot="1">
      <c r="A47" s="1165" t="s">
        <v>1390</v>
      </c>
      <c r="B47" s="1197" t="s">
        <v>1391</v>
      </c>
      <c r="C47" s="1367" t="s">
        <v>1392</v>
      </c>
      <c r="D47" s="1197" t="s">
        <v>1393</v>
      </c>
      <c r="E47" s="1279" t="s">
        <v>1394</v>
      </c>
      <c r="F47" s="1280"/>
      <c r="G47" s="792"/>
      <c r="I47" s="1879" t="s">
        <v>1520</v>
      </c>
      <c r="J47" s="1880" t="s">
        <v>3081</v>
      </c>
      <c r="K47" s="1881" t="s">
        <v>1521</v>
      </c>
      <c r="L47" s="1882">
        <f ca="1">INDIRECT("'数据-取费表'!d"&amp;$G$1)</f>
        <v>40</v>
      </c>
      <c r="M47" s="1837" t="str">
        <f>IF(ISNUMBER(FIND("住宅",C1)),"住宅","非住宅")</f>
        <v>非住宅</v>
      </c>
      <c r="O47" s="1883" t="s">
        <v>1036</v>
      </c>
      <c r="P47" s="1884" t="s">
        <v>1522</v>
      </c>
      <c r="Q47" s="1885">
        <f ca="1">C40+J29</f>
        <v>106937</v>
      </c>
      <c r="R47" s="1885" t="s">
        <v>1523</v>
      </c>
    </row>
    <row r="48" spans="1:18" s="1841" customFormat="1" ht="40.200000000000003" thickBot="1">
      <c r="A48" s="1360" t="s">
        <v>1131</v>
      </c>
      <c r="B48" s="345" t="s">
        <v>1395</v>
      </c>
      <c r="C48" s="1816">
        <f ca="1">C49+C53+C55</f>
        <v>0</v>
      </c>
      <c r="D48" s="1362"/>
      <c r="E48" s="1363"/>
      <c r="F48" s="1181"/>
      <c r="G48" s="792"/>
      <c r="H48" s="793"/>
      <c r="I48" s="1886" t="s">
        <v>1524</v>
      </c>
      <c r="J48" s="1887" t="s">
        <v>3082</v>
      </c>
      <c r="K48" s="1888" t="s">
        <v>1525</v>
      </c>
      <c r="L48" s="1889">
        <f ca="1">INDIRECT("'数据-取费表'!f"&amp;$G$1)</f>
        <v>36.97</v>
      </c>
      <c r="O48" s="1883" t="s">
        <v>1037</v>
      </c>
      <c r="P48" s="1884" t="s">
        <v>1526</v>
      </c>
      <c r="Q48" s="1885">
        <f ca="1">J60</f>
        <v>583</v>
      </c>
      <c r="R48" s="1885" t="s">
        <v>1527</v>
      </c>
    </row>
    <row r="49" spans="1:18" s="1841" customFormat="1" ht="13.8" thickBot="1">
      <c r="A49" s="1194" t="s">
        <v>1132</v>
      </c>
      <c r="B49" s="1828" t="s">
        <v>1484</v>
      </c>
      <c r="C49" s="1364">
        <f ca="1">ROUND(F49*F51*F50*(1-F52)/10000,0)</f>
        <v>0</v>
      </c>
      <c r="D49" s="1276" t="s">
        <v>3029</v>
      </c>
      <c r="E49" s="1829" t="s">
        <v>1485</v>
      </c>
      <c r="F49" s="1281"/>
      <c r="G49" s="1890"/>
      <c r="H49" s="793"/>
      <c r="I49" s="1886" t="s">
        <v>1528</v>
      </c>
      <c r="J49" s="1891">
        <v>2018</v>
      </c>
      <c r="K49" s="1888" t="s">
        <v>1529</v>
      </c>
      <c r="L49" s="1892"/>
      <c r="O49" s="1893" t="s">
        <v>1038</v>
      </c>
      <c r="P49" s="1884" t="s">
        <v>1530</v>
      </c>
      <c r="Q49" s="1885">
        <f ca="1">C29</f>
        <v>35246</v>
      </c>
      <c r="R49" s="1885" t="s">
        <v>1523</v>
      </c>
    </row>
    <row r="50" spans="1:18" s="1841" customFormat="1" ht="13.8" thickBot="1">
      <c r="A50" s="1195"/>
      <c r="B50" s="1198"/>
      <c r="C50" s="1368"/>
      <c r="D50" s="1172"/>
      <c r="E50" s="1277" t="s">
        <v>1400</v>
      </c>
      <c r="F50" s="1278">
        <f ca="1">F7</f>
        <v>65654.289999999994</v>
      </c>
      <c r="H50" s="793"/>
      <c r="I50" s="1886" t="s">
        <v>1531</v>
      </c>
      <c r="J50" s="1894">
        <f>SUMPRODUCT((I63:I65=J47)*(J62:L62=J48)*(J63:L65))</f>
        <v>60</v>
      </c>
      <c r="K50" s="1888" t="s">
        <v>1532</v>
      </c>
      <c r="L50" s="1892"/>
      <c r="M50" s="1895"/>
      <c r="O50" s="1893" t="s">
        <v>1039</v>
      </c>
      <c r="P50" s="1884" t="s">
        <v>1533</v>
      </c>
      <c r="Q50" s="1896">
        <f ca="1">J58</f>
        <v>0.4</v>
      </c>
      <c r="R50" s="1885"/>
    </row>
    <row r="51" spans="1:18" s="1841" customFormat="1" ht="13.8" thickBot="1">
      <c r="A51" s="1196"/>
      <c r="B51" s="1198"/>
      <c r="C51" s="1199"/>
      <c r="D51" s="1172"/>
      <c r="E51" s="1200" t="s">
        <v>1401</v>
      </c>
      <c r="F51" s="348">
        <f ca="1">F8</f>
        <v>365</v>
      </c>
      <c r="I51" s="1897" t="s">
        <v>1534</v>
      </c>
      <c r="J51" s="1898">
        <f>IF(J49="",J50,J49+J50-YEAR('数据-取费表'!B2))</f>
        <v>58</v>
      </c>
      <c r="K51" s="1899" t="s">
        <v>1535</v>
      </c>
      <c r="L51" s="1900">
        <f ca="1">ROUND(-PV(INDIRECT("'数据-取费表'!h"&amp;$G$1),L48,(C39-C13*C76),0),0)</f>
        <v>27414</v>
      </c>
      <c r="M51" s="1901"/>
      <c r="O51" s="1893" t="s">
        <v>1040</v>
      </c>
      <c r="P51" s="1884" t="s">
        <v>1536</v>
      </c>
      <c r="Q51" s="1896">
        <f>J52</f>
        <v>0.09</v>
      </c>
      <c r="R51" s="1885"/>
    </row>
    <row r="52" spans="1:18" s="1841" customFormat="1" ht="13.8" thickBot="1">
      <c r="A52" s="1196"/>
      <c r="B52" s="1198"/>
      <c r="C52" s="1199"/>
      <c r="D52" s="1172"/>
      <c r="E52" s="1200" t="s">
        <v>1402</v>
      </c>
      <c r="F52" s="1275"/>
      <c r="I52" s="1902" t="s">
        <v>1537</v>
      </c>
      <c r="J52" s="1903">
        <v>0.09</v>
      </c>
      <c r="K52" s="1902" t="s">
        <v>1538</v>
      </c>
      <c r="L52" s="1903"/>
      <c r="O52" s="1893" t="s">
        <v>1041</v>
      </c>
      <c r="P52" s="1884" t="s">
        <v>1539</v>
      </c>
      <c r="Q52" s="1885">
        <f ca="1">J53</f>
        <v>36.97</v>
      </c>
      <c r="R52" s="1885" t="s">
        <v>1540</v>
      </c>
    </row>
    <row r="53" spans="1:18" s="1841" customFormat="1" ht="36.6" thickBot="1">
      <c r="A53" s="1405" t="s">
        <v>1133</v>
      </c>
      <c r="B53" s="1830" t="s">
        <v>1403</v>
      </c>
      <c r="C53" s="361">
        <f ca="1">ROUND(IF(F53="押一",C49/12*F11,IF(F53="押二",C49/12*2*F11,IF(F53="押三",C49/12*3*F11,C54*F11))),0)</f>
        <v>0</v>
      </c>
      <c r="D53" s="1823" t="s">
        <v>3036</v>
      </c>
      <c r="E53" s="358" t="s">
        <v>1404</v>
      </c>
      <c r="F53" s="1366"/>
      <c r="I53" s="1904" t="s">
        <v>1541</v>
      </c>
      <c r="J53" s="2951">
        <f ca="1">IF(M47="住宅",IF(D1="——",MAX(J51,L48),MAX(J51,L48-'数据-取费表'!B24)),IF(D1="——",MIN(J51,L48),MIN(J51,L48-'数据-取费表'!B24)))</f>
        <v>36.97</v>
      </c>
      <c r="K53" s="3276" t="s">
        <v>1542</v>
      </c>
      <c r="L53" s="3277"/>
      <c r="O53" s="1883" t="s">
        <v>1042</v>
      </c>
      <c r="P53" s="1884" t="s">
        <v>1543</v>
      </c>
      <c r="Q53" s="1885">
        <f ca="1">Q47+Q48</f>
        <v>107520</v>
      </c>
      <c r="R53" s="1885" t="s">
        <v>1043</v>
      </c>
    </row>
    <row r="54" spans="1:18" s="1841" customFormat="1" ht="24.6" thickBot="1">
      <c r="A54" s="1406"/>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8" thickBot="1">
      <c r="A55" s="1333" t="s">
        <v>1071</v>
      </c>
      <c r="B55" s="1826" t="s">
        <v>1407</v>
      </c>
      <c r="C55" s="1334"/>
      <c r="D55" s="1823"/>
      <c r="E55" s="1831"/>
      <c r="F55" s="1905"/>
      <c r="I55" s="1908" t="s">
        <v>1545</v>
      </c>
      <c r="J55" s="1909">
        <f ca="1">ROUND(IF(J47="钢混",J57/J50,1-(1-2%)*(J50-J57)/J50),3)</f>
        <v>0.35099999999999998</v>
      </c>
      <c r="K55" s="1910" t="s">
        <v>1546</v>
      </c>
      <c r="L55" s="1911" t="s">
        <v>1547</v>
      </c>
      <c r="O55" s="1876" t="s">
        <v>1516</v>
      </c>
      <c r="P55" s="1877" t="s">
        <v>1517</v>
      </c>
      <c r="Q55" s="1878" t="s">
        <v>1518</v>
      </c>
      <c r="R55" s="1878" t="s">
        <v>1519</v>
      </c>
    </row>
    <row r="56" spans="1:18" s="1841" customFormat="1" ht="37.200000000000003" thickTop="1" thickBot="1">
      <c r="A56" s="1176">
        <v>2</v>
      </c>
      <c r="B56" s="1177" t="s">
        <v>1408</v>
      </c>
      <c r="C56" s="276">
        <f ca="1">C13</f>
        <v>34189</v>
      </c>
      <c r="D56" s="1912"/>
      <c r="E56" s="1913"/>
      <c r="F56" s="1905"/>
      <c r="I56" s="1914" t="s">
        <v>1548</v>
      </c>
      <c r="J56" s="1915" t="s">
        <v>3059</v>
      </c>
      <c r="K56" s="1886" t="s">
        <v>1549</v>
      </c>
      <c r="L56" s="1889" t="str">
        <f ca="1">IF(L48&lt;J51,"——",L48-J53)</f>
        <v>——</v>
      </c>
      <c r="O56" s="1883" t="s">
        <v>1036</v>
      </c>
      <c r="P56" s="1884" t="s">
        <v>1522</v>
      </c>
      <c r="Q56" s="1885">
        <f ca="1">C40+J29</f>
        <v>106937</v>
      </c>
      <c r="R56" s="1885" t="s">
        <v>1523</v>
      </c>
    </row>
    <row r="57" spans="1:18" s="1841" customFormat="1" ht="24.6" thickBot="1">
      <c r="A57" s="1916"/>
      <c r="B57" s="1169" t="s">
        <v>1472</v>
      </c>
      <c r="C57" s="282">
        <f ca="1">C29</f>
        <v>35246</v>
      </c>
      <c r="D57" s="1917"/>
      <c r="E57" s="1918"/>
      <c r="F57" s="1919"/>
      <c r="I57" s="1920" t="s">
        <v>1550</v>
      </c>
      <c r="J57" s="1921">
        <f ca="1">IF(OR(M47="住宅",J51&lt;L48,J56="是"),"——",J51-L48)</f>
        <v>21.03</v>
      </c>
      <c r="K57" s="1886" t="s">
        <v>1551</v>
      </c>
      <c r="L57" s="1889" t="str">
        <f ca="1">IF(L48&lt;J51,"——",IF(L55="比较法",L49,IF(L55="基准地价",L50,L51)))</f>
        <v>——</v>
      </c>
      <c r="O57" s="1883" t="s">
        <v>1037</v>
      </c>
      <c r="P57" s="1884" t="s">
        <v>1552</v>
      </c>
      <c r="Q57" s="1885">
        <f ca="1">L60</f>
        <v>0</v>
      </c>
      <c r="R57" s="1885" t="s">
        <v>1553</v>
      </c>
    </row>
    <row r="58" spans="1:18" s="1841" customFormat="1" ht="24.6" thickBot="1">
      <c r="A58" s="360" t="s">
        <v>1026</v>
      </c>
      <c r="B58" s="1177" t="s">
        <v>1418</v>
      </c>
      <c r="C58" s="361">
        <f ca="1">ROUND(C59+C64+C65+C66,0)</f>
        <v>3541</v>
      </c>
      <c r="D58" s="1179" t="s">
        <v>1419</v>
      </c>
      <c r="E58" s="1180"/>
      <c r="F58" s="1181"/>
      <c r="I58" s="1920" t="s">
        <v>1554</v>
      </c>
      <c r="J58" s="1922">
        <f ca="1">IF(J55&lt;0.4,0.4,J55)</f>
        <v>0.4</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6" thickBot="1">
      <c r="A59" s="1201" t="s">
        <v>1031</v>
      </c>
      <c r="B59" s="1169" t="s">
        <v>1423</v>
      </c>
      <c r="C59" s="24">
        <f ca="1">ROUND(IF(项目基本情况!B11="自然人",C48*F59,C60+C61+C62),1)</f>
        <v>2960.7</v>
      </c>
      <c r="D59" s="1182" t="s">
        <v>1424</v>
      </c>
      <c r="E59" s="1183" t="s">
        <v>1425</v>
      </c>
      <c r="F59" s="368" t="str">
        <f ca="1">IF(项目基本情况!B11="企业","",IF(INDIRECT("'数据-取费表'!c"&amp;$G$1)="住宅",5%,IF(F49*F50*F51/12/(1+'数据-取费表'!C42)&gt;20000,12%,7%)))</f>
        <v/>
      </c>
      <c r="I59" s="1920" t="s">
        <v>1557</v>
      </c>
      <c r="J59" s="1921">
        <f ca="1">IF(OR(M47="住宅",J51&lt;L48,J56="是"),"——",ROUND(C29*J58,0))</f>
        <v>14098</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2"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f ca="1">IF(OR(M47="住宅",J51&lt;L48,J56="是"),"0",ROUND(J59/(1+J52)^J53,0))</f>
        <v>583</v>
      </c>
      <c r="K60" s="1925" t="s">
        <v>1560</v>
      </c>
      <c r="L60" s="1924">
        <f ca="1">IF(OR(M47="住宅",L48&lt;J51),0,ROUND(L57*(L58/L59-1),0))</f>
        <v>0</v>
      </c>
      <c r="O60" s="1893" t="s">
        <v>1040</v>
      </c>
      <c r="P60" s="1884" t="s">
        <v>1561</v>
      </c>
      <c r="Q60" s="1885" t="e">
        <f ca="1">L58</f>
        <v>#DIV/0!</v>
      </c>
      <c r="R60" s="1885" t="s">
        <v>1562</v>
      </c>
    </row>
    <row r="61" spans="1:18" s="1841" customFormat="1" ht="13.8" thickBot="1">
      <c r="A61" s="1201" t="s">
        <v>1486</v>
      </c>
      <c r="B61" s="1169" t="s">
        <v>1487</v>
      </c>
      <c r="C61" s="24">
        <f ca="1">IF(项目基本情况!B11="自然人","——",IF(D61="按租金收入计税",ROUND(C48*F61,2),IF(D61="按房产原值计税",ROUND(C57*F61*0.7,2),INDIRECT("'数据-取费表'!Aj"&amp;$G$1))))</f>
        <v>2960.66</v>
      </c>
      <c r="D61" s="1827" t="s">
        <v>1432</v>
      </c>
      <c r="E61" s="1169" t="s">
        <v>1488</v>
      </c>
      <c r="F61" s="367">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8" thickBot="1">
      <c r="A62" s="1201" t="s">
        <v>1489</v>
      </c>
      <c r="B62" s="1168" t="s">
        <v>1490</v>
      </c>
      <c r="C62" s="25">
        <f ca="1">IF(项目基本情况!B11="自然人","——",ROUND(F62*F63/10000,2))</f>
        <v>0</v>
      </c>
      <c r="D62" s="1184" t="s">
        <v>1491</v>
      </c>
      <c r="E62" s="1169" t="s">
        <v>1492</v>
      </c>
      <c r="F62" s="371">
        <f t="shared" si="0"/>
        <v>5</v>
      </c>
      <c r="I62" s="1927" t="s">
        <v>1564</v>
      </c>
      <c r="J62" s="1928" t="s">
        <v>1565</v>
      </c>
      <c r="K62" s="1928" t="s">
        <v>1566</v>
      </c>
      <c r="L62" s="1928" t="s">
        <v>1567</v>
      </c>
      <c r="M62" s="1929" t="s">
        <v>1568</v>
      </c>
      <c r="O62" s="1883" t="s">
        <v>1042</v>
      </c>
      <c r="P62" s="1884" t="s">
        <v>1569</v>
      </c>
      <c r="Q62" s="1885">
        <f ca="1">Q56+Q57</f>
        <v>106937</v>
      </c>
      <c r="R62" s="1885" t="s">
        <v>1043</v>
      </c>
    </row>
    <row r="63" spans="1:18" s="1841" customFormat="1" ht="13.8"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8" thickBot="1">
      <c r="A64" s="1201" t="s">
        <v>1494</v>
      </c>
      <c r="B64" s="1169" t="s">
        <v>1495</v>
      </c>
      <c r="C64" s="24">
        <f ca="1">ROUND(C57*F64,1)</f>
        <v>528.70000000000005</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8" thickBot="1">
      <c r="A65" s="1201" t="s">
        <v>1497</v>
      </c>
      <c r="B65" s="1169" t="s">
        <v>1447</v>
      </c>
      <c r="C65" s="24">
        <f ca="1">ROUND(C56*F65,1)</f>
        <v>51.3</v>
      </c>
      <c r="D65" s="1183" t="s">
        <v>1448</v>
      </c>
      <c r="E65" s="1169" t="s">
        <v>1449</v>
      </c>
      <c r="F65" s="376">
        <f t="shared" ca="1" si="0"/>
        <v>1.5E-3</v>
      </c>
      <c r="I65" s="1927" t="s">
        <v>1573</v>
      </c>
      <c r="J65" s="1928">
        <v>40</v>
      </c>
      <c r="K65" s="1928">
        <v>30</v>
      </c>
      <c r="L65" s="1928">
        <v>50</v>
      </c>
      <c r="M65" s="1930">
        <v>0.02</v>
      </c>
      <c r="O65" s="1883" t="s">
        <v>1036</v>
      </c>
      <c r="P65" s="1884" t="s">
        <v>1574</v>
      </c>
      <c r="Q65" s="1885">
        <f ca="1">C40+J29</f>
        <v>106937</v>
      </c>
      <c r="R65" s="1885" t="s">
        <v>1523</v>
      </c>
    </row>
    <row r="66" spans="1:18" s="1841" customFormat="1" ht="16.2" thickBot="1">
      <c r="A66" s="1201" t="s">
        <v>1498</v>
      </c>
      <c r="B66" s="1169" t="s">
        <v>1433</v>
      </c>
      <c r="C66" s="24">
        <f ca="1">ROUND(C48*F66,1)</f>
        <v>0</v>
      </c>
      <c r="D66" s="1183" t="s">
        <v>1499</v>
      </c>
      <c r="E66" s="1169" t="s">
        <v>1416</v>
      </c>
      <c r="F66" s="357">
        <f t="shared" ca="1" si="0"/>
        <v>1.4999999999999999E-2</v>
      </c>
      <c r="O66" s="1883" t="s">
        <v>1037</v>
      </c>
      <c r="P66" s="1884" t="s">
        <v>1552</v>
      </c>
      <c r="Q66" s="1885">
        <f ca="1">L60</f>
        <v>0</v>
      </c>
      <c r="R66" s="1885" t="s">
        <v>1575</v>
      </c>
    </row>
    <row r="67" spans="1:18" s="1841" customFormat="1" ht="24.6" thickBot="1">
      <c r="A67" s="1176" t="s">
        <v>1027</v>
      </c>
      <c r="B67" s="1186" t="s">
        <v>1457</v>
      </c>
      <c r="C67" s="361">
        <f ca="1">C48-C58</f>
        <v>-3541</v>
      </c>
      <c r="D67" s="1182" t="s">
        <v>1458</v>
      </c>
      <c r="E67" s="1187"/>
      <c r="F67" s="1188"/>
      <c r="O67" s="1893" t="s">
        <v>1038</v>
      </c>
      <c r="P67" s="1884" t="s">
        <v>1556</v>
      </c>
      <c r="Q67" s="1931">
        <f ca="1">L51</f>
        <v>27414</v>
      </c>
      <c r="R67" s="1885" t="s">
        <v>1576</v>
      </c>
    </row>
    <row r="68" spans="1:18" s="1841" customFormat="1" ht="16.2" thickBot="1">
      <c r="A68" s="1166" t="s">
        <v>1028</v>
      </c>
      <c r="B68" s="1167" t="s">
        <v>1479</v>
      </c>
      <c r="C68" s="346">
        <f ca="1">ROUND(C67*(1-((1+F70)/(1+F68))^F69)/(F68-F70),0)</f>
        <v>-55487</v>
      </c>
      <c r="D68" s="1184" t="s">
        <v>1463</v>
      </c>
      <c r="E68" s="1169" t="s">
        <v>1464</v>
      </c>
      <c r="F68" s="357">
        <f ca="1">F40</f>
        <v>5.5E-2</v>
      </c>
      <c r="O68" s="1893" t="s">
        <v>1039</v>
      </c>
      <c r="P68" s="1932" t="s">
        <v>1577</v>
      </c>
      <c r="Q68" s="1885">
        <f ca="1">ROUND(Q69-Q70*Q71,0)</f>
        <v>1641</v>
      </c>
      <c r="R68" s="1885" t="s">
        <v>1047</v>
      </c>
    </row>
    <row r="69" spans="1:18" s="1841" customFormat="1" ht="13.8" thickBot="1">
      <c r="A69" s="1170"/>
      <c r="B69" s="1171"/>
      <c r="C69" s="351"/>
      <c r="D69" s="1189" t="s">
        <v>1467</v>
      </c>
      <c r="E69" s="1169" t="s">
        <v>1468</v>
      </c>
      <c r="F69" s="379">
        <f ca="1">F41</f>
        <v>36.97</v>
      </c>
      <c r="O69" s="1893" t="s">
        <v>1044</v>
      </c>
      <c r="P69" s="1932" t="s">
        <v>1578</v>
      </c>
      <c r="Q69" s="1885">
        <f ca="1">C39</f>
        <v>4547</v>
      </c>
      <c r="R69" s="1885" t="s">
        <v>1523</v>
      </c>
    </row>
    <row r="70" spans="1:18" s="1841" customFormat="1" ht="13.8" thickBot="1">
      <c r="A70" s="1173"/>
      <c r="B70" s="1174"/>
      <c r="C70" s="355"/>
      <c r="D70" s="1185"/>
      <c r="E70" s="1169" t="s">
        <v>1471</v>
      </c>
      <c r="F70" s="1275"/>
      <c r="O70" s="1893" t="s">
        <v>1045</v>
      </c>
      <c r="P70" s="1932" t="s">
        <v>1579</v>
      </c>
      <c r="Q70" s="1885">
        <f ca="1">C13</f>
        <v>34189</v>
      </c>
      <c r="R70" s="1885" t="s">
        <v>1523</v>
      </c>
    </row>
    <row r="71" spans="1:18" s="1841" customFormat="1" ht="13.8" thickBot="1">
      <c r="A71" s="1190" t="s">
        <v>1029</v>
      </c>
      <c r="B71" s="1191" t="s">
        <v>1481</v>
      </c>
      <c r="C71" s="382">
        <f ca="1">ROUND(C68*10000/F71,0)</f>
        <v>-8451</v>
      </c>
      <c r="D71" s="1192" t="s">
        <v>1482</v>
      </c>
      <c r="E71" s="1193" t="s">
        <v>1483</v>
      </c>
      <c r="F71" s="385">
        <f ca="1">F43</f>
        <v>65654.289999999994</v>
      </c>
      <c r="O71" s="1893" t="s">
        <v>1046</v>
      </c>
      <c r="P71" s="1932" t="s">
        <v>1580</v>
      </c>
      <c r="Q71" s="1896">
        <f ca="1">C76</f>
        <v>8.5000000000000006E-2</v>
      </c>
      <c r="R71" s="1885"/>
    </row>
    <row r="72" spans="1:18" s="1841" customFormat="1" ht="13.8" thickBot="1">
      <c r="B72" s="796"/>
      <c r="C72" s="796"/>
      <c r="O72" s="1893" t="s">
        <v>1040</v>
      </c>
      <c r="P72" s="1884" t="s">
        <v>1558</v>
      </c>
      <c r="Q72" s="1896">
        <f>L52</f>
        <v>0</v>
      </c>
      <c r="R72" s="1885"/>
    </row>
    <row r="73" spans="1:18" ht="16.2" thickBot="1">
      <c r="A73" s="1841"/>
      <c r="B73" s="796"/>
      <c r="C73" s="796"/>
      <c r="D73" s="1841"/>
      <c r="E73" s="1841"/>
      <c r="F73" s="1841"/>
      <c r="O73" s="1893" t="s">
        <v>1041</v>
      </c>
      <c r="P73" s="1884" t="s">
        <v>1561</v>
      </c>
      <c r="Q73" s="1885" t="e">
        <f ca="1">L58</f>
        <v>#DIV/0!</v>
      </c>
      <c r="R73" s="1885" t="s">
        <v>1562</v>
      </c>
    </row>
    <row r="74" spans="1:18" ht="13.8" thickBot="1">
      <c r="A74" s="1841"/>
      <c r="B74" s="317" t="s">
        <v>1581</v>
      </c>
      <c r="C74" s="1934"/>
      <c r="D74" s="1841"/>
      <c r="E74" s="1841"/>
      <c r="F74" s="1841"/>
      <c r="O74" s="1893" t="s">
        <v>1048</v>
      </c>
      <c r="P74" s="1884" t="str">
        <f>K59</f>
        <v>建筑物剩余耐用年限下的土地年期修正系数Kn</v>
      </c>
      <c r="Q74" s="1885" t="e">
        <f ca="1">L59</f>
        <v>#DIV/0!</v>
      </c>
      <c r="R74" s="1885" t="s">
        <v>1563</v>
      </c>
    </row>
    <row r="75" spans="1:18" ht="13.8" thickBot="1">
      <c r="A75" s="1841"/>
      <c r="B75" s="386" t="s">
        <v>1500</v>
      </c>
      <c r="C75" s="387">
        <f ca="1">ROUND(C13*C76,0)</f>
        <v>2906</v>
      </c>
      <c r="D75" s="1841"/>
      <c r="E75" s="1841"/>
      <c r="F75" s="1841"/>
      <c r="K75" s="1867"/>
      <c r="L75" s="1841"/>
      <c r="O75" s="1883" t="s">
        <v>1042</v>
      </c>
      <c r="P75" s="1884" t="s">
        <v>1543</v>
      </c>
      <c r="Q75" s="1885">
        <f ca="1">Q65+Q66</f>
        <v>106937</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0.36099999999999999</v>
      </c>
    </row>
    <row r="80" spans="1:18">
      <c r="B80" s="386" t="s">
        <v>1505</v>
      </c>
      <c r="C80" s="318">
        <f ca="1">ROUND(C75/C39,3)</f>
        <v>0.63900000000000001</v>
      </c>
    </row>
    <row r="81" spans="2:3">
      <c r="B81" s="314" t="s">
        <v>1506</v>
      </c>
      <c r="C81" s="282"/>
    </row>
    <row r="82" spans="2:3">
      <c r="B82" s="317" t="s">
        <v>1507</v>
      </c>
      <c r="C82" s="319">
        <f ca="1">1-C83</f>
        <v>0.67999999999999994</v>
      </c>
    </row>
    <row r="83" spans="2:3">
      <c r="B83" s="317" t="s">
        <v>1508</v>
      </c>
      <c r="C83" s="318">
        <f ca="1">ROUND(C13/C40,3)</f>
        <v>0.32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63" priority="56">
      <formula>$L$48&gt;$J$51</formula>
    </cfRule>
  </conditionalFormatting>
  <conditionalFormatting sqref="I55 I60">
    <cfRule type="expression" dxfId="162" priority="57">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4">
    <tabColor rgb="FF92D050"/>
  </sheetPr>
  <dimension ref="A1:AK83"/>
  <sheetViews>
    <sheetView topLeftCell="A22" zoomScale="70" zoomScaleNormal="70" zoomScaleSheetLayoutView="90" workbookViewId="0">
      <selection activeCell="F7" sqref="F7"/>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1583</v>
      </c>
      <c r="B1" s="782"/>
      <c r="C1" s="1836"/>
      <c r="D1" s="1819"/>
      <c r="E1" s="1820" t="s">
        <v>1381</v>
      </c>
      <c r="F1" s="1283">
        <f ca="1">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2">
        <f ca="1">C6+C10+C12</f>
        <v>0</v>
      </c>
      <c r="D5" s="1821" t="s">
        <v>1595</v>
      </c>
      <c r="E5" s="1293"/>
      <c r="F5" s="1294"/>
      <c r="G5" s="1850"/>
      <c r="H5" s="344">
        <v>1</v>
      </c>
      <c r="I5" s="345" t="s">
        <v>1594</v>
      </c>
      <c r="J5" s="1292">
        <f ca="1">J6+J10+J12</f>
        <v>0</v>
      </c>
      <c r="K5" s="1821" t="s">
        <v>1595</v>
      </c>
      <c r="L5" s="1293"/>
      <c r="M5" s="1294"/>
    </row>
    <row r="6" spans="1:37" ht="18" customHeight="1">
      <c r="A6" s="1291" t="s">
        <v>1031</v>
      </c>
      <c r="B6" s="3278" t="s">
        <v>1397</v>
      </c>
      <c r="C6" s="1296">
        <f ca="1">ROUND(F6*F8*F7*(1-F9),0)</f>
        <v>0</v>
      </c>
      <c r="D6" s="164" t="s">
        <v>3025</v>
      </c>
      <c r="E6" s="347" t="s">
        <v>1399</v>
      </c>
      <c r="F6" s="348">
        <f ca="1">INDIRECT("'数据-取费表'!u"&amp;$G$1)</f>
        <v>0</v>
      </c>
      <c r="G6" s="1850"/>
      <c r="H6" s="1291" t="s">
        <v>1031</v>
      </c>
      <c r="I6" s="3278" t="s">
        <v>1397</v>
      </c>
      <c r="J6" s="346">
        <f ca="1">ROUND(M6*M8*M7*(1-M9),0)</f>
        <v>0</v>
      </c>
      <c r="K6" s="1833" t="s">
        <v>3026</v>
      </c>
      <c r="L6" s="347" t="s">
        <v>1399</v>
      </c>
      <c r="M6" s="348">
        <f ca="1">INDIRECT("'数据-取费表'!z"&amp;$G$1)</f>
        <v>0</v>
      </c>
    </row>
    <row r="7" spans="1:37" ht="18" customHeight="1">
      <c r="A7" s="1295"/>
      <c r="B7" s="3279"/>
      <c r="C7" s="1297"/>
      <c r="D7" s="352"/>
      <c r="E7" s="1298" t="s">
        <v>1400</v>
      </c>
      <c r="F7" s="348">
        <f ca="1">IF(INDIRECT("'数据-取费表'!ah"&amp;$G$1)="",INDIRECT("'数据-取费表'!k"&amp;$G$1),INDIRECT("'数据-取费表'!ah"&amp;$G$1))</f>
        <v>0</v>
      </c>
      <c r="G7" s="1850"/>
      <c r="H7" s="349"/>
      <c r="I7" s="3279"/>
      <c r="J7" s="351"/>
      <c r="K7" s="352"/>
      <c r="L7" s="347" t="s">
        <v>1400</v>
      </c>
      <c r="M7" s="348">
        <f ca="1">F7</f>
        <v>0</v>
      </c>
    </row>
    <row r="8" spans="1:37" ht="18" customHeight="1">
      <c r="A8" s="349"/>
      <c r="B8" s="3279"/>
      <c r="C8" s="351"/>
      <c r="D8" s="352"/>
      <c r="E8" s="347" t="s">
        <v>1401</v>
      </c>
      <c r="F8" s="348">
        <f ca="1">INDIRECT("'数据-取费表'!ai"&amp;$G$1)</f>
        <v>0</v>
      </c>
      <c r="G8" s="1850"/>
      <c r="H8" s="349"/>
      <c r="I8" s="3279"/>
      <c r="J8" s="351"/>
      <c r="K8" s="352"/>
      <c r="L8" s="347" t="s">
        <v>1401</v>
      </c>
      <c r="M8" s="348">
        <f ca="1">INDIRECT("'数据-取费表'!ai"&amp;$G$1)</f>
        <v>0</v>
      </c>
    </row>
    <row r="9" spans="1:37" ht="18" customHeight="1">
      <c r="A9" s="349"/>
      <c r="B9" s="3280"/>
      <c r="C9" s="351"/>
      <c r="D9" s="352"/>
      <c r="E9" s="347" t="s">
        <v>1402</v>
      </c>
      <c r="F9" s="357">
        <f ca="1">INDIRECT("'数据-取费表'!w"&amp;$G$1)</f>
        <v>0</v>
      </c>
      <c r="G9" s="1850"/>
      <c r="H9" s="349"/>
      <c r="I9" s="3280"/>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3036</v>
      </c>
      <c r="E10" s="358" t="s">
        <v>1404</v>
      </c>
      <c r="F10" s="1366"/>
      <c r="G10" s="1850"/>
      <c r="H10" s="1291" t="s">
        <v>1035</v>
      </c>
      <c r="I10" s="1822" t="s">
        <v>1403</v>
      </c>
      <c r="J10" s="346">
        <f ca="1">ROUND(IF(M10="押一",J6/12*M11,IF(M10="押二",J6/12*2*M11,IF(M10="押三",J6/12*3*M11,J11*M11))),0)</f>
        <v>0</v>
      </c>
      <c r="K10" s="1834" t="s">
        <v>3038</v>
      </c>
      <c r="L10" s="358" t="s">
        <v>1404</v>
      </c>
      <c r="M10" s="1366"/>
    </row>
    <row r="11" spans="1:37" ht="18" customHeight="1">
      <c r="A11" s="353"/>
      <c r="B11" s="1824" t="s">
        <v>1596</v>
      </c>
      <c r="C11" s="1178"/>
      <c r="D11" s="352"/>
      <c r="E11" s="358" t="s">
        <v>1406</v>
      </c>
      <c r="F11" s="359">
        <f ca="1">'数据-取费表'!B39</f>
        <v>1.4999999999999999E-2</v>
      </c>
      <c r="G11" s="1850"/>
      <c r="H11" s="1299"/>
      <c r="I11" s="1824" t="s">
        <v>1597</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0"/>
      <c r="H13" s="1329">
        <v>2</v>
      </c>
      <c r="I13" s="1330" t="s">
        <v>1408</v>
      </c>
      <c r="J13" s="1290">
        <f ca="1">ROUND(J14*J15,0)</f>
        <v>0</v>
      </c>
      <c r="K13" s="1337" t="s">
        <v>1409</v>
      </c>
      <c r="L13" s="1851"/>
      <c r="M13" s="1852"/>
    </row>
    <row r="14" spans="1:37" ht="18" customHeight="1">
      <c r="A14" s="1201" t="s">
        <v>1030</v>
      </c>
      <c r="B14" s="347" t="s">
        <v>1411</v>
      </c>
      <c r="C14" s="363">
        <f ca="1">ROUND(INDIRECT("'数据-取费表'!l"&amp;$G$1)*F43+'数据-取费表'!L14*INDIRECT("'数据-取费表'!S"&amp;$G$1),0)</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0.04</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9" t="s">
        <v>1026</v>
      </c>
      <c r="I16" s="1330" t="s">
        <v>1418</v>
      </c>
      <c r="J16" s="355">
        <f ca="1">ROUND(J17+J22+J23+J24,0)</f>
        <v>0</v>
      </c>
      <c r="K16" s="1337" t="s">
        <v>1419</v>
      </c>
      <c r="L16" s="1338"/>
      <c r="M16" s="1294"/>
    </row>
    <row r="17" spans="1:37" s="1857" customFormat="1" ht="18" customHeight="1">
      <c r="A17" s="1201" t="s">
        <v>1384</v>
      </c>
      <c r="B17" s="347" t="s">
        <v>1420</v>
      </c>
      <c r="C17" s="24">
        <f ca="1">ROUND(F17*(F43+INDIRECT("'数据-取费表'!S"&amp;$G$1)),0)</f>
        <v>0</v>
      </c>
      <c r="D17" s="347" t="s">
        <v>1421</v>
      </c>
      <c r="E17" s="347" t="s">
        <v>1422</v>
      </c>
      <c r="F17" s="26">
        <f>'数据-取费表'!B35</f>
        <v>200</v>
      </c>
      <c r="G17" s="1853"/>
      <c r="H17" s="1201" t="s">
        <v>1031</v>
      </c>
      <c r="I17" s="347" t="s">
        <v>1423</v>
      </c>
      <c r="J17" s="24">
        <f ca="1">ROUND(IF(项目基本情况!B11="自然人",J6*M17/(1+'数据-取费表'!C42),J18+J19+J20),0)</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ROUND(M20*M21,0)</f>
        <v>0</v>
      </c>
      <c r="K20" s="370" t="s">
        <v>1436</v>
      </c>
      <c r="L20" s="347" t="s">
        <v>1437</v>
      </c>
      <c r="M20" s="371">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3"/>
      <c r="H23" s="1201"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ROUND(J5*M24,0)</f>
        <v>0</v>
      </c>
      <c r="K24" s="1342" t="s">
        <v>1453</v>
      </c>
      <c r="L24" s="1340" t="s">
        <v>1449</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0</v>
      </c>
      <c r="D29" s="1342"/>
      <c r="E29" s="1340"/>
      <c r="F29" s="1343"/>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0</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ROUND(IF(项目基本情况!B11="自然人",C6*F31/(1+'数据-取费表'!C42),C32+C33+C34),0)</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0</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1" t="s">
        <v>1383</v>
      </c>
      <c r="B34" s="164" t="s">
        <v>1435</v>
      </c>
      <c r="C34" s="25">
        <f ca="1">IF(项目基本情况!B11="自然人","——",ROUND(F34*F35,))</f>
        <v>0</v>
      </c>
      <c r="D34" s="370" t="s">
        <v>1436</v>
      </c>
      <c r="E34" s="347" t="s">
        <v>1437</v>
      </c>
      <c r="F34" s="371">
        <f>'数据-取费表'!B52</f>
        <v>5</v>
      </c>
      <c r="G34" s="1850"/>
      <c r="H34" s="745"/>
      <c r="I34" s="1859"/>
      <c r="J34" s="1860"/>
      <c r="K34" s="1862"/>
      <c r="L34" s="1863"/>
      <c r="M34" s="1863"/>
    </row>
    <row r="35" spans="1:18" ht="18" customHeight="1">
      <c r="A35" s="1353"/>
      <c r="B35" s="1351"/>
      <c r="C35" s="29"/>
      <c r="D35" s="373"/>
      <c r="E35" s="347" t="s">
        <v>1441</v>
      </c>
      <c r="F35" s="348">
        <f ca="1">INDIRECT("'数据-取费表'!r"&amp;$G$1)</f>
        <v>0</v>
      </c>
      <c r="G35" s="1850"/>
      <c r="H35" s="745"/>
      <c r="I35" s="1859"/>
      <c r="J35" s="1860"/>
      <c r="K35" s="1861"/>
      <c r="L35" s="1858"/>
      <c r="M35" s="1858"/>
    </row>
    <row r="36" spans="1:18" ht="18" customHeight="1">
      <c r="A36" s="1352" t="s">
        <v>1035</v>
      </c>
      <c r="B36" s="347" t="s">
        <v>1443</v>
      </c>
      <c r="C36" s="24">
        <f ca="1">ROUND(C29*F36,0)</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ROUND(C13*F37,0)</f>
        <v>0</v>
      </c>
      <c r="D37" s="1797" t="s">
        <v>1448</v>
      </c>
      <c r="E37" s="347" t="s">
        <v>1449</v>
      </c>
      <c r="F37" s="376">
        <f ca="1">INDIRECT("'数据-取费表'!Al"&amp;$G$1)</f>
        <v>0</v>
      </c>
      <c r="G37" s="1850"/>
      <c r="H37" s="1858"/>
      <c r="I37" s="1859"/>
      <c r="J37" s="1860"/>
      <c r="K37" s="751"/>
      <c r="L37" s="1858"/>
      <c r="M37" s="1858"/>
    </row>
    <row r="38" spans="1:18" ht="18" customHeight="1" thickBot="1">
      <c r="A38" s="1339" t="s">
        <v>1387</v>
      </c>
      <c r="B38" s="1340" t="s">
        <v>1433</v>
      </c>
      <c r="C38" s="1341">
        <f ca="1">ROUND(C5*F38,1)</f>
        <v>0</v>
      </c>
      <c r="D38" s="1342" t="s">
        <v>1453</v>
      </c>
      <c r="E38" s="1340" t="s">
        <v>1449</v>
      </c>
      <c r="F38" s="1336">
        <f ca="1">INDIRECT("'数据-取费表'!Am"&amp;$G$1)</f>
        <v>0</v>
      </c>
      <c r="G38" s="1850"/>
      <c r="H38" s="1858"/>
      <c r="I38" s="1859"/>
      <c r="J38" s="1860"/>
      <c r="K38" s="1864"/>
      <c r="L38" s="1858"/>
      <c r="M38" s="1858"/>
    </row>
    <row r="39" spans="1:18" ht="24.6" customHeight="1" thickTop="1">
      <c r="A39" s="1329" t="s">
        <v>1027</v>
      </c>
      <c r="B39" s="1344" t="s">
        <v>1477</v>
      </c>
      <c r="C39" s="355">
        <f ca="1">C5-C30</f>
        <v>0</v>
      </c>
      <c r="D39" s="1345" t="s">
        <v>1478</v>
      </c>
      <c r="E39" s="1346"/>
      <c r="F39" s="1347"/>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8"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8" thickBot="1">
      <c r="A47" s="1165" t="s">
        <v>1390</v>
      </c>
      <c r="B47" s="1197" t="s">
        <v>1391</v>
      </c>
      <c r="C47" s="1197" t="s">
        <v>1392</v>
      </c>
      <c r="D47" s="1197" t="s">
        <v>1393</v>
      </c>
      <c r="E47" s="1279" t="s">
        <v>1394</v>
      </c>
      <c r="F47" s="1280"/>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40.200000000000003" thickBot="1">
      <c r="A48" s="1360" t="s">
        <v>1131</v>
      </c>
      <c r="B48" s="345" t="s">
        <v>1395</v>
      </c>
      <c r="C48" s="1816">
        <f ca="1">C49+C53+C55</f>
        <v>0</v>
      </c>
      <c r="D48" s="1362"/>
      <c r="E48" s="1363"/>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8" thickBot="1">
      <c r="A49" s="1194" t="s">
        <v>1132</v>
      </c>
      <c r="B49" s="1828" t="s">
        <v>1484</v>
      </c>
      <c r="C49" s="1364">
        <f ca="1">ROUND(F49*F51*F50*(1-F52),0)</f>
        <v>0</v>
      </c>
      <c r="D49" s="1276" t="s">
        <v>1398</v>
      </c>
      <c r="E49" s="1829" t="s">
        <v>1485</v>
      </c>
      <c r="F49" s="1281"/>
      <c r="G49" s="1890"/>
      <c r="H49" s="793"/>
      <c r="I49" s="1886" t="s">
        <v>1528</v>
      </c>
      <c r="J49" s="1891"/>
      <c r="K49" s="1888" t="s">
        <v>1529</v>
      </c>
      <c r="L49" s="1892"/>
      <c r="O49" s="1893" t="s">
        <v>1038</v>
      </c>
      <c r="P49" s="1884" t="s">
        <v>1530</v>
      </c>
      <c r="Q49" s="1885">
        <f ca="1">C29</f>
        <v>0</v>
      </c>
      <c r="R49" s="1885" t="s">
        <v>1523</v>
      </c>
    </row>
    <row r="50" spans="1:18" s="1841" customFormat="1" ht="13.8" thickBot="1">
      <c r="A50" s="1195"/>
      <c r="B50" s="1198"/>
      <c r="C50" s="1199"/>
      <c r="D50" s="1172"/>
      <c r="E50" s="1277" t="s">
        <v>1400</v>
      </c>
      <c r="F50" s="1278">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8" thickBot="1">
      <c r="A51" s="1196"/>
      <c r="B51" s="1198"/>
      <c r="C51" s="1199"/>
      <c r="D51" s="1172"/>
      <c r="E51" s="1200"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8" thickBot="1">
      <c r="A52" s="1196"/>
      <c r="B52" s="1198"/>
      <c r="C52" s="1199"/>
      <c r="D52" s="1172"/>
      <c r="E52" s="1200" t="s">
        <v>1402</v>
      </c>
      <c r="F52" s="1275"/>
      <c r="I52" s="1902" t="s">
        <v>1537</v>
      </c>
      <c r="J52" s="1903"/>
      <c r="K52" s="1902" t="s">
        <v>1538</v>
      </c>
      <c r="L52" s="1903"/>
      <c r="O52" s="1893" t="s">
        <v>1041</v>
      </c>
      <c r="P52" s="1884" t="s">
        <v>1539</v>
      </c>
      <c r="Q52" s="1885">
        <f ca="1">J53</f>
        <v>0</v>
      </c>
      <c r="R52" s="1885" t="s">
        <v>1540</v>
      </c>
    </row>
    <row r="53" spans="1:18" s="1841" customFormat="1" ht="30.75" customHeight="1" thickBot="1">
      <c r="A53" s="1361" t="s">
        <v>1133</v>
      </c>
      <c r="B53" s="369" t="s">
        <v>1403</v>
      </c>
      <c r="C53" s="361">
        <f ca="1">ROUND(IF(F53="押一",C49/12*F11,IF(F53="押二",C49/12*2*F11,IF(F53="押三",C49/12*3*F11,C54*F11))),0)</f>
        <v>0</v>
      </c>
      <c r="D53" s="1823" t="s">
        <v>3039</v>
      </c>
      <c r="E53" s="358" t="s">
        <v>1404</v>
      </c>
      <c r="F53" s="1366"/>
      <c r="I53" s="1904" t="s">
        <v>1541</v>
      </c>
      <c r="J53" s="2951">
        <f ca="1">IF(M47="住宅",IF(D1="——",MAX(J51,L48),MAX(J51,L48-'数据-取费表'!B24)),IF(D1="——",MIN(J51,L48),MIN(J51,L48-'数据-取费表'!B24)))</f>
        <v>0</v>
      </c>
      <c r="K53" s="3276" t="s">
        <v>1542</v>
      </c>
      <c r="L53" s="3277"/>
      <c r="O53" s="1883" t="s">
        <v>1042</v>
      </c>
      <c r="P53" s="1884" t="s">
        <v>1543</v>
      </c>
      <c r="Q53" s="1885" t="e">
        <f ca="1">Q47+Q48</f>
        <v>#DIV/0!</v>
      </c>
      <c r="R53" s="1885" t="s">
        <v>1043</v>
      </c>
    </row>
    <row r="54" spans="1:18" s="1841" customFormat="1" ht="13.8"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8" thickBot="1">
      <c r="A55" s="1333" t="s">
        <v>1071</v>
      </c>
      <c r="B55" s="1826" t="s">
        <v>1407</v>
      </c>
      <c r="C55" s="1334"/>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0</v>
      </c>
      <c r="D56" s="1912"/>
      <c r="E56" s="1913"/>
      <c r="F56" s="1905"/>
      <c r="I56" s="1914" t="s">
        <v>1548</v>
      </c>
      <c r="J56" s="1915"/>
      <c r="K56" s="1886" t="s">
        <v>1549</v>
      </c>
      <c r="L56" s="1889">
        <f ca="1">IF(L48&lt;J51,"——",L48-J51)</f>
        <v>0</v>
      </c>
      <c r="O56" s="1883" t="s">
        <v>1036</v>
      </c>
      <c r="P56" s="1884" t="s">
        <v>1522</v>
      </c>
      <c r="Q56" s="1885" t="e">
        <f ca="1">C40+J29</f>
        <v>#DIV/0!</v>
      </c>
      <c r="R56" s="1885" t="s">
        <v>1523</v>
      </c>
    </row>
    <row r="57" spans="1:18" s="1841" customFormat="1" ht="24.6" thickBot="1">
      <c r="A57" s="1916"/>
      <c r="B57" s="1169" t="s">
        <v>1472</v>
      </c>
      <c r="C57" s="282">
        <f ca="1">C29</f>
        <v>0</v>
      </c>
      <c r="D57" s="1917"/>
      <c r="E57" s="1918"/>
      <c r="F57" s="1919"/>
      <c r="I57" s="1920" t="s">
        <v>1550</v>
      </c>
      <c r="J57" s="1921">
        <f ca="1">IF(OR(M47="住宅",J51&lt;L48,J56="是"),"——",J51-L48)</f>
        <v>0</v>
      </c>
      <c r="K57" s="1886" t="s">
        <v>1599</v>
      </c>
      <c r="L57" s="1889">
        <f ca="1">IF(L48&lt;J51,"——",IF(L55="比较法",L49,IF(L55="基准地价",L50,L51)))</f>
        <v>0</v>
      </c>
      <c r="O57" s="1883" t="s">
        <v>1037</v>
      </c>
      <c r="P57" s="1884" t="s">
        <v>1600</v>
      </c>
      <c r="Q57" s="1885" t="e">
        <f ca="1">L60</f>
        <v>#DIV/0!</v>
      </c>
      <c r="R57" s="1885" t="s">
        <v>1601</v>
      </c>
    </row>
    <row r="58" spans="1:18" s="1841" customFormat="1" ht="24.6" thickBot="1">
      <c r="A58" s="360" t="s">
        <v>1026</v>
      </c>
      <c r="B58" s="1177" t="s">
        <v>1418</v>
      </c>
      <c r="C58" s="361">
        <f ca="1">ROUND(C59+C64+C65+C66,0)</f>
        <v>0</v>
      </c>
      <c r="D58" s="1179" t="s">
        <v>1419</v>
      </c>
      <c r="E58" s="1180"/>
      <c r="F58" s="1181"/>
      <c r="I58" s="1920" t="s">
        <v>1554</v>
      </c>
      <c r="J58" s="1922" t="e">
        <f ca="1">IF(J55&lt;0.4,0.4,J55)</f>
        <v>#DIV/0!</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6"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2" thickBot="1">
      <c r="A60" s="1201" t="s">
        <v>1030</v>
      </c>
      <c r="B60" s="1169" t="s">
        <v>1427</v>
      </c>
      <c r="C60" s="24">
        <f ca="1">IF(项目基本情况!B11="自然人","——",ROUND(C48*F60/(1+'数据-取费表'!C42),0))</f>
        <v>0</v>
      </c>
      <c r="D60" s="1183" t="s">
        <v>1428</v>
      </c>
      <c r="E60" s="1169" t="s">
        <v>1416</v>
      </c>
      <c r="F60" s="377">
        <f t="shared" ref="F60:F66" si="0">F32</f>
        <v>5.5000000000000007E-2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8" thickBot="1">
      <c r="A61" s="1201" t="s">
        <v>1486</v>
      </c>
      <c r="B61" s="1169" t="s">
        <v>1487</v>
      </c>
      <c r="C61" s="24">
        <f ca="1">IF(项目基本情况!B11="自然人","——",IF(D61="按租金收入计税",ROUND(C48*F61,0),IF(D61="按房产原值计税",ROUND(C57*F61*0.7,0),INDIRECT("'数据-取费表'!Aj"&amp;$G$1))))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8" thickBot="1">
      <c r="A62" s="1201" t="s">
        <v>1489</v>
      </c>
      <c r="B62" s="1168" t="s">
        <v>1490</v>
      </c>
      <c r="C62" s="25">
        <f ca="1">IF(项目基本情况!B11="自然人","——",ROUND(F62*F63,0))</f>
        <v>0</v>
      </c>
      <c r="D62" s="1184" t="s">
        <v>1491</v>
      </c>
      <c r="E62" s="1169" t="s">
        <v>1492</v>
      </c>
      <c r="F62" s="371">
        <f t="shared" si="0"/>
        <v>5</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8"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8" thickBot="1">
      <c r="A64" s="1201" t="s">
        <v>1494</v>
      </c>
      <c r="B64" s="1169" t="s">
        <v>1495</v>
      </c>
      <c r="C64" s="24">
        <f ca="1">ROUND(C57*F64,0)</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8" thickBot="1">
      <c r="A65" s="1201" t="s">
        <v>1497</v>
      </c>
      <c r="B65" s="1169" t="s">
        <v>1447</v>
      </c>
      <c r="C65" s="24">
        <f ca="1">ROUND(C56*F65,0)</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2" thickBot="1">
      <c r="A66" s="1201" t="s">
        <v>1498</v>
      </c>
      <c r="B66" s="1169" t="s">
        <v>1433</v>
      </c>
      <c r="C66" s="24">
        <f ca="1">ROUND(C48*F66,0)</f>
        <v>0</v>
      </c>
      <c r="D66" s="1183" t="s">
        <v>1499</v>
      </c>
      <c r="E66" s="1169" t="s">
        <v>1416</v>
      </c>
      <c r="F66" s="357">
        <f t="shared" ca="1" si="0"/>
        <v>0</v>
      </c>
      <c r="O66" s="1883" t="s">
        <v>1037</v>
      </c>
      <c r="P66" s="1884" t="s">
        <v>1552</v>
      </c>
      <c r="Q66" s="1885" t="e">
        <f ca="1">L60</f>
        <v>#DIV/0!</v>
      </c>
      <c r="R66" s="1885" t="s">
        <v>1575</v>
      </c>
    </row>
    <row r="67" spans="1:18" s="1841" customFormat="1" ht="24.6"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2"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3.8" thickBot="1">
      <c r="A69" s="1170"/>
      <c r="B69" s="1171"/>
      <c r="C69" s="351"/>
      <c r="D69" s="1189" t="s">
        <v>1467</v>
      </c>
      <c r="E69" s="1169" t="s">
        <v>1468</v>
      </c>
      <c r="F69" s="379">
        <f ca="1">F41</f>
        <v>0</v>
      </c>
      <c r="O69" s="1893" t="s">
        <v>1044</v>
      </c>
      <c r="P69" s="1932" t="s">
        <v>1578</v>
      </c>
      <c r="Q69" s="1885">
        <f ca="1">C39</f>
        <v>0</v>
      </c>
      <c r="R69" s="1885" t="s">
        <v>1523</v>
      </c>
    </row>
    <row r="70" spans="1:18" s="1841" customFormat="1" ht="13.8" thickBot="1">
      <c r="A70" s="1173"/>
      <c r="B70" s="1174"/>
      <c r="C70" s="355"/>
      <c r="D70" s="1185"/>
      <c r="E70" s="1169" t="s">
        <v>1471</v>
      </c>
      <c r="F70" s="1275">
        <f ca="1">F42</f>
        <v>0</v>
      </c>
      <c r="O70" s="1893" t="s">
        <v>1045</v>
      </c>
      <c r="P70" s="1932" t="s">
        <v>1579</v>
      </c>
      <c r="Q70" s="1885">
        <f ca="1">C13</f>
        <v>0</v>
      </c>
      <c r="R70" s="1885" t="s">
        <v>1523</v>
      </c>
    </row>
    <row r="71" spans="1:18" s="1841" customFormat="1" ht="13.8" thickBot="1">
      <c r="A71" s="1190" t="s">
        <v>1029</v>
      </c>
      <c r="B71" s="1191" t="s">
        <v>1481</v>
      </c>
      <c r="C71" s="382" t="e">
        <f ca="1">ROUND(C68/F71,0)</f>
        <v>#DIV/0!</v>
      </c>
      <c r="D71" s="1192" t="s">
        <v>1482</v>
      </c>
      <c r="E71" s="1193" t="s">
        <v>1483</v>
      </c>
      <c r="F71" s="385">
        <f ca="1">F43</f>
        <v>0</v>
      </c>
      <c r="O71" s="1893" t="s">
        <v>1046</v>
      </c>
      <c r="P71" s="1932" t="s">
        <v>1580</v>
      </c>
      <c r="Q71" s="1896">
        <f ca="1">C76</f>
        <v>0</v>
      </c>
      <c r="R71" s="1885"/>
    </row>
    <row r="72" spans="1:18" s="1841" customFormat="1" ht="13.8" thickBot="1">
      <c r="B72" s="796"/>
      <c r="C72" s="796"/>
      <c r="O72" s="1893" t="s">
        <v>1040</v>
      </c>
      <c r="P72" s="1884" t="s">
        <v>1558</v>
      </c>
      <c r="Q72" s="1896">
        <f>L52</f>
        <v>0</v>
      </c>
      <c r="R72" s="1885"/>
    </row>
    <row r="73" spans="1:18" ht="16.2" thickBot="1">
      <c r="A73" s="1841"/>
      <c r="B73" s="796"/>
      <c r="C73" s="796"/>
      <c r="D73" s="1841"/>
      <c r="E73" s="1841"/>
      <c r="F73" s="1841"/>
      <c r="O73" s="1893" t="s">
        <v>1041</v>
      </c>
      <c r="P73" s="1884" t="s">
        <v>1561</v>
      </c>
      <c r="Q73" s="1885" t="e">
        <f ca="1">L58</f>
        <v>#DIV/0!</v>
      </c>
      <c r="R73" s="1885" t="s">
        <v>1562</v>
      </c>
    </row>
    <row r="74" spans="1:18" ht="13.8"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8"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58" priority="4">
      <formula>$L$48&gt;$J$51</formula>
    </cfRule>
  </conditionalFormatting>
  <conditionalFormatting sqref="I55 I60">
    <cfRule type="expression" dxfId="157" priority="5">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tabColor rgb="FF92D050"/>
  </sheetPr>
  <dimension ref="A1:I38"/>
  <sheetViews>
    <sheetView workbookViewId="0">
      <selection activeCell="F7" sqref="F7"/>
    </sheetView>
  </sheetViews>
  <sheetFormatPr defaultRowHeight="14.4"/>
  <cols>
    <col min="1" max="1" width="10.44140625" customWidth="1"/>
    <col min="2" max="2" width="12.88671875" customWidth="1"/>
    <col min="3" max="3" width="8.77734375" customWidth="1"/>
  </cols>
  <sheetData>
    <row r="1" spans="1:9" ht="15.6">
      <c r="A1" s="3281" t="s">
        <v>1072</v>
      </c>
      <c r="B1" s="3282"/>
      <c r="C1" s="3283"/>
      <c r="D1" s="3284">
        <f>SUM(I10,I15,I20,I21,I23)</f>
        <v>0</v>
      </c>
      <c r="E1" s="3284"/>
      <c r="F1" s="3284"/>
      <c r="G1" s="3284"/>
      <c r="H1" s="3284"/>
      <c r="I1" s="3285"/>
    </row>
    <row r="2" spans="1:9">
      <c r="A2" s="3286" t="s">
        <v>1073</v>
      </c>
      <c r="B2" s="3287" t="s">
        <v>1074</v>
      </c>
      <c r="C2" s="3287"/>
      <c r="D2" s="1301" t="s">
        <v>1075</v>
      </c>
      <c r="E2" s="1301" t="s">
        <v>1076</v>
      </c>
      <c r="F2" s="1301" t="s">
        <v>1077</v>
      </c>
      <c r="G2" s="1301" t="s">
        <v>1078</v>
      </c>
      <c r="H2" s="1301" t="s">
        <v>1079</v>
      </c>
      <c r="I2" s="1302" t="s">
        <v>1080</v>
      </c>
    </row>
    <row r="3" spans="1:9">
      <c r="A3" s="3286"/>
      <c r="B3" s="3287" t="s">
        <v>1081</v>
      </c>
      <c r="C3" s="3287"/>
      <c r="D3" s="1303"/>
      <c r="E3" s="1301"/>
      <c r="F3" s="1304"/>
      <c r="G3" s="1304"/>
      <c r="H3" s="1305"/>
      <c r="I3" s="1306">
        <f>ROUND(D3*E3*F3*G3*H3/10000,0)</f>
        <v>0</v>
      </c>
    </row>
    <row r="4" spans="1:9">
      <c r="A4" s="3286"/>
      <c r="B4" s="3287" t="s">
        <v>1082</v>
      </c>
      <c r="C4" s="3287"/>
      <c r="D4" s="1303"/>
      <c r="E4" s="1301"/>
      <c r="F4" s="1304"/>
      <c r="G4" s="1304"/>
      <c r="H4" s="1305"/>
      <c r="I4" s="1306">
        <f t="shared" ref="I4:I9" si="0">ROUND(D4*E4*F4*G4*H4/10000,0)</f>
        <v>0</v>
      </c>
    </row>
    <row r="5" spans="1:9">
      <c r="A5" s="3286"/>
      <c r="B5" s="3287" t="s">
        <v>1083</v>
      </c>
      <c r="C5" s="3287"/>
      <c r="D5" s="1303"/>
      <c r="E5" s="1301"/>
      <c r="F5" s="1304"/>
      <c r="G5" s="1304"/>
      <c r="H5" s="1305"/>
      <c r="I5" s="1306">
        <f t="shared" si="0"/>
        <v>0</v>
      </c>
    </row>
    <row r="6" spans="1:9">
      <c r="A6" s="3286"/>
      <c r="B6" s="3287" t="s">
        <v>1084</v>
      </c>
      <c r="C6" s="3287"/>
      <c r="D6" s="1303"/>
      <c r="E6" s="1301"/>
      <c r="F6" s="1304"/>
      <c r="G6" s="1304"/>
      <c r="H6" s="1305"/>
      <c r="I6" s="1306">
        <f t="shared" si="0"/>
        <v>0</v>
      </c>
    </row>
    <row r="7" spans="1:9">
      <c r="A7" s="3286"/>
      <c r="B7" s="3287" t="s">
        <v>1085</v>
      </c>
      <c r="C7" s="3287"/>
      <c r="D7" s="1303"/>
      <c r="E7" s="1301"/>
      <c r="F7" s="1304"/>
      <c r="G7" s="1304"/>
      <c r="H7" s="1305"/>
      <c r="I7" s="1306">
        <f t="shared" si="0"/>
        <v>0</v>
      </c>
    </row>
    <row r="8" spans="1:9">
      <c r="A8" s="3286"/>
      <c r="B8" s="3287" t="s">
        <v>1086</v>
      </c>
      <c r="C8" s="3287"/>
      <c r="D8" s="1303"/>
      <c r="E8" s="1301"/>
      <c r="F8" s="1304"/>
      <c r="G8" s="1304"/>
      <c r="H8" s="1305"/>
      <c r="I8" s="1306">
        <f t="shared" si="0"/>
        <v>0</v>
      </c>
    </row>
    <row r="9" spans="1:9">
      <c r="A9" s="3286"/>
      <c r="B9" s="3287" t="s">
        <v>1087</v>
      </c>
      <c r="C9" s="3287"/>
      <c r="D9" s="1303"/>
      <c r="E9" s="1301"/>
      <c r="F9" s="1304"/>
      <c r="G9" s="1304"/>
      <c r="H9" s="1305"/>
      <c r="I9" s="1306">
        <f t="shared" si="0"/>
        <v>0</v>
      </c>
    </row>
    <row r="10" spans="1:9">
      <c r="A10" s="3286"/>
      <c r="B10" s="3288" t="s">
        <v>1088</v>
      </c>
      <c r="C10" s="3288"/>
      <c r="D10" s="1307"/>
      <c r="E10" s="1307" t="e">
        <f>ROUND(D1*10000/D10/H9,0)</f>
        <v>#DIV/0!</v>
      </c>
      <c r="F10" s="1308"/>
      <c r="G10" s="1308"/>
      <c r="H10" s="1309"/>
      <c r="I10" s="1310">
        <f>SUM(I3:I9)</f>
        <v>0</v>
      </c>
    </row>
    <row r="11" spans="1:9" ht="15.6">
      <c r="A11" s="3286" t="s">
        <v>1089</v>
      </c>
      <c r="B11" s="3287" t="s">
        <v>1090</v>
      </c>
      <c r="C11" s="3287"/>
      <c r="D11" s="1303" t="s">
        <v>1091</v>
      </c>
      <c r="E11" s="1303" t="s">
        <v>1092</v>
      </c>
      <c r="F11" s="1304" t="s">
        <v>1093</v>
      </c>
      <c r="G11" s="1304" t="s">
        <v>1079</v>
      </c>
      <c r="H11" s="1311" t="s">
        <v>1094</v>
      </c>
      <c r="I11" s="1302" t="s">
        <v>1080</v>
      </c>
    </row>
    <row r="12" spans="1:9">
      <c r="A12" s="3286"/>
      <c r="B12" s="3287" t="s">
        <v>1095</v>
      </c>
      <c r="C12" s="3287"/>
      <c r="D12" s="1303"/>
      <c r="E12" s="1303"/>
      <c r="F12" s="1304"/>
      <c r="G12" s="1305"/>
      <c r="H12" s="1312"/>
      <c r="I12" s="1302">
        <f>ROUND(D12*E12*F12*G12/10000,0)</f>
        <v>0</v>
      </c>
    </row>
    <row r="13" spans="1:9">
      <c r="A13" s="3286"/>
      <c r="B13" s="3287" t="s">
        <v>1096</v>
      </c>
      <c r="C13" s="3287"/>
      <c r="D13" s="1303"/>
      <c r="E13" s="1303"/>
      <c r="F13" s="1304"/>
      <c r="G13" s="1305"/>
      <c r="H13" s="1312"/>
      <c r="I13" s="1302">
        <f>ROUND(D13*E13*F13*G13/10000,0)</f>
        <v>0</v>
      </c>
    </row>
    <row r="14" spans="1:9">
      <c r="A14" s="3286"/>
      <c r="B14" s="3287" t="s">
        <v>1097</v>
      </c>
      <c r="C14" s="3287"/>
      <c r="D14" s="1303"/>
      <c r="E14" s="1303"/>
      <c r="F14" s="1304"/>
      <c r="G14" s="1305"/>
      <c r="H14" s="1312"/>
      <c r="I14" s="1302">
        <f>ROUND(D14*E14*F14*G14/10000,0)</f>
        <v>0</v>
      </c>
    </row>
    <row r="15" spans="1:9">
      <c r="A15" s="3286"/>
      <c r="B15" s="3288" t="s">
        <v>1088</v>
      </c>
      <c r="C15" s="3288"/>
      <c r="D15" s="1307"/>
      <c r="E15" s="1307">
        <f>SUM(E12:E14)</f>
        <v>0</v>
      </c>
      <c r="F15" s="1308"/>
      <c r="G15" s="1305"/>
      <c r="H15" s="1312"/>
      <c r="I15" s="1313">
        <f>SUM(I12:I14)</f>
        <v>0</v>
      </c>
    </row>
    <row r="16" spans="1:9" ht="24">
      <c r="A16" s="3286" t="s">
        <v>1098</v>
      </c>
      <c r="B16" s="3287" t="s">
        <v>1099</v>
      </c>
      <c r="C16" s="3287"/>
      <c r="D16" s="1303" t="s">
        <v>1075</v>
      </c>
      <c r="E16" s="1314" t="s">
        <v>1100</v>
      </c>
      <c r="F16" s="1304" t="s">
        <v>1101</v>
      </c>
      <c r="G16" s="1305" t="s">
        <v>1079</v>
      </c>
      <c r="H16" s="1311" t="s">
        <v>1094</v>
      </c>
      <c r="I16" s="1302" t="s">
        <v>1080</v>
      </c>
    </row>
    <row r="17" spans="1:9" ht="15.6">
      <c r="A17" s="3286"/>
      <c r="B17" s="3287" t="s">
        <v>1102</v>
      </c>
      <c r="C17" s="3287"/>
      <c r="D17" s="1303"/>
      <c r="E17" s="1303"/>
      <c r="F17" s="1304"/>
      <c r="G17" s="1305"/>
      <c r="H17" s="1315"/>
      <c r="I17" s="1316">
        <f>ROUND(D17*E17*F17*G17/10000,0)</f>
        <v>0</v>
      </c>
    </row>
    <row r="18" spans="1:9" ht="15.6">
      <c r="A18" s="3286"/>
      <c r="B18" s="3287" t="s">
        <v>1103</v>
      </c>
      <c r="C18" s="3287"/>
      <c r="D18" s="1303"/>
      <c r="E18" s="1303"/>
      <c r="F18" s="1304"/>
      <c r="G18" s="1305"/>
      <c r="H18" s="1315"/>
      <c r="I18" s="1316">
        <f>ROUND(D18*E18*F18*G18/10000,0)</f>
        <v>0</v>
      </c>
    </row>
    <row r="19" spans="1:9" ht="15.6">
      <c r="A19" s="3286"/>
      <c r="B19" s="3287" t="s">
        <v>1104</v>
      </c>
      <c r="C19" s="3287"/>
      <c r="D19" s="1303"/>
      <c r="E19" s="1303"/>
      <c r="F19" s="1304"/>
      <c r="G19" s="1305"/>
      <c r="H19" s="1315"/>
      <c r="I19" s="1316">
        <f>ROUND(D19*E19*F19*G19/10000,0)</f>
        <v>0</v>
      </c>
    </row>
    <row r="20" spans="1:9">
      <c r="A20" s="3286"/>
      <c r="B20" s="3288" t="s">
        <v>1088</v>
      </c>
      <c r="C20" s="3288"/>
      <c r="D20" s="1307">
        <f>SUM(D17:D19)</f>
        <v>0</v>
      </c>
      <c r="E20" s="1307"/>
      <c r="F20" s="1308"/>
      <c r="G20" s="1305"/>
      <c r="H20" s="1312"/>
      <c r="I20" s="1313">
        <f>SUM(I17:I19)</f>
        <v>0</v>
      </c>
    </row>
    <row r="21" spans="1:9">
      <c r="A21" s="3286" t="s">
        <v>1105</v>
      </c>
      <c r="B21" s="3290"/>
      <c r="C21" s="3290"/>
      <c r="D21" s="3290"/>
      <c r="E21" s="3290"/>
      <c r="F21" s="3290"/>
      <c r="G21" s="3290"/>
      <c r="H21" s="1764">
        <v>0.1</v>
      </c>
      <c r="I21" s="1310">
        <f>ROUND(I10*H21,0)</f>
        <v>0</v>
      </c>
    </row>
    <row r="22" spans="1:9" ht="15.6">
      <c r="A22" s="3291" t="s">
        <v>1106</v>
      </c>
      <c r="B22" s="3292"/>
      <c r="C22" s="3293"/>
      <c r="D22" s="1317" t="s">
        <v>1107</v>
      </c>
      <c r="E22" s="1317" t="s">
        <v>1108</v>
      </c>
      <c r="F22" s="1318" t="s">
        <v>1109</v>
      </c>
      <c r="G22" s="1318" t="s">
        <v>1110</v>
      </c>
      <c r="H22" s="1311" t="s">
        <v>1111</v>
      </c>
      <c r="I22" s="1302" t="s">
        <v>1112</v>
      </c>
    </row>
    <row r="23" spans="1:9" ht="15" thickBot="1">
      <c r="A23" s="3294"/>
      <c r="B23" s="3295"/>
      <c r="C23" s="3296"/>
      <c r="D23" s="1319"/>
      <c r="E23" s="1319"/>
      <c r="F23" s="1319"/>
      <c r="G23" s="1320"/>
      <c r="H23" s="1321"/>
      <c r="I23" s="1322">
        <f>ROUND(E23*D23*F23*(1-G23)/10000,0)</f>
        <v>0</v>
      </c>
    </row>
    <row r="26" spans="1:9">
      <c r="A26" s="1323" t="s">
        <v>1113</v>
      </c>
      <c r="B26" s="1323"/>
      <c r="C26" s="1323"/>
      <c r="D26" s="1323"/>
      <c r="E26" s="3297">
        <f>C27-C30-C31-C32</f>
        <v>0</v>
      </c>
      <c r="F26" s="3297"/>
      <c r="G26" s="3297"/>
      <c r="H26" s="1736" t="s">
        <v>1335</v>
      </c>
    </row>
    <row r="27" spans="1:9">
      <c r="A27" s="1324">
        <v>1</v>
      </c>
      <c r="B27" s="1325" t="s">
        <v>1114</v>
      </c>
      <c r="C27" s="1325">
        <f>C28+C29</f>
        <v>0</v>
      </c>
      <c r="D27" s="1325"/>
      <c r="E27" s="3298"/>
      <c r="F27" s="3298"/>
      <c r="G27" s="3298"/>
    </row>
    <row r="28" spans="1:9">
      <c r="A28" s="1326" t="s">
        <v>1115</v>
      </c>
      <c r="B28" s="1325" t="s">
        <v>1116</v>
      </c>
      <c r="C28" s="1325"/>
      <c r="D28" s="1325"/>
      <c r="E28" s="3298"/>
      <c r="F28" s="3298"/>
      <c r="G28" s="3298"/>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89"/>
      <c r="F32" s="3289"/>
      <c r="G32" s="3289"/>
    </row>
    <row r="33" spans="1:7" hidden="1">
      <c r="A33" s="3299" t="s">
        <v>1125</v>
      </c>
      <c r="B33" s="3300"/>
      <c r="C33" s="3300"/>
      <c r="D33" s="3301"/>
      <c r="E33" s="3297"/>
      <c r="F33" s="3297"/>
      <c r="G33" s="3297"/>
    </row>
    <row r="34" spans="1:7" hidden="1">
      <c r="A34" s="1328">
        <v>1</v>
      </c>
      <c r="B34" s="1325" t="s">
        <v>1126</v>
      </c>
      <c r="C34" s="1325"/>
      <c r="D34" s="1325"/>
      <c r="E34" s="3298"/>
      <c r="F34" s="3298"/>
      <c r="G34" s="3298"/>
    </row>
    <row r="35" spans="1:7" hidden="1">
      <c r="A35" s="1328">
        <v>2</v>
      </c>
      <c r="B35" s="1325" t="s">
        <v>1127</v>
      </c>
      <c r="C35" s="1325"/>
      <c r="D35" s="1325"/>
      <c r="E35" s="3298"/>
      <c r="F35" s="3298"/>
      <c r="G35" s="3298"/>
    </row>
    <row r="36" spans="1:7" hidden="1">
      <c r="A36" s="1328">
        <v>3</v>
      </c>
      <c r="B36" s="1325" t="s">
        <v>1128</v>
      </c>
      <c r="C36" s="1325"/>
      <c r="D36" s="1325"/>
      <c r="E36" s="3298"/>
      <c r="F36" s="3298"/>
      <c r="G36" s="3298"/>
    </row>
    <row r="37" spans="1:7" hidden="1">
      <c r="A37" s="1328">
        <v>4</v>
      </c>
      <c r="B37" s="1325" t="s">
        <v>1129</v>
      </c>
      <c r="C37" s="1325"/>
      <c r="D37" s="1325"/>
      <c r="E37" s="3298"/>
      <c r="F37" s="3298"/>
      <c r="G37" s="3298"/>
    </row>
    <row r="38" spans="1:7" hidden="1">
      <c r="A38" s="3299" t="s">
        <v>1130</v>
      </c>
      <c r="B38" s="3300"/>
      <c r="C38" s="3300"/>
      <c r="D38" s="3301"/>
      <c r="E38" s="3297"/>
      <c r="F38" s="3297"/>
      <c r="G38" s="32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zoomScale="90" zoomScaleNormal="90" workbookViewId="0">
      <selection activeCell="F7" sqref="F7"/>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2525</v>
      </c>
      <c r="B1" s="2583" t="s">
        <v>2526</v>
      </c>
      <c r="C1" s="1633" t="s">
        <v>2527</v>
      </c>
      <c r="D1" s="1620"/>
      <c r="E1" s="2584"/>
      <c r="F1" s="2585" t="s">
        <v>2528</v>
      </c>
      <c r="G1" s="1630" t="s">
        <v>2529</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87"/>
      <c r="D2" s="1365" t="e">
        <f ca="1">SUMIF(INDIRECT("'"&amp;F2&amp;"'"&amp;"!A:A"),"承租人权益价值",INDIRECT("'"&amp;F2&amp;"'"&amp;"!c:c"))</f>
        <v>#REF!</v>
      </c>
      <c r="E2" s="2588" t="s">
        <v>2530</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t="e">
        <f ca="1">IF(C2="——",C49,ROUND(B2*10000/D3,0))</f>
        <v>#DIV/0!</v>
      </c>
      <c r="C3" s="400" t="s">
        <v>2531</v>
      </c>
      <c r="D3" s="399">
        <f>IF(D1="",'数据-汇总表'!E3,SUMIF('数据-汇总表'!$C19:$C33,D1,'数据-汇总表'!$E19:$E33))</f>
        <v>73003.73</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4.4">
      <c r="A4" s="401" t="s">
        <v>2532</v>
      </c>
      <c r="B4" s="402"/>
      <c r="C4" s="3250" t="s">
        <v>2533</v>
      </c>
      <c r="D4" s="3251"/>
      <c r="E4" s="3252" t="s">
        <v>2534</v>
      </c>
      <c r="F4" s="3253"/>
      <c r="G4" s="3250" t="s">
        <v>2535</v>
      </c>
      <c r="H4" s="3251"/>
      <c r="I4" s="3250" t="s">
        <v>2536</v>
      </c>
      <c r="J4" s="3251"/>
      <c r="K4" s="2597" t="s">
        <v>2537</v>
      </c>
      <c r="L4" s="1130"/>
      <c r="M4" s="1131"/>
      <c r="N4" s="1131"/>
      <c r="O4" s="1131"/>
      <c r="P4" s="3254" t="s">
        <v>2538</v>
      </c>
      <c r="Q4" s="3255"/>
      <c r="R4" s="3236" t="s">
        <v>2534</v>
      </c>
      <c r="S4" s="3237"/>
      <c r="T4" s="3236" t="s">
        <v>2535</v>
      </c>
      <c r="U4" s="3237"/>
      <c r="V4" s="3262" t="s">
        <v>2536</v>
      </c>
      <c r="W4" s="3262"/>
      <c r="X4" s="1812"/>
      <c r="Y4" s="3236" t="s">
        <v>2538</v>
      </c>
      <c r="Z4" s="3237"/>
      <c r="AA4" s="3231" t="s">
        <v>2534</v>
      </c>
      <c r="AB4" s="3231" t="s">
        <v>2535</v>
      </c>
      <c r="AC4" s="3231" t="s">
        <v>2536</v>
      </c>
    </row>
    <row r="5" spans="1:29">
      <c r="A5" s="404"/>
      <c r="B5" s="405"/>
      <c r="C5" s="3246" t="s">
        <v>2539</v>
      </c>
      <c r="D5" s="3243"/>
      <c r="E5" s="3240" t="s">
        <v>2540</v>
      </c>
      <c r="F5" s="3241"/>
      <c r="G5" s="3246" t="s">
        <v>2541</v>
      </c>
      <c r="H5" s="3243"/>
      <c r="I5" s="3246" t="s">
        <v>2542</v>
      </c>
      <c r="J5" s="3243"/>
      <c r="K5" s="2598"/>
      <c r="L5" s="1130"/>
      <c r="M5" s="1131"/>
      <c r="N5" s="1131"/>
      <c r="O5" s="1131"/>
      <c r="P5" s="3256"/>
      <c r="Q5" s="3257"/>
      <c r="R5" s="3238"/>
      <c r="S5" s="3239"/>
      <c r="T5" s="3238"/>
      <c r="U5" s="3239"/>
      <c r="V5" s="3262"/>
      <c r="W5" s="3262"/>
      <c r="X5" s="1812"/>
      <c r="Y5" s="3238"/>
      <c r="Z5" s="3239"/>
      <c r="AA5" s="3232"/>
      <c r="AB5" s="3232"/>
      <c r="AC5" s="3232"/>
    </row>
    <row r="6" spans="1:29" ht="15" thickBot="1">
      <c r="A6" s="406"/>
      <c r="B6" s="407"/>
      <c r="C6" s="3244" t="s">
        <v>2543</v>
      </c>
      <c r="D6" s="3245"/>
      <c r="E6" s="3247" t="s">
        <v>2543</v>
      </c>
      <c r="F6" s="3248"/>
      <c r="G6" s="3244" t="s">
        <v>2543</v>
      </c>
      <c r="H6" s="3245"/>
      <c r="I6" s="3244" t="s">
        <v>2543</v>
      </c>
      <c r="J6" s="3245"/>
      <c r="K6" s="2598" t="s">
        <v>2544</v>
      </c>
      <c r="L6" s="1130"/>
      <c r="M6" s="1131"/>
      <c r="N6" s="1131"/>
      <c r="O6" s="1131"/>
      <c r="P6" s="3258"/>
      <c r="Q6" s="3259"/>
      <c r="R6" s="3238"/>
      <c r="S6" s="3239"/>
      <c r="T6" s="3260"/>
      <c r="U6" s="3261"/>
      <c r="V6" s="3262"/>
      <c r="W6" s="3262"/>
      <c r="X6" s="1812"/>
      <c r="Y6" s="3260"/>
      <c r="Z6" s="3261"/>
      <c r="AA6" s="3233"/>
      <c r="AB6" s="3233"/>
      <c r="AC6" s="3233"/>
    </row>
    <row r="7" spans="1:29" s="117" customFormat="1" ht="15" thickBot="1">
      <c r="A7" s="408" t="s">
        <v>2545</v>
      </c>
      <c r="B7" s="409"/>
      <c r="C7" s="410">
        <f>'数据-取费表'!B2</f>
        <v>43921</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234" t="s">
        <v>2546</v>
      </c>
      <c r="Q7" s="3263"/>
      <c r="R7" s="770" t="s">
        <v>23</v>
      </c>
      <c r="S7" s="771">
        <f t="shared" ref="S7:S15" si="0">F7</f>
        <v>0</v>
      </c>
      <c r="T7" s="770" t="s">
        <v>23</v>
      </c>
      <c r="U7" s="771">
        <f t="shared" ref="U7:U15" si="1">H7</f>
        <v>0</v>
      </c>
      <c r="V7" s="770" t="s">
        <v>23</v>
      </c>
      <c r="W7" s="771">
        <f t="shared" ref="W7:W15" si="2">J7</f>
        <v>0</v>
      </c>
      <c r="X7" s="772"/>
      <c r="Y7" s="3234" t="s">
        <v>2546</v>
      </c>
      <c r="Z7" s="3235"/>
      <c r="AA7" s="773" t="e">
        <f>D7/F7</f>
        <v>#DIV/0!</v>
      </c>
      <c r="AB7" s="773" t="e">
        <f>D7/H7</f>
        <v>#DIV/0!</v>
      </c>
      <c r="AC7" s="773" t="e">
        <f>D7/J7</f>
        <v>#DIV/0!</v>
      </c>
    </row>
    <row r="8" spans="1:29" s="117" customFormat="1" ht="15" thickBot="1">
      <c r="A8" s="408" t="s">
        <v>2547</v>
      </c>
      <c r="B8" s="409"/>
      <c r="C8" s="414" t="s">
        <v>2548</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234" t="s">
        <v>2549</v>
      </c>
      <c r="Q8" s="3235"/>
      <c r="R8" s="770" t="s">
        <v>23</v>
      </c>
      <c r="S8" s="771">
        <f t="shared" si="0"/>
        <v>0</v>
      </c>
      <c r="T8" s="770" t="s">
        <v>23</v>
      </c>
      <c r="U8" s="771">
        <f t="shared" si="1"/>
        <v>0</v>
      </c>
      <c r="V8" s="770" t="s">
        <v>23</v>
      </c>
      <c r="W8" s="771">
        <f t="shared" si="2"/>
        <v>0</v>
      </c>
      <c r="X8" s="772"/>
      <c r="Y8" s="3234" t="s">
        <v>2549</v>
      </c>
      <c r="Z8" s="3235"/>
      <c r="AA8" s="773" t="e">
        <f t="shared" ref="AA8:AA19" si="3">D8/F8</f>
        <v>#DIV/0!</v>
      </c>
      <c r="AB8" s="773" t="e">
        <f t="shared" ref="AB8:AB19" si="4">D8/H8</f>
        <v>#DIV/0!</v>
      </c>
      <c r="AC8" s="773" t="e">
        <f t="shared" ref="AC8:AC19" si="5">D8/J8</f>
        <v>#DIV/0!</v>
      </c>
    </row>
    <row r="9" spans="1:29" s="117" customFormat="1" ht="14.4">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273" t="s">
        <v>2552</v>
      </c>
      <c r="Q9" s="1794" t="str">
        <f t="shared" ref="Q9:Q15" si="6">B9</f>
        <v>用途</v>
      </c>
      <c r="R9" s="770" t="s">
        <v>17</v>
      </c>
      <c r="S9" s="771">
        <f t="shared" si="0"/>
        <v>100</v>
      </c>
      <c r="T9" s="770" t="s">
        <v>17</v>
      </c>
      <c r="U9" s="771">
        <f t="shared" si="1"/>
        <v>100</v>
      </c>
      <c r="V9" s="770" t="s">
        <v>17</v>
      </c>
      <c r="W9" s="771">
        <f t="shared" si="2"/>
        <v>100</v>
      </c>
      <c r="X9" s="772"/>
      <c r="Y9" s="3108" t="s">
        <v>2553</v>
      </c>
      <c r="Z9" s="55" t="str">
        <f t="shared" ref="Z9:Z15" si="7">Q9</f>
        <v>用途</v>
      </c>
      <c r="AA9" s="773">
        <f t="shared" si="3"/>
        <v>1</v>
      </c>
      <c r="AB9" s="773">
        <f t="shared" si="4"/>
        <v>1</v>
      </c>
      <c r="AC9" s="773">
        <f t="shared" si="5"/>
        <v>1</v>
      </c>
    </row>
    <row r="10" spans="1:29" s="427" customFormat="1" ht="28.8">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73"/>
      <c r="Q10" s="1794" t="str">
        <f t="shared" si="6"/>
        <v>土地使用年限（年）</v>
      </c>
      <c r="R10" s="770" t="s">
        <v>17</v>
      </c>
      <c r="S10" s="771">
        <f t="shared" si="0"/>
        <v>100</v>
      </c>
      <c r="T10" s="770" t="s">
        <v>17</v>
      </c>
      <c r="U10" s="771">
        <f t="shared" si="1"/>
        <v>100</v>
      </c>
      <c r="V10" s="770" t="s">
        <v>17</v>
      </c>
      <c r="W10" s="771">
        <f t="shared" si="2"/>
        <v>100</v>
      </c>
      <c r="X10" s="772"/>
      <c r="Y10" s="3108"/>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73"/>
      <c r="Q11" s="1794" t="str">
        <f t="shared" si="6"/>
        <v>容积率</v>
      </c>
      <c r="R11" s="770" t="s">
        <v>21</v>
      </c>
      <c r="S11" s="771" t="e">
        <f t="shared" si="0"/>
        <v>#N/A</v>
      </c>
      <c r="T11" s="770" t="s">
        <v>21</v>
      </c>
      <c r="U11" s="771" t="e">
        <f t="shared" si="1"/>
        <v>#N/A</v>
      </c>
      <c r="V11" s="770" t="s">
        <v>21</v>
      </c>
      <c r="W11" s="771" t="e">
        <f t="shared" si="2"/>
        <v>#N/A</v>
      </c>
      <c r="X11" s="772"/>
      <c r="Y11" s="3108"/>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273"/>
      <c r="Q12" s="1794">
        <f t="shared" si="6"/>
        <v>111</v>
      </c>
      <c r="R12" s="770" t="s">
        <v>21</v>
      </c>
      <c r="S12" s="771">
        <f t="shared" si="0"/>
        <v>100</v>
      </c>
      <c r="T12" s="770" t="s">
        <v>21</v>
      </c>
      <c r="U12" s="771">
        <f t="shared" si="1"/>
        <v>100</v>
      </c>
      <c r="V12" s="770" t="s">
        <v>21</v>
      </c>
      <c r="W12" s="771">
        <f t="shared" si="2"/>
        <v>100</v>
      </c>
      <c r="X12" s="772"/>
      <c r="Y12" s="3108"/>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273"/>
      <c r="Q13" s="1794">
        <f t="shared" si="6"/>
        <v>111</v>
      </c>
      <c r="R13" s="770" t="s">
        <v>21</v>
      </c>
      <c r="S13" s="771">
        <f t="shared" si="0"/>
        <v>100</v>
      </c>
      <c r="T13" s="770" t="s">
        <v>21</v>
      </c>
      <c r="U13" s="771">
        <f t="shared" si="1"/>
        <v>100</v>
      </c>
      <c r="V13" s="770" t="s">
        <v>21</v>
      </c>
      <c r="W13" s="771">
        <f t="shared" si="2"/>
        <v>100</v>
      </c>
      <c r="X13" s="772"/>
      <c r="Y13" s="3108"/>
      <c r="Z13" s="55">
        <f t="shared" si="7"/>
        <v>111</v>
      </c>
      <c r="AA13" s="773">
        <f t="shared" si="3"/>
        <v>1</v>
      </c>
      <c r="AB13" s="773">
        <f t="shared" si="4"/>
        <v>1</v>
      </c>
      <c r="AC13" s="773">
        <f t="shared" si="5"/>
        <v>1</v>
      </c>
    </row>
    <row r="14" spans="1:29" ht="15.6"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273"/>
      <c r="Q14" s="1794">
        <f t="shared" si="6"/>
        <v>111</v>
      </c>
      <c r="R14" s="770" t="s">
        <v>21</v>
      </c>
      <c r="S14" s="771">
        <f t="shared" si="0"/>
        <v>100</v>
      </c>
      <c r="T14" s="770" t="s">
        <v>21</v>
      </c>
      <c r="U14" s="771">
        <f t="shared" si="1"/>
        <v>100</v>
      </c>
      <c r="V14" s="770" t="s">
        <v>21</v>
      </c>
      <c r="W14" s="771">
        <f t="shared" si="2"/>
        <v>100</v>
      </c>
      <c r="X14" s="772"/>
      <c r="Y14" s="3108"/>
      <c r="Z14" s="55">
        <f t="shared" si="7"/>
        <v>111</v>
      </c>
      <c r="AA14" s="773">
        <f t="shared" si="3"/>
        <v>1</v>
      </c>
      <c r="AB14" s="773">
        <f t="shared" si="4"/>
        <v>1</v>
      </c>
      <c r="AC14" s="773">
        <f t="shared" si="5"/>
        <v>1</v>
      </c>
    </row>
    <row r="15" spans="1:29" ht="96.6">
      <c r="A15" s="440" t="s">
        <v>2556</v>
      </c>
      <c r="B15" s="69" t="s">
        <v>2080</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08" t="s">
        <v>2557</v>
      </c>
      <c r="Q15" s="1809" t="str">
        <f t="shared" si="6"/>
        <v>居住社区成熟度</v>
      </c>
      <c r="R15" s="774" t="s">
        <v>21</v>
      </c>
      <c r="S15" s="775">
        <f t="shared" si="0"/>
        <v>100</v>
      </c>
      <c r="T15" s="774" t="s">
        <v>21</v>
      </c>
      <c r="U15" s="775">
        <f t="shared" si="1"/>
        <v>100</v>
      </c>
      <c r="V15" s="774" t="s">
        <v>21</v>
      </c>
      <c r="W15" s="775">
        <f t="shared" si="2"/>
        <v>100</v>
      </c>
      <c r="X15" s="1812"/>
      <c r="Y15" s="3264" t="s">
        <v>2557</v>
      </c>
      <c r="Z15" s="1813" t="str">
        <f t="shared" si="7"/>
        <v>居住社区成熟度</v>
      </c>
      <c r="AA15" s="1810">
        <f t="shared" si="3"/>
        <v>1</v>
      </c>
      <c r="AB15" s="1810">
        <f t="shared" si="4"/>
        <v>1</v>
      </c>
      <c r="AC15" s="1810">
        <f t="shared" si="5"/>
        <v>1</v>
      </c>
    </row>
    <row r="16" spans="1:29" ht="15">
      <c r="A16" s="428"/>
      <c r="B16" s="446"/>
      <c r="C16" s="447"/>
      <c r="D16" s="448"/>
      <c r="E16" s="2605"/>
      <c r="F16" s="448"/>
      <c r="G16" s="2606"/>
      <c r="H16" s="450"/>
      <c r="I16" s="2606"/>
      <c r="J16" s="448"/>
      <c r="K16" s="2607"/>
      <c r="L16" s="1140"/>
      <c r="M16" s="1131"/>
      <c r="N16" s="1131"/>
      <c r="O16" s="1131"/>
      <c r="P16" s="3309"/>
      <c r="Q16" s="1809"/>
      <c r="R16" s="774"/>
      <c r="S16" s="775"/>
      <c r="T16" s="774"/>
      <c r="U16" s="775"/>
      <c r="V16" s="774"/>
      <c r="W16" s="775"/>
      <c r="X16" s="1812"/>
      <c r="Y16" s="3265"/>
      <c r="Z16" s="1813"/>
      <c r="AA16" s="1810">
        <v>1</v>
      </c>
      <c r="AB16" s="1810">
        <v>1</v>
      </c>
      <c r="AC16" s="1810">
        <v>1</v>
      </c>
    </row>
    <row r="17" spans="1:29" ht="82.8">
      <c r="A17" s="428"/>
      <c r="B17" s="451" t="s">
        <v>2092</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09"/>
      <c r="Q17" s="1809" t="str">
        <f>B17</f>
        <v>交通便捷度</v>
      </c>
      <c r="R17" s="774" t="s">
        <v>21</v>
      </c>
      <c r="S17" s="775">
        <f>F17</f>
        <v>100</v>
      </c>
      <c r="T17" s="774" t="s">
        <v>21</v>
      </c>
      <c r="U17" s="775">
        <f>H17</f>
        <v>100</v>
      </c>
      <c r="V17" s="774" t="s">
        <v>21</v>
      </c>
      <c r="W17" s="775">
        <f>J17</f>
        <v>100</v>
      </c>
      <c r="X17" s="1812"/>
      <c r="Y17" s="3265"/>
      <c r="Z17" s="1813" t="str">
        <f>Q17</f>
        <v>交通便捷度</v>
      </c>
      <c r="AA17" s="1810">
        <f t="shared" si="3"/>
        <v>1</v>
      </c>
      <c r="AB17" s="1810">
        <f t="shared" si="4"/>
        <v>1</v>
      </c>
      <c r="AC17" s="1810">
        <f t="shared" si="5"/>
        <v>1</v>
      </c>
    </row>
    <row r="18" spans="1:29" ht="15">
      <c r="A18" s="428"/>
      <c r="B18" s="456"/>
      <c r="C18" s="2609"/>
      <c r="D18" s="450"/>
      <c r="E18" s="2610"/>
      <c r="F18" s="450"/>
      <c r="G18" s="2611"/>
      <c r="H18" s="448"/>
      <c r="I18" s="2611"/>
      <c r="J18" s="448"/>
      <c r="K18" s="2607"/>
      <c r="L18" s="1140"/>
      <c r="M18" s="1131"/>
      <c r="N18" s="1131"/>
      <c r="O18" s="1131"/>
      <c r="P18" s="3309"/>
      <c r="Q18" s="1809"/>
      <c r="R18" s="774"/>
      <c r="S18" s="775"/>
      <c r="T18" s="774"/>
      <c r="U18" s="775"/>
      <c r="V18" s="774"/>
      <c r="W18" s="775"/>
      <c r="X18" s="1812"/>
      <c r="Y18" s="3265"/>
      <c r="Z18" s="1813"/>
      <c r="AA18" s="1810">
        <v>1</v>
      </c>
      <c r="AB18" s="1810">
        <v>1</v>
      </c>
      <c r="AC18" s="1810">
        <v>1</v>
      </c>
    </row>
    <row r="19" spans="1:29" ht="41.4">
      <c r="A19" s="428"/>
      <c r="B19" s="451" t="s">
        <v>2090</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09"/>
      <c r="Q19" s="1809" t="str">
        <f>B19</f>
        <v>公共配套设施</v>
      </c>
      <c r="R19" s="774" t="s">
        <v>21</v>
      </c>
      <c r="S19" s="775">
        <f>F19</f>
        <v>100</v>
      </c>
      <c r="T19" s="774" t="s">
        <v>21</v>
      </c>
      <c r="U19" s="775">
        <f>H19</f>
        <v>100</v>
      </c>
      <c r="V19" s="774" t="s">
        <v>21</v>
      </c>
      <c r="W19" s="775">
        <f>J19</f>
        <v>100</v>
      </c>
      <c r="X19" s="1812"/>
      <c r="Y19" s="3265"/>
      <c r="Z19" s="1813" t="str">
        <f>Q19</f>
        <v>公共配套设施</v>
      </c>
      <c r="AA19" s="1810">
        <f t="shared" si="3"/>
        <v>1</v>
      </c>
      <c r="AB19" s="1810">
        <f t="shared" si="4"/>
        <v>1</v>
      </c>
      <c r="AC19" s="1810">
        <f t="shared" si="5"/>
        <v>1</v>
      </c>
    </row>
    <row r="20" spans="1:29" ht="15">
      <c r="A20" s="428"/>
      <c r="B20" s="456"/>
      <c r="C20" s="447"/>
      <c r="D20" s="448"/>
      <c r="E20" s="2605"/>
      <c r="F20" s="448"/>
      <c r="G20" s="2606"/>
      <c r="H20" s="448"/>
      <c r="I20" s="2606"/>
      <c r="J20" s="448"/>
      <c r="K20" s="2607"/>
      <c r="L20" s="1140"/>
      <c r="M20" s="1131"/>
      <c r="N20" s="1131"/>
      <c r="O20" s="1131"/>
      <c r="P20" s="3309"/>
      <c r="Q20" s="1809"/>
      <c r="R20" s="774"/>
      <c r="S20" s="775"/>
      <c r="T20" s="774"/>
      <c r="U20" s="775"/>
      <c r="V20" s="774"/>
      <c r="W20" s="775"/>
      <c r="X20" s="1812"/>
      <c r="Y20" s="3265"/>
      <c r="Z20" s="1813"/>
      <c r="AA20" s="1810">
        <v>1</v>
      </c>
      <c r="AB20" s="1810">
        <v>1</v>
      </c>
      <c r="AC20" s="1810">
        <v>1</v>
      </c>
    </row>
    <row r="21" spans="1:29" ht="27.6">
      <c r="A21" s="428"/>
      <c r="B21" s="1384" t="s">
        <v>2093</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09"/>
      <c r="Q21" s="1809" t="str">
        <f>B21</f>
        <v>基础设施水平</v>
      </c>
      <c r="R21" s="774" t="s">
        <v>17</v>
      </c>
      <c r="S21" s="775">
        <f>F21</f>
        <v>100</v>
      </c>
      <c r="T21" s="774" t="s">
        <v>17</v>
      </c>
      <c r="U21" s="775">
        <f>H21</f>
        <v>100</v>
      </c>
      <c r="V21" s="774" t="s">
        <v>17</v>
      </c>
      <c r="W21" s="775">
        <f>J21</f>
        <v>100</v>
      </c>
      <c r="X21" s="1812"/>
      <c r="Y21" s="3265"/>
      <c r="Z21" s="1813" t="str">
        <f>Q21</f>
        <v>基础设施水平</v>
      </c>
      <c r="AA21" s="1810">
        <f t="shared" ref="AA21" si="8">D21/F21</f>
        <v>1</v>
      </c>
      <c r="AB21" s="1810">
        <f t="shared" ref="AB21" si="9">D21/H21</f>
        <v>1</v>
      </c>
      <c r="AC21" s="1810">
        <f t="shared" ref="AC21" si="10">D21/J21</f>
        <v>1</v>
      </c>
    </row>
    <row r="22" spans="1:29" ht="15">
      <c r="A22" s="428"/>
      <c r="B22" s="1384"/>
      <c r="C22" s="2609"/>
      <c r="D22" s="448"/>
      <c r="E22" s="447"/>
      <c r="F22" s="448"/>
      <c r="G22" s="2612"/>
      <c r="H22" s="448"/>
      <c r="I22" s="447"/>
      <c r="J22" s="448"/>
      <c r="K22" s="2613"/>
      <c r="L22" s="1140"/>
      <c r="M22" s="1131"/>
      <c r="N22" s="1131"/>
      <c r="O22" s="1131"/>
      <c r="P22" s="3309"/>
      <c r="Q22" s="1809"/>
      <c r="R22" s="774"/>
      <c r="S22" s="775"/>
      <c r="T22" s="774"/>
      <c r="U22" s="775"/>
      <c r="V22" s="774"/>
      <c r="W22" s="775"/>
      <c r="X22" s="1812"/>
      <c r="Y22" s="3265"/>
      <c r="Z22" s="1813"/>
      <c r="AA22" s="1810">
        <v>1</v>
      </c>
      <c r="AB22" s="1810">
        <v>1</v>
      </c>
      <c r="AC22" s="1810">
        <v>1</v>
      </c>
    </row>
    <row r="23" spans="1:29" ht="55.2">
      <c r="A23" s="428"/>
      <c r="B23" s="451" t="s">
        <v>2097</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09"/>
      <c r="Q23" s="1809" t="str">
        <f>B23</f>
        <v>自然及人文环境</v>
      </c>
      <c r="R23" s="774" t="s">
        <v>21</v>
      </c>
      <c r="S23" s="775">
        <f>F23</f>
        <v>100</v>
      </c>
      <c r="T23" s="774" t="s">
        <v>21</v>
      </c>
      <c r="U23" s="775">
        <f>H23</f>
        <v>100</v>
      </c>
      <c r="V23" s="774" t="s">
        <v>21</v>
      </c>
      <c r="W23" s="775">
        <f>J23</f>
        <v>100</v>
      </c>
      <c r="X23" s="1812"/>
      <c r="Y23" s="3265"/>
      <c r="Z23" s="1813" t="str">
        <f>Q23</f>
        <v>自然及人文环境</v>
      </c>
      <c r="AA23" s="1810">
        <f>D23/F23</f>
        <v>1</v>
      </c>
      <c r="AB23" s="1810">
        <f>D23/H23</f>
        <v>1</v>
      </c>
      <c r="AC23" s="1810">
        <f>D23/J23</f>
        <v>1</v>
      </c>
    </row>
    <row r="24" spans="1:29" ht="15">
      <c r="A24" s="428"/>
      <c r="B24" s="456"/>
      <c r="C24" s="447"/>
      <c r="D24" s="448"/>
      <c r="E24" s="2605"/>
      <c r="F24" s="448"/>
      <c r="G24" s="2606"/>
      <c r="H24" s="448"/>
      <c r="I24" s="2606"/>
      <c r="J24" s="448"/>
      <c r="K24" s="2607"/>
      <c r="L24" s="1140"/>
      <c r="M24" s="1131"/>
      <c r="N24" s="1131"/>
      <c r="O24" s="1131"/>
      <c r="P24" s="3309"/>
      <c r="Q24" s="1809"/>
      <c r="R24" s="774"/>
      <c r="S24" s="775"/>
      <c r="T24" s="774"/>
      <c r="U24" s="775"/>
      <c r="V24" s="774"/>
      <c r="W24" s="775"/>
      <c r="X24" s="1812"/>
      <c r="Y24" s="3265"/>
      <c r="Z24" s="1813"/>
      <c r="AA24" s="1810">
        <v>1</v>
      </c>
      <c r="AB24" s="1810">
        <v>1</v>
      </c>
      <c r="AC24" s="1810">
        <v>1</v>
      </c>
    </row>
    <row r="25" spans="1:29" ht="15">
      <c r="A25" s="428"/>
      <c r="B25" s="422" t="s">
        <v>2558</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309"/>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65"/>
      <c r="Z25" s="1813" t="str">
        <f>Q25</f>
        <v>楼层-1</v>
      </c>
      <c r="AA25" s="1810">
        <f t="shared" ref="AA25:AA46" si="15">D25/F25</f>
        <v>1</v>
      </c>
      <c r="AB25" s="1810">
        <f t="shared" ref="AB25:AB46" si="16">D25/H25</f>
        <v>1</v>
      </c>
      <c r="AC25" s="1810">
        <f t="shared" ref="AC25:AC46" si="17">D25/J25</f>
        <v>1</v>
      </c>
    </row>
    <row r="26" spans="1:29" ht="15">
      <c r="A26" s="428"/>
      <c r="B26" s="422" t="s">
        <v>2559</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309"/>
      <c r="Q26" s="1809" t="str">
        <f t="shared" si="11"/>
        <v>朝向</v>
      </c>
      <c r="R26" s="774" t="s">
        <v>21</v>
      </c>
      <c r="S26" s="775">
        <f t="shared" si="12"/>
        <v>100</v>
      </c>
      <c r="T26" s="774" t="s">
        <v>21</v>
      </c>
      <c r="U26" s="775">
        <f t="shared" si="13"/>
        <v>100</v>
      </c>
      <c r="V26" s="774" t="s">
        <v>21</v>
      </c>
      <c r="W26" s="775">
        <f t="shared" si="14"/>
        <v>100</v>
      </c>
      <c r="X26" s="1812"/>
      <c r="Y26" s="3265"/>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309"/>
      <c r="Q27" s="1794">
        <f t="shared" si="11"/>
        <v>111</v>
      </c>
      <c r="R27" s="770" t="s">
        <v>21</v>
      </c>
      <c r="S27" s="771">
        <f t="shared" si="12"/>
        <v>100</v>
      </c>
      <c r="T27" s="770" t="s">
        <v>21</v>
      </c>
      <c r="U27" s="771">
        <f t="shared" si="13"/>
        <v>100</v>
      </c>
      <c r="V27" s="770" t="s">
        <v>21</v>
      </c>
      <c r="W27" s="771">
        <f t="shared" si="14"/>
        <v>100</v>
      </c>
      <c r="X27" s="772"/>
      <c r="Y27" s="3265"/>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309"/>
      <c r="Q28" s="1809">
        <f t="shared" si="11"/>
        <v>111</v>
      </c>
      <c r="R28" s="774" t="s">
        <v>21</v>
      </c>
      <c r="S28" s="775">
        <f t="shared" si="12"/>
        <v>100</v>
      </c>
      <c r="T28" s="774" t="s">
        <v>21</v>
      </c>
      <c r="U28" s="775">
        <f t="shared" si="13"/>
        <v>100</v>
      </c>
      <c r="V28" s="774" t="s">
        <v>21</v>
      </c>
      <c r="W28" s="775">
        <f t="shared" si="14"/>
        <v>100</v>
      </c>
      <c r="X28" s="1812"/>
      <c r="Y28" s="3265"/>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309"/>
      <c r="Q29" s="1809">
        <f t="shared" si="11"/>
        <v>111</v>
      </c>
      <c r="R29" s="774" t="s">
        <v>21</v>
      </c>
      <c r="S29" s="775">
        <f t="shared" si="12"/>
        <v>100</v>
      </c>
      <c r="T29" s="774" t="s">
        <v>21</v>
      </c>
      <c r="U29" s="775">
        <f t="shared" si="13"/>
        <v>100</v>
      </c>
      <c r="V29" s="774" t="s">
        <v>21</v>
      </c>
      <c r="W29" s="775">
        <f t="shared" si="14"/>
        <v>100</v>
      </c>
      <c r="X29" s="1812"/>
      <c r="Y29" s="3265"/>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309"/>
      <c r="Q30" s="1809">
        <f t="shared" si="11"/>
        <v>111</v>
      </c>
      <c r="R30" s="774" t="s">
        <v>21</v>
      </c>
      <c r="S30" s="775">
        <f t="shared" si="12"/>
        <v>100</v>
      </c>
      <c r="T30" s="774" t="s">
        <v>21</v>
      </c>
      <c r="U30" s="775">
        <f t="shared" si="13"/>
        <v>100</v>
      </c>
      <c r="V30" s="774" t="s">
        <v>21</v>
      </c>
      <c r="W30" s="775">
        <f t="shared" si="14"/>
        <v>100</v>
      </c>
      <c r="X30" s="1812"/>
      <c r="Y30" s="3265"/>
      <c r="Z30" s="1813">
        <f t="shared" si="18"/>
        <v>111</v>
      </c>
      <c r="AA30" s="1810">
        <f t="shared" si="15"/>
        <v>1</v>
      </c>
      <c r="AB30" s="1810">
        <f t="shared" si="16"/>
        <v>1</v>
      </c>
      <c r="AC30" s="1810">
        <f t="shared" si="17"/>
        <v>1</v>
      </c>
    </row>
    <row r="31" spans="1:29" ht="15.6" thickBot="1">
      <c r="A31" s="436"/>
      <c r="B31" s="1386">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309"/>
      <c r="Q31" s="1809">
        <f t="shared" si="11"/>
        <v>111</v>
      </c>
      <c r="R31" s="774" t="s">
        <v>21</v>
      </c>
      <c r="S31" s="775">
        <f t="shared" si="12"/>
        <v>100</v>
      </c>
      <c r="T31" s="774" t="s">
        <v>21</v>
      </c>
      <c r="U31" s="775">
        <f t="shared" si="13"/>
        <v>100</v>
      </c>
      <c r="V31" s="774" t="s">
        <v>21</v>
      </c>
      <c r="W31" s="775">
        <f t="shared" si="14"/>
        <v>100</v>
      </c>
      <c r="X31" s="1812"/>
      <c r="Y31" s="3265"/>
      <c r="Z31" s="1813">
        <f t="shared" si="18"/>
        <v>111</v>
      </c>
      <c r="AA31" s="1810">
        <f t="shared" si="15"/>
        <v>1</v>
      </c>
      <c r="AB31" s="1810">
        <f t="shared" si="16"/>
        <v>1</v>
      </c>
      <c r="AC31" s="1810">
        <f t="shared" si="17"/>
        <v>1</v>
      </c>
    </row>
    <row r="32" spans="1:29" ht="15">
      <c r="A32" s="440" t="s">
        <v>2560</v>
      </c>
      <c r="B32" s="71" t="s">
        <v>2561</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304" t="s">
        <v>2562</v>
      </c>
      <c r="Q32" s="1809" t="str">
        <f t="shared" si="11"/>
        <v>建筑类型</v>
      </c>
      <c r="R32" s="774" t="s">
        <v>21</v>
      </c>
      <c r="S32" s="775">
        <f t="shared" si="12"/>
        <v>100</v>
      </c>
      <c r="T32" s="774" t="s">
        <v>21</v>
      </c>
      <c r="U32" s="775">
        <f t="shared" si="13"/>
        <v>100</v>
      </c>
      <c r="V32" s="774" t="s">
        <v>21</v>
      </c>
      <c r="W32" s="775">
        <f t="shared" si="14"/>
        <v>100</v>
      </c>
      <c r="X32" s="1812"/>
      <c r="Y32" s="3267" t="s">
        <v>2562</v>
      </c>
      <c r="Z32" s="1813" t="str">
        <f t="shared" si="18"/>
        <v>建筑类型</v>
      </c>
      <c r="AA32" s="1810">
        <f t="shared" si="15"/>
        <v>1</v>
      </c>
      <c r="AB32" s="1810">
        <f t="shared" si="16"/>
        <v>1</v>
      </c>
      <c r="AC32" s="1810">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305"/>
      <c r="Q33" s="776" t="str">
        <f t="shared" si="11"/>
        <v>项目建筑规模</v>
      </c>
      <c r="R33" s="777" t="s">
        <v>21</v>
      </c>
      <c r="S33" s="778" t="e">
        <f t="shared" si="12"/>
        <v>#N/A</v>
      </c>
      <c r="T33" s="777" t="s">
        <v>21</v>
      </c>
      <c r="U33" s="778" t="e">
        <f t="shared" si="13"/>
        <v>#N/A</v>
      </c>
      <c r="V33" s="777" t="s">
        <v>21</v>
      </c>
      <c r="W33" s="778" t="e">
        <f t="shared" si="14"/>
        <v>#N/A</v>
      </c>
      <c r="X33" s="779"/>
      <c r="Y33" s="3267"/>
      <c r="Z33" s="780" t="str">
        <f t="shared" si="18"/>
        <v>项目建筑规模</v>
      </c>
      <c r="AA33" s="1810" t="e">
        <f t="shared" si="15"/>
        <v>#N/A</v>
      </c>
      <c r="AB33" s="1810" t="e">
        <f t="shared" si="16"/>
        <v>#N/A</v>
      </c>
      <c r="AC33" s="1810" t="e">
        <f t="shared" si="17"/>
        <v>#N/A</v>
      </c>
    </row>
    <row r="34" spans="1:29" ht="15">
      <c r="A34" s="472"/>
      <c r="B34" s="422" t="s">
        <v>2564</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305"/>
      <c r="Q34" s="1809" t="str">
        <f t="shared" si="11"/>
        <v>建筑结构</v>
      </c>
      <c r="R34" s="774" t="s">
        <v>21</v>
      </c>
      <c r="S34" s="775">
        <f t="shared" si="12"/>
        <v>100</v>
      </c>
      <c r="T34" s="774" t="s">
        <v>21</v>
      </c>
      <c r="U34" s="775">
        <f t="shared" si="13"/>
        <v>100</v>
      </c>
      <c r="V34" s="774" t="s">
        <v>21</v>
      </c>
      <c r="W34" s="775">
        <f t="shared" si="14"/>
        <v>100</v>
      </c>
      <c r="X34" s="1812"/>
      <c r="Y34" s="3267"/>
      <c r="Z34" s="1813" t="str">
        <f t="shared" si="18"/>
        <v>建筑结构</v>
      </c>
      <c r="AA34" s="1810">
        <f t="shared" si="15"/>
        <v>1</v>
      </c>
      <c r="AB34" s="1810">
        <f t="shared" si="16"/>
        <v>1</v>
      </c>
      <c r="AC34" s="1810">
        <f t="shared" si="17"/>
        <v>1</v>
      </c>
    </row>
    <row r="35" spans="1:29" ht="15">
      <c r="A35" s="472"/>
      <c r="B35" s="422" t="s">
        <v>2565</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305"/>
      <c r="Q35" s="1809" t="str">
        <f t="shared" si="11"/>
        <v>建筑品质</v>
      </c>
      <c r="R35" s="774" t="s">
        <v>21</v>
      </c>
      <c r="S35" s="775">
        <f t="shared" si="12"/>
        <v>100</v>
      </c>
      <c r="T35" s="774" t="s">
        <v>21</v>
      </c>
      <c r="U35" s="775">
        <f t="shared" si="13"/>
        <v>100</v>
      </c>
      <c r="V35" s="774" t="s">
        <v>21</v>
      </c>
      <c r="W35" s="775">
        <f t="shared" si="14"/>
        <v>100</v>
      </c>
      <c r="X35" s="1812"/>
      <c r="Y35" s="3267"/>
      <c r="Z35" s="1813" t="str">
        <f t="shared" si="18"/>
        <v>建筑品质</v>
      </c>
      <c r="AA35" s="1810">
        <f t="shared" si="15"/>
        <v>1</v>
      </c>
      <c r="AB35" s="1810">
        <f t="shared" si="16"/>
        <v>1</v>
      </c>
      <c r="AC35" s="1810">
        <f t="shared" si="17"/>
        <v>1</v>
      </c>
    </row>
    <row r="36" spans="1:29" ht="15">
      <c r="A36" s="472"/>
      <c r="B36" s="422" t="s">
        <v>2566</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305"/>
      <c r="Q36" s="1809" t="str">
        <f t="shared" si="11"/>
        <v>公共部分装修</v>
      </c>
      <c r="R36" s="774" t="s">
        <v>21</v>
      </c>
      <c r="S36" s="775">
        <f t="shared" si="12"/>
        <v>100</v>
      </c>
      <c r="T36" s="774" t="s">
        <v>21</v>
      </c>
      <c r="U36" s="775">
        <f t="shared" si="13"/>
        <v>100</v>
      </c>
      <c r="V36" s="774" t="s">
        <v>21</v>
      </c>
      <c r="W36" s="775">
        <f t="shared" si="14"/>
        <v>100</v>
      </c>
      <c r="X36" s="1812"/>
      <c r="Y36" s="3267"/>
      <c r="Z36" s="1813" t="str">
        <f t="shared" si="18"/>
        <v>公共部分装修</v>
      </c>
      <c r="AA36" s="1810">
        <f t="shared" si="15"/>
        <v>1</v>
      </c>
      <c r="AB36" s="1810">
        <f t="shared" si="16"/>
        <v>1</v>
      </c>
      <c r="AC36" s="1810">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305"/>
      <c r="Q37" s="1794" t="str">
        <f t="shared" si="11"/>
        <v>成新度</v>
      </c>
      <c r="R37" s="770" t="s">
        <v>21</v>
      </c>
      <c r="S37" s="771" t="e">
        <f t="shared" si="12"/>
        <v>#N/A</v>
      </c>
      <c r="T37" s="770" t="s">
        <v>21</v>
      </c>
      <c r="U37" s="771" t="e">
        <f t="shared" si="13"/>
        <v>#N/A</v>
      </c>
      <c r="V37" s="770" t="s">
        <v>21</v>
      </c>
      <c r="W37" s="771" t="e">
        <f t="shared" si="14"/>
        <v>#N/A</v>
      </c>
      <c r="X37" s="772"/>
      <c r="Y37" s="3267"/>
      <c r="Z37" s="55" t="str">
        <f t="shared" si="18"/>
        <v>成新度</v>
      </c>
      <c r="AA37" s="773" t="e">
        <f t="shared" si="15"/>
        <v>#N/A</v>
      </c>
      <c r="AB37" s="773" t="e">
        <f t="shared" si="16"/>
        <v>#N/A</v>
      </c>
      <c r="AC37" s="773" t="e">
        <f t="shared" si="17"/>
        <v>#N/A</v>
      </c>
    </row>
    <row r="38" spans="1:29" ht="15">
      <c r="A38" s="472"/>
      <c r="B38" s="422" t="s">
        <v>2568</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305" t="s">
        <v>2562</v>
      </c>
      <c r="Q38" s="1809" t="str">
        <f t="shared" si="11"/>
        <v>物业管理</v>
      </c>
      <c r="R38" s="774" t="s">
        <v>21</v>
      </c>
      <c r="S38" s="775">
        <f t="shared" si="12"/>
        <v>100</v>
      </c>
      <c r="T38" s="774" t="s">
        <v>21</v>
      </c>
      <c r="U38" s="775">
        <f t="shared" si="13"/>
        <v>100</v>
      </c>
      <c r="V38" s="774" t="s">
        <v>21</v>
      </c>
      <c r="W38" s="775">
        <f t="shared" si="14"/>
        <v>100</v>
      </c>
      <c r="X38" s="1812"/>
      <c r="Y38" s="3267" t="s">
        <v>2562</v>
      </c>
      <c r="Z38" s="1813" t="str">
        <f t="shared" si="18"/>
        <v>物业管理</v>
      </c>
      <c r="AA38" s="1810">
        <f t="shared" si="15"/>
        <v>1</v>
      </c>
      <c r="AB38" s="1810">
        <f t="shared" si="16"/>
        <v>1</v>
      </c>
      <c r="AC38" s="1810">
        <f t="shared" si="17"/>
        <v>1</v>
      </c>
    </row>
    <row r="39" spans="1:29" ht="15">
      <c r="A39" s="472"/>
      <c r="B39" s="422" t="s">
        <v>2569</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305"/>
      <c r="Q39" s="1809" t="str">
        <f t="shared" si="11"/>
        <v>市政基础设施</v>
      </c>
      <c r="R39" s="774" t="s">
        <v>21</v>
      </c>
      <c r="S39" s="775">
        <f t="shared" si="12"/>
        <v>100</v>
      </c>
      <c r="T39" s="774" t="s">
        <v>21</v>
      </c>
      <c r="U39" s="775">
        <f t="shared" si="13"/>
        <v>100</v>
      </c>
      <c r="V39" s="774" t="s">
        <v>21</v>
      </c>
      <c r="W39" s="775">
        <f t="shared" si="14"/>
        <v>100</v>
      </c>
      <c r="X39" s="1812"/>
      <c r="Y39" s="3267"/>
      <c r="Z39" s="1813" t="str">
        <f t="shared" si="18"/>
        <v>市政基础设施</v>
      </c>
      <c r="AA39" s="1810">
        <f t="shared" si="15"/>
        <v>1</v>
      </c>
      <c r="AB39" s="1810">
        <f t="shared" si="16"/>
        <v>1</v>
      </c>
      <c r="AC39" s="1810">
        <f t="shared" si="17"/>
        <v>1</v>
      </c>
    </row>
    <row r="40" spans="1:29" ht="15">
      <c r="A40" s="472"/>
      <c r="B40" s="422" t="s">
        <v>2570</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305"/>
      <c r="Q40" s="1809" t="str">
        <f t="shared" si="11"/>
        <v>房型</v>
      </c>
      <c r="R40" s="774" t="s">
        <v>21</v>
      </c>
      <c r="S40" s="775">
        <f t="shared" si="12"/>
        <v>100</v>
      </c>
      <c r="T40" s="774" t="s">
        <v>21</v>
      </c>
      <c r="U40" s="775">
        <f t="shared" si="13"/>
        <v>100</v>
      </c>
      <c r="V40" s="774" t="s">
        <v>21</v>
      </c>
      <c r="W40" s="775">
        <f t="shared" si="14"/>
        <v>100</v>
      </c>
      <c r="X40" s="1812"/>
      <c r="Y40" s="3267"/>
      <c r="Z40" s="1813" t="str">
        <f t="shared" si="18"/>
        <v>房型</v>
      </c>
      <c r="AA40" s="1810">
        <f t="shared" si="15"/>
        <v>1</v>
      </c>
      <c r="AB40" s="1810">
        <f t="shared" si="16"/>
        <v>1</v>
      </c>
      <c r="AC40" s="1810">
        <f t="shared" si="17"/>
        <v>1</v>
      </c>
    </row>
    <row r="41" spans="1:29" s="471" customFormat="1" ht="28.8">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305"/>
      <c r="Q41" s="776" t="str">
        <f t="shared" si="11"/>
        <v>单套/主力户型建筑面积</v>
      </c>
      <c r="R41" s="777" t="s">
        <v>21</v>
      </c>
      <c r="S41" s="778">
        <f t="shared" si="12"/>
        <v>100</v>
      </c>
      <c r="T41" s="777" t="s">
        <v>21</v>
      </c>
      <c r="U41" s="778">
        <f t="shared" si="13"/>
        <v>100</v>
      </c>
      <c r="V41" s="777" t="s">
        <v>21</v>
      </c>
      <c r="W41" s="778">
        <f t="shared" si="14"/>
        <v>100</v>
      </c>
      <c r="X41" s="779"/>
      <c r="Y41" s="3267"/>
      <c r="Z41" s="780" t="str">
        <f t="shared" si="18"/>
        <v>单套/主力户型建筑面积</v>
      </c>
      <c r="AA41" s="1810">
        <f t="shared" si="15"/>
        <v>1</v>
      </c>
      <c r="AB41" s="1810">
        <f t="shared" si="16"/>
        <v>1</v>
      </c>
      <c r="AC41" s="1810">
        <f t="shared" si="17"/>
        <v>1</v>
      </c>
    </row>
    <row r="42" spans="1:29" ht="15">
      <c r="A42" s="472"/>
      <c r="B42" s="422" t="s">
        <v>2572</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305"/>
      <c r="Q42" s="1809" t="str">
        <f t="shared" si="11"/>
        <v>内部装修</v>
      </c>
      <c r="R42" s="774" t="s">
        <v>21</v>
      </c>
      <c r="S42" s="775">
        <f t="shared" si="12"/>
        <v>100</v>
      </c>
      <c r="T42" s="774" t="s">
        <v>21</v>
      </c>
      <c r="U42" s="775">
        <f t="shared" si="13"/>
        <v>100</v>
      </c>
      <c r="V42" s="774" t="s">
        <v>21</v>
      </c>
      <c r="W42" s="775">
        <f t="shared" si="14"/>
        <v>100</v>
      </c>
      <c r="X42" s="1812"/>
      <c r="Y42" s="3267"/>
      <c r="Z42" s="1813" t="str">
        <f t="shared" si="18"/>
        <v>内部装修</v>
      </c>
      <c r="AA42" s="1810">
        <f t="shared" si="15"/>
        <v>1</v>
      </c>
      <c r="AB42" s="1810">
        <f t="shared" si="16"/>
        <v>1</v>
      </c>
      <c r="AC42" s="1810">
        <f t="shared" si="17"/>
        <v>1</v>
      </c>
    </row>
    <row r="43" spans="1:29" ht="28.8">
      <c r="A43" s="472"/>
      <c r="B43" s="422" t="s">
        <v>2573</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305"/>
      <c r="Q43" s="1809" t="str">
        <f t="shared" si="11"/>
        <v>内部装修维护情况</v>
      </c>
      <c r="R43" s="774" t="s">
        <v>21</v>
      </c>
      <c r="S43" s="775">
        <f t="shared" si="12"/>
        <v>100</v>
      </c>
      <c r="T43" s="774" t="s">
        <v>21</v>
      </c>
      <c r="U43" s="775">
        <f t="shared" si="13"/>
        <v>100</v>
      </c>
      <c r="V43" s="774" t="s">
        <v>21</v>
      </c>
      <c r="W43" s="775">
        <f t="shared" si="14"/>
        <v>100</v>
      </c>
      <c r="X43" s="1812"/>
      <c r="Y43" s="3267"/>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305"/>
      <c r="Q44" s="1794">
        <f t="shared" si="11"/>
        <v>111</v>
      </c>
      <c r="R44" s="770" t="s">
        <v>21</v>
      </c>
      <c r="S44" s="771">
        <f t="shared" si="12"/>
        <v>100</v>
      </c>
      <c r="T44" s="770" t="s">
        <v>21</v>
      </c>
      <c r="U44" s="771">
        <f t="shared" si="13"/>
        <v>100</v>
      </c>
      <c r="V44" s="770" t="s">
        <v>21</v>
      </c>
      <c r="W44" s="771">
        <f t="shared" si="14"/>
        <v>100</v>
      </c>
      <c r="X44" s="772"/>
      <c r="Y44" s="326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305"/>
      <c r="Q45" s="1809">
        <f t="shared" si="11"/>
        <v>111</v>
      </c>
      <c r="R45" s="774" t="s">
        <v>21</v>
      </c>
      <c r="S45" s="775">
        <f t="shared" si="12"/>
        <v>100</v>
      </c>
      <c r="T45" s="774" t="s">
        <v>21</v>
      </c>
      <c r="U45" s="775">
        <f t="shared" si="13"/>
        <v>100</v>
      </c>
      <c r="V45" s="774" t="s">
        <v>21</v>
      </c>
      <c r="W45" s="775">
        <f t="shared" si="14"/>
        <v>100</v>
      </c>
      <c r="X45" s="1812"/>
      <c r="Y45" s="3267"/>
      <c r="Z45" s="1813">
        <f t="shared" si="18"/>
        <v>111</v>
      </c>
      <c r="AA45" s="1810">
        <f t="shared" si="15"/>
        <v>1</v>
      </c>
      <c r="AB45" s="1810">
        <f t="shared" si="16"/>
        <v>1</v>
      </c>
      <c r="AC45" s="1810">
        <f t="shared" si="17"/>
        <v>1</v>
      </c>
    </row>
    <row r="46" spans="1:29" ht="15.6"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306"/>
      <c r="Q46" s="1809">
        <f t="shared" si="11"/>
        <v>111</v>
      </c>
      <c r="R46" s="774" t="s">
        <v>20</v>
      </c>
      <c r="S46" s="775">
        <f t="shared" si="12"/>
        <v>100</v>
      </c>
      <c r="T46" s="774" t="s">
        <v>20</v>
      </c>
      <c r="U46" s="775">
        <f t="shared" si="13"/>
        <v>100</v>
      </c>
      <c r="V46" s="774" t="s">
        <v>20</v>
      </c>
      <c r="W46" s="775">
        <f t="shared" si="14"/>
        <v>100</v>
      </c>
      <c r="X46" s="1812"/>
      <c r="Y46" s="3307"/>
      <c r="Z46" s="1813">
        <f t="shared" si="18"/>
        <v>111</v>
      </c>
      <c r="AA46" s="1810">
        <f t="shared" si="15"/>
        <v>1</v>
      </c>
      <c r="AB46" s="1810">
        <f t="shared" si="16"/>
        <v>1</v>
      </c>
      <c r="AC46" s="1810">
        <f t="shared" si="17"/>
        <v>1</v>
      </c>
    </row>
    <row r="47" spans="1:29" ht="14.4">
      <c r="A47" s="479" t="s">
        <v>2574</v>
      </c>
      <c r="B47" s="480"/>
      <c r="C47" s="1407" t="s">
        <v>19</v>
      </c>
      <c r="D47" s="1408"/>
      <c r="E47" s="1409"/>
      <c r="F47" s="1410"/>
      <c r="G47" s="1411"/>
      <c r="H47" s="1412"/>
      <c r="I47" s="1409"/>
      <c r="J47" s="1412"/>
      <c r="K47" s="2622"/>
      <c r="L47" s="1143"/>
      <c r="M47" s="1144"/>
      <c r="N47" s="1131"/>
      <c r="O47" s="1144"/>
      <c r="P47" s="3249" t="str">
        <f>A47</f>
        <v>成交单价（元/平方米）</v>
      </c>
      <c r="Q47" s="3249"/>
      <c r="R47" s="3303">
        <f>E47</f>
        <v>0</v>
      </c>
      <c r="S47" s="3303"/>
      <c r="T47" s="3303">
        <f>G47</f>
        <v>0</v>
      </c>
      <c r="U47" s="3303"/>
      <c r="V47" s="3303">
        <f>I47</f>
        <v>0</v>
      </c>
      <c r="W47" s="3303"/>
      <c r="X47" s="759"/>
      <c r="Y47" s="781"/>
      <c r="Z47" s="759"/>
      <c r="AA47" s="759"/>
      <c r="AB47" s="759"/>
      <c r="AC47" s="759"/>
    </row>
    <row r="48" spans="1:29" ht="15" thickBot="1">
      <c r="A48" s="486" t="s">
        <v>2575</v>
      </c>
      <c r="B48" s="487"/>
      <c r="C48" s="1413" t="e">
        <f>R49</f>
        <v>#DIV/0!</v>
      </c>
      <c r="D48" s="1414"/>
      <c r="E48" s="1415" t="e">
        <f>R48</f>
        <v>#DIV/0!</v>
      </c>
      <c r="F48" s="1415"/>
      <c r="G48" s="1413" t="e">
        <f>T48</f>
        <v>#DIV/0!</v>
      </c>
      <c r="H48" s="1414"/>
      <c r="I48" s="1415" t="e">
        <f>V48</f>
        <v>#DIV/0!</v>
      </c>
      <c r="J48" s="1414"/>
      <c r="K48" s="2623"/>
      <c r="L48" s="1143"/>
      <c r="M48" s="1144"/>
      <c r="N48" s="1144"/>
      <c r="O48" s="1144"/>
      <c r="P48" s="3249" t="str">
        <f>A48</f>
        <v>比较价值（元/平方米）</v>
      </c>
      <c r="Q48" s="3249"/>
      <c r="R48" s="3303" t="e">
        <f>IF(F1="售价",ROUND(PRODUCT(R47,AA7:AA46),0),ROUND(PRODUCT(R47,AA7:AA46),1))</f>
        <v>#DIV/0!</v>
      </c>
      <c r="S48" s="3303"/>
      <c r="T48" s="3303" t="e">
        <f>IF(F1="售价",ROUND(PRODUCT(T47,AB7:AB46),0),ROUND(PRODUCT(T47,AB7:AB46),1))</f>
        <v>#DIV/0!</v>
      </c>
      <c r="U48" s="3303"/>
      <c r="V48" s="3303" t="e">
        <f>IF(F1="售价",ROUND(PRODUCT(V47,AC7:AC46),0),ROUND(PRODUCT(V47,AC7:AC46),1))</f>
        <v>#DIV/0!</v>
      </c>
      <c r="W48" s="3303"/>
      <c r="X48" s="759"/>
      <c r="Y48" s="759"/>
      <c r="Z48" s="759"/>
      <c r="AA48" s="759"/>
      <c r="AB48" s="759"/>
      <c r="AC48" s="759"/>
    </row>
    <row r="49" spans="1:29" ht="15" thickBot="1">
      <c r="A49" s="492" t="s">
        <v>2576</v>
      </c>
      <c r="B49" s="493"/>
      <c r="C49" s="1416" t="e">
        <f>R49</f>
        <v>#DIV/0!</v>
      </c>
      <c r="D49" s="1417"/>
      <c r="E49" s="1417"/>
      <c r="F49" s="1417"/>
      <c r="G49" s="1417"/>
      <c r="H49" s="1417"/>
      <c r="I49" s="1417"/>
      <c r="J49" s="1417"/>
      <c r="K49" s="2624"/>
      <c r="L49" s="1143"/>
      <c r="M49" s="1144"/>
      <c r="N49" s="1144"/>
      <c r="O49" s="1144"/>
      <c r="P49" s="3269" t="str">
        <f>A49</f>
        <v>估价对象XX用房的比较价值（楼面单价，元/平方米）</v>
      </c>
      <c r="Q49" s="3270"/>
      <c r="R49" s="3302" t="e">
        <f>IF(F1="售价",ROUND(AVERAGE(R48:V48),0),ROUND(AVERAGE(R48:V48),1))</f>
        <v>#DIV/0!</v>
      </c>
      <c r="S49" s="3302"/>
      <c r="T49" s="3302"/>
      <c r="U49" s="3302"/>
      <c r="V49" s="3302"/>
      <c r="W49" s="330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2.2" thickBot="1">
      <c r="A57" s="763" t="s">
        <v>2580</v>
      </c>
      <c r="B57" s="759"/>
      <c r="C57" s="764"/>
      <c r="D57" s="764"/>
      <c r="E57" s="764"/>
      <c r="F57" s="765"/>
      <c r="G57" s="765"/>
      <c r="H57" s="764"/>
      <c r="I57" s="764"/>
      <c r="J57" s="764"/>
      <c r="K57" s="1160"/>
      <c r="L57" s="1161"/>
      <c r="M57" s="1159"/>
      <c r="N57" s="1159"/>
      <c r="O57" s="1159"/>
      <c r="P57" s="2627"/>
      <c r="Q57" s="504"/>
    </row>
    <row r="58" spans="1:29" s="508" customFormat="1" ht="14.4">
      <c r="A58" s="505" t="s">
        <v>2581</v>
      </c>
      <c r="B58" s="506"/>
      <c r="C58" s="1575" t="str">
        <f>YEAR(C7)&amp;"-"&amp;MONTH(C7)</f>
        <v>2020-3</v>
      </c>
      <c r="D58" s="1574">
        <f>EDATE(C58,-1)</f>
        <v>43862</v>
      </c>
      <c r="E58" s="1574">
        <f>EDATE(D58,-1)</f>
        <v>43831</v>
      </c>
      <c r="F58" s="1574">
        <f t="shared" ref="F58:O58" si="19">EDATE(E58,-1)</f>
        <v>43800</v>
      </c>
      <c r="G58" s="1574">
        <f t="shared" si="19"/>
        <v>43770</v>
      </c>
      <c r="H58" s="1574">
        <f t="shared" si="19"/>
        <v>43739</v>
      </c>
      <c r="I58" s="1574">
        <f t="shared" si="19"/>
        <v>43709</v>
      </c>
      <c r="J58" s="1574">
        <f t="shared" si="19"/>
        <v>43678</v>
      </c>
      <c r="K58" s="1574">
        <f t="shared" si="19"/>
        <v>43647</v>
      </c>
      <c r="L58" s="1574">
        <f t="shared" si="19"/>
        <v>43617</v>
      </c>
      <c r="M58" s="1574">
        <f t="shared" si="19"/>
        <v>43586</v>
      </c>
      <c r="N58" s="1574">
        <f t="shared" si="19"/>
        <v>43556</v>
      </c>
      <c r="O58" s="1574">
        <f t="shared" si="19"/>
        <v>43525</v>
      </c>
      <c r="P58" s="1569"/>
    </row>
    <row r="59" spans="1:29" s="117" customFormat="1">
      <c r="A59" s="509"/>
      <c r="B59" s="2628"/>
      <c r="C59" s="1572">
        <v>100</v>
      </c>
      <c r="D59" s="511"/>
      <c r="E59" s="512"/>
      <c r="F59" s="512"/>
      <c r="G59" s="512"/>
      <c r="H59" s="512"/>
      <c r="I59" s="512"/>
      <c r="J59" s="512"/>
      <c r="K59" s="512"/>
      <c r="L59" s="512"/>
      <c r="M59" s="513"/>
      <c r="N59" s="512"/>
      <c r="O59" s="513"/>
      <c r="P59" s="2629"/>
    </row>
    <row r="60" spans="1:29" s="117" customFormat="1" ht="15" thickBot="1">
      <c r="A60" s="515" t="s">
        <v>2582</v>
      </c>
      <c r="B60" s="516"/>
      <c r="C60" s="517"/>
      <c r="D60" s="518"/>
      <c r="E60" s="518"/>
      <c r="F60" s="518"/>
      <c r="G60" s="518"/>
      <c r="H60" s="518"/>
      <c r="I60" s="518"/>
      <c r="J60" s="518"/>
      <c r="K60" s="518"/>
      <c r="L60" s="518"/>
      <c r="M60" s="519"/>
      <c r="N60" s="518"/>
      <c r="O60" s="519"/>
      <c r="P60" s="2629"/>
      <c r="Q60" s="504"/>
    </row>
    <row r="61" spans="1:29" s="117" customFormat="1" ht="14.4">
      <c r="A61" s="521" t="s">
        <v>2583</v>
      </c>
      <c r="B61" s="510"/>
      <c r="C61" s="522" t="s">
        <v>2584</v>
      </c>
      <c r="D61" s="523"/>
      <c r="E61" s="523"/>
      <c r="F61" s="523"/>
      <c r="G61" s="523"/>
      <c r="H61" s="523"/>
      <c r="I61" s="523"/>
      <c r="J61" s="523"/>
      <c r="K61" s="523"/>
      <c r="L61" s="524"/>
      <c r="M61" s="525"/>
      <c r="N61" s="1151"/>
      <c r="O61" s="1151"/>
      <c r="P61" s="2630"/>
      <c r="Q61" s="504"/>
    </row>
    <row r="62" spans="1:29" s="117" customFormat="1" ht="14.4" thickBot="1">
      <c r="A62" s="521"/>
      <c r="B62" s="510"/>
      <c r="C62" s="511">
        <v>100</v>
      </c>
      <c r="D62" s="512"/>
      <c r="E62" s="512"/>
      <c r="F62" s="512"/>
      <c r="G62" s="512"/>
      <c r="H62" s="512"/>
      <c r="I62" s="512"/>
      <c r="J62" s="512"/>
      <c r="K62" s="512"/>
      <c r="L62" s="512"/>
      <c r="M62" s="514"/>
      <c r="N62" s="1151"/>
      <c r="O62" s="1151"/>
      <c r="P62" s="2629"/>
      <c r="Q62" s="504"/>
    </row>
    <row r="63" spans="1:29" ht="14.4">
      <c r="A63" s="527" t="s">
        <v>2585</v>
      </c>
      <c r="B63" s="528" t="s">
        <v>2551</v>
      </c>
      <c r="C63" s="529">
        <f>C9</f>
        <v>0</v>
      </c>
      <c r="D63" s="530"/>
      <c r="E63" s="530"/>
      <c r="F63" s="530"/>
      <c r="G63" s="530"/>
      <c r="H63" s="530"/>
      <c r="I63" s="530"/>
      <c r="J63" s="530"/>
      <c r="K63" s="531"/>
      <c r="L63" s="532"/>
      <c r="M63" s="533"/>
      <c r="N63" s="1152"/>
      <c r="O63" s="1152"/>
      <c r="P63" s="2631"/>
      <c r="Q63" s="504"/>
    </row>
    <row r="64" spans="1:29" ht="14.4" thickBot="1">
      <c r="A64" s="534"/>
      <c r="B64" s="535"/>
      <c r="C64" s="536">
        <v>100</v>
      </c>
      <c r="D64" s="536"/>
      <c r="E64" s="536"/>
      <c r="F64" s="536"/>
      <c r="G64" s="536"/>
      <c r="H64" s="536"/>
      <c r="I64" s="536"/>
      <c r="J64" s="536"/>
      <c r="K64" s="536"/>
      <c r="L64" s="536"/>
      <c r="M64" s="537"/>
      <c r="N64" s="1153"/>
      <c r="O64" s="1153"/>
      <c r="P64" s="2631"/>
      <c r="Q64" s="504"/>
    </row>
    <row r="65" spans="1:17" ht="29.4"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1"/>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c r="A68" s="534"/>
      <c r="B68" s="548"/>
      <c r="C68" s="549"/>
      <c r="D68" s="549"/>
      <c r="E68" s="549"/>
      <c r="F68" s="549"/>
      <c r="G68" s="549"/>
      <c r="H68" s="549"/>
      <c r="I68" s="549"/>
      <c r="J68" s="549"/>
      <c r="K68" s="550"/>
      <c r="L68" s="551"/>
      <c r="M68" s="552"/>
      <c r="N68" s="1152"/>
      <c r="O68" s="1152"/>
      <c r="P68" s="2631"/>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4.4" thickTop="1">
      <c r="A70" s="553"/>
      <c r="B70" s="538">
        <f>B12</f>
        <v>111</v>
      </c>
      <c r="C70" s="554"/>
      <c r="D70" s="554"/>
      <c r="E70" s="554"/>
      <c r="F70" s="554"/>
      <c r="G70" s="554"/>
      <c r="H70" s="555"/>
      <c r="I70" s="555"/>
      <c r="J70" s="555"/>
      <c r="K70" s="555"/>
      <c r="L70" s="556"/>
      <c r="M70" s="557"/>
      <c r="N70" s="1154"/>
      <c r="O70" s="1154"/>
      <c r="P70" s="2632"/>
      <c r="Q70" s="559"/>
    </row>
    <row r="71" spans="1:17" s="471" customFormat="1" ht="14.4" thickBot="1">
      <c r="A71" s="553"/>
      <c r="B71" s="543"/>
      <c r="C71" s="560"/>
      <c r="D71" s="536"/>
      <c r="E71" s="536"/>
      <c r="F71" s="536"/>
      <c r="G71" s="536"/>
      <c r="H71" s="536"/>
      <c r="I71" s="536"/>
      <c r="J71" s="536"/>
      <c r="K71" s="536"/>
      <c r="L71" s="536"/>
      <c r="M71" s="537"/>
      <c r="N71" s="1153"/>
      <c r="O71" s="1153"/>
      <c r="P71" s="2632"/>
      <c r="Q71" s="559"/>
    </row>
    <row r="72" spans="1:17" s="471" customFormat="1" ht="14.4" thickTop="1">
      <c r="A72" s="553"/>
      <c r="B72" s="538">
        <f>B13</f>
        <v>111</v>
      </c>
      <c r="C72" s="554"/>
      <c r="D72" s="554"/>
      <c r="E72" s="554"/>
      <c r="F72" s="554"/>
      <c r="G72" s="554"/>
      <c r="H72" s="555"/>
      <c r="I72" s="555"/>
      <c r="J72" s="555"/>
      <c r="K72" s="555"/>
      <c r="L72" s="556"/>
      <c r="M72" s="557"/>
      <c r="N72" s="1154"/>
      <c r="O72" s="1154"/>
      <c r="P72" s="2633"/>
      <c r="Q72" s="561"/>
    </row>
    <row r="73" spans="1:17" s="471" customFormat="1" ht="14.4" thickBot="1">
      <c r="A73" s="553"/>
      <c r="B73" s="543"/>
      <c r="C73" s="560"/>
      <c r="D73" s="560"/>
      <c r="E73" s="560"/>
      <c r="F73" s="560"/>
      <c r="G73" s="560"/>
      <c r="H73" s="562"/>
      <c r="I73" s="562"/>
      <c r="J73" s="562"/>
      <c r="K73" s="562"/>
      <c r="L73" s="562"/>
      <c r="M73" s="563"/>
      <c r="N73" s="1154"/>
      <c r="O73" s="1154"/>
      <c r="P73" s="2632"/>
      <c r="Q73" s="559"/>
    </row>
    <row r="74" spans="1:17" s="471" customFormat="1" ht="14.4" thickTop="1">
      <c r="A74" s="553"/>
      <c r="B74" s="546">
        <f>B14</f>
        <v>111</v>
      </c>
      <c r="C74" s="554"/>
      <c r="D74" s="554"/>
      <c r="E74" s="554"/>
      <c r="F74" s="554"/>
      <c r="G74" s="523"/>
      <c r="H74" s="564"/>
      <c r="I74" s="564"/>
      <c r="J74" s="564"/>
      <c r="K74" s="564"/>
      <c r="L74" s="565"/>
      <c r="M74" s="566"/>
      <c r="N74" s="1154"/>
      <c r="O74" s="1154"/>
      <c r="P74" s="2634"/>
      <c r="Q74" s="559"/>
    </row>
    <row r="75" spans="1:17" s="471" customFormat="1" ht="14.4" thickBot="1">
      <c r="A75" s="568"/>
      <c r="B75" s="569"/>
      <c r="C75" s="570"/>
      <c r="D75" s="570"/>
      <c r="E75" s="570"/>
      <c r="F75" s="570"/>
      <c r="G75" s="570"/>
      <c r="H75" s="571"/>
      <c r="I75" s="571"/>
      <c r="J75" s="571"/>
      <c r="K75" s="571"/>
      <c r="L75" s="571"/>
      <c r="M75" s="572"/>
      <c r="N75" s="1154"/>
      <c r="O75" s="1154"/>
      <c r="P75" s="2632"/>
      <c r="Q75" s="559"/>
    </row>
    <row r="76" spans="1:17" ht="14.4">
      <c r="A76" s="527" t="s">
        <v>2556</v>
      </c>
      <c r="B76" s="528" t="s">
        <v>2593</v>
      </c>
      <c r="C76" s="573" t="s">
        <v>2594</v>
      </c>
      <c r="D76" s="573" t="s">
        <v>2595</v>
      </c>
      <c r="E76" s="573" t="s">
        <v>2596</v>
      </c>
      <c r="F76" s="573" t="s">
        <v>2597</v>
      </c>
      <c r="G76" s="573" t="s">
        <v>2598</v>
      </c>
      <c r="H76" s="529"/>
      <c r="I76" s="529"/>
      <c r="J76" s="529"/>
      <c r="K76" s="574"/>
      <c r="L76" s="575"/>
      <c r="M76" s="576"/>
      <c r="N76" s="1152"/>
      <c r="O76" s="1152"/>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 thickTop="1">
      <c r="A78" s="534"/>
      <c r="B78" s="538" t="s">
        <v>2599</v>
      </c>
      <c r="C78" s="578" t="s">
        <v>2594</v>
      </c>
      <c r="D78" s="578" t="s">
        <v>2595</v>
      </c>
      <c r="E78" s="578" t="s">
        <v>2596</v>
      </c>
      <c r="F78" s="578" t="s">
        <v>2597</v>
      </c>
      <c r="G78" s="578" t="s">
        <v>2598</v>
      </c>
      <c r="H78" s="539"/>
      <c r="I78" s="539"/>
      <c r="J78" s="539"/>
      <c r="K78" s="540"/>
      <c r="L78" s="541"/>
      <c r="M78" s="542"/>
      <c r="N78" s="1152"/>
      <c r="O78" s="1152"/>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 thickTop="1">
      <c r="A80" s="534"/>
      <c r="B80" s="538" t="s">
        <v>2600</v>
      </c>
      <c r="C80" s="578" t="s">
        <v>2594</v>
      </c>
      <c r="D80" s="578" t="s">
        <v>2595</v>
      </c>
      <c r="E80" s="578" t="s">
        <v>2596</v>
      </c>
      <c r="F80" s="578" t="s">
        <v>2597</v>
      </c>
      <c r="G80" s="578" t="s">
        <v>2598</v>
      </c>
      <c r="H80" s="539"/>
      <c r="I80" s="539"/>
      <c r="J80" s="539"/>
      <c r="K80" s="540"/>
      <c r="L80" s="541"/>
      <c r="M80" s="542"/>
      <c r="N80" s="1152"/>
      <c r="O80" s="1152"/>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 thickTop="1">
      <c r="A82" s="534"/>
      <c r="B82" s="546" t="s">
        <v>2093</v>
      </c>
      <c r="C82" s="539" t="s">
        <v>2601</v>
      </c>
      <c r="D82" s="539" t="s">
        <v>2602</v>
      </c>
      <c r="E82" s="539" t="s">
        <v>2603</v>
      </c>
      <c r="F82" s="539" t="s">
        <v>2604</v>
      </c>
      <c r="G82" s="539" t="s">
        <v>2605</v>
      </c>
      <c r="H82" s="539"/>
      <c r="I82" s="539"/>
      <c r="J82" s="539"/>
      <c r="K82" s="539"/>
      <c r="L82" s="539"/>
      <c r="M82" s="1382"/>
      <c r="N82" s="1153"/>
      <c r="O82" s="1153"/>
      <c r="P82" s="2631"/>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 thickTop="1">
      <c r="A84" s="534"/>
      <c r="B84" s="538" t="s">
        <v>2606</v>
      </c>
      <c r="C84" s="578" t="s">
        <v>2594</v>
      </c>
      <c r="D84" s="578" t="s">
        <v>2595</v>
      </c>
      <c r="E84" s="578" t="s">
        <v>2596</v>
      </c>
      <c r="F84" s="578" t="s">
        <v>2597</v>
      </c>
      <c r="G84" s="578" t="s">
        <v>2598</v>
      </c>
      <c r="H84" s="539"/>
      <c r="I84" s="539"/>
      <c r="J84" s="539"/>
      <c r="K84" s="540"/>
      <c r="L84" s="541"/>
      <c r="M84" s="542"/>
      <c r="N84" s="1152"/>
      <c r="O84" s="1152"/>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 thickTop="1">
      <c r="A86" s="579"/>
      <c r="B86" s="538" t="s">
        <v>2607</v>
      </c>
      <c r="C86" s="554"/>
      <c r="D86" s="554"/>
      <c r="E86" s="554"/>
      <c r="F86" s="554"/>
      <c r="G86" s="554"/>
      <c r="H86" s="554"/>
      <c r="I86" s="554"/>
      <c r="J86" s="554"/>
      <c r="K86" s="554"/>
      <c r="L86" s="580"/>
      <c r="M86" s="581"/>
      <c r="N86" s="1151"/>
      <c r="O86" s="1151"/>
      <c r="P86" s="2631"/>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 thickTop="1">
      <c r="A88" s="579"/>
      <c r="B88" s="538" t="s">
        <v>2608</v>
      </c>
      <c r="C88" s="554"/>
      <c r="D88" s="554"/>
      <c r="E88" s="554"/>
      <c r="F88" s="2636"/>
      <c r="G88" s="554"/>
      <c r="H88" s="554"/>
      <c r="I88" s="554"/>
      <c r="J88" s="554"/>
      <c r="K88" s="554"/>
      <c r="L88" s="554"/>
      <c r="M88" s="581"/>
      <c r="N88" s="1151"/>
      <c r="O88" s="1151"/>
      <c r="P88" s="2631"/>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4.4" thickTop="1">
      <c r="A90" s="553"/>
      <c r="B90" s="538">
        <f>B27</f>
        <v>111</v>
      </c>
      <c r="C90" s="554"/>
      <c r="D90" s="554"/>
      <c r="E90" s="554"/>
      <c r="F90" s="554"/>
      <c r="G90" s="554"/>
      <c r="H90" s="555"/>
      <c r="I90" s="555"/>
      <c r="J90" s="555"/>
      <c r="K90" s="555"/>
      <c r="L90" s="556"/>
      <c r="M90" s="557"/>
      <c r="N90" s="1154"/>
      <c r="O90" s="1154"/>
      <c r="P90" s="2632"/>
      <c r="Q90" s="559"/>
    </row>
    <row r="91" spans="1:17" s="471" customFormat="1" ht="14.4" thickBot="1">
      <c r="A91" s="553"/>
      <c r="B91" s="543"/>
      <c r="C91" s="560"/>
      <c r="D91" s="560"/>
      <c r="E91" s="560"/>
      <c r="F91" s="560"/>
      <c r="G91" s="560"/>
      <c r="H91" s="562"/>
      <c r="I91" s="562"/>
      <c r="J91" s="562"/>
      <c r="K91" s="562"/>
      <c r="L91" s="562"/>
      <c r="M91" s="563"/>
      <c r="N91" s="1154"/>
      <c r="O91" s="1154"/>
      <c r="P91" s="2632"/>
      <c r="Q91" s="559"/>
    </row>
    <row r="92" spans="1:17" ht="14.4" thickTop="1">
      <c r="A92" s="534"/>
      <c r="B92" s="538">
        <f>B28</f>
        <v>111</v>
      </c>
      <c r="C92" s="554"/>
      <c r="D92" s="554"/>
      <c r="E92" s="554"/>
      <c r="F92" s="554"/>
      <c r="G92" s="583"/>
      <c r="H92" s="583"/>
      <c r="I92" s="583"/>
      <c r="J92" s="583"/>
      <c r="K92" s="584"/>
      <c r="L92" s="585"/>
      <c r="M92" s="586"/>
      <c r="N92" s="1152"/>
      <c r="O92" s="1152"/>
      <c r="P92" s="2631"/>
      <c r="Q92" s="504"/>
    </row>
    <row r="93" spans="1:17" ht="14.4" thickBot="1">
      <c r="A93" s="534"/>
      <c r="B93" s="543"/>
      <c r="C93" s="560"/>
      <c r="D93" s="536"/>
      <c r="E93" s="536"/>
      <c r="F93" s="536"/>
      <c r="G93" s="536"/>
      <c r="H93" s="536"/>
      <c r="I93" s="536"/>
      <c r="J93" s="536"/>
      <c r="K93" s="536"/>
      <c r="L93" s="536"/>
      <c r="M93" s="537"/>
      <c r="N93" s="1153"/>
      <c r="O93" s="1153"/>
      <c r="P93" s="2631"/>
      <c r="Q93" s="504"/>
    </row>
    <row r="94" spans="1:17" ht="14.4" thickTop="1">
      <c r="A94" s="534"/>
      <c r="B94" s="538">
        <f>B29</f>
        <v>111</v>
      </c>
      <c r="C94" s="554"/>
      <c r="D94" s="554"/>
      <c r="E94" s="554"/>
      <c r="F94" s="554"/>
      <c r="G94" s="583"/>
      <c r="H94" s="583"/>
      <c r="I94" s="583"/>
      <c r="J94" s="583"/>
      <c r="K94" s="584"/>
      <c r="L94" s="585"/>
      <c r="M94" s="586"/>
      <c r="N94" s="1152"/>
      <c r="O94" s="1152"/>
      <c r="P94" s="2631"/>
      <c r="Q94" s="504"/>
    </row>
    <row r="95" spans="1:17" ht="14.4" thickBot="1">
      <c r="A95" s="534"/>
      <c r="B95" s="543"/>
      <c r="C95" s="560"/>
      <c r="D95" s="560"/>
      <c r="E95" s="560"/>
      <c r="F95" s="560"/>
      <c r="G95" s="536"/>
      <c r="H95" s="536"/>
      <c r="I95" s="536"/>
      <c r="J95" s="536"/>
      <c r="K95" s="536"/>
      <c r="L95" s="536"/>
      <c r="M95" s="537"/>
      <c r="N95" s="1153"/>
      <c r="O95" s="1153"/>
      <c r="P95" s="2631"/>
      <c r="Q95" s="504"/>
    </row>
    <row r="96" spans="1:17" ht="14.4" thickTop="1">
      <c r="A96" s="534"/>
      <c r="B96" s="538">
        <f>B30</f>
        <v>111</v>
      </c>
      <c r="C96" s="554"/>
      <c r="D96" s="554"/>
      <c r="E96" s="554"/>
      <c r="F96" s="554"/>
      <c r="G96" s="583"/>
      <c r="H96" s="583"/>
      <c r="I96" s="583"/>
      <c r="J96" s="583"/>
      <c r="K96" s="584"/>
      <c r="L96" s="585"/>
      <c r="M96" s="586"/>
      <c r="N96" s="1152"/>
      <c r="O96" s="1152"/>
      <c r="P96" s="2631"/>
      <c r="Q96" s="504"/>
    </row>
    <row r="97" spans="1:17" ht="14.4" thickBot="1">
      <c r="A97" s="534"/>
      <c r="B97" s="543"/>
      <c r="C97" s="570"/>
      <c r="D97" s="570"/>
      <c r="E97" s="570"/>
      <c r="F97" s="570"/>
      <c r="G97" s="536"/>
      <c r="H97" s="536"/>
      <c r="I97" s="536"/>
      <c r="J97" s="536"/>
      <c r="K97" s="536"/>
      <c r="L97" s="536"/>
      <c r="M97" s="537"/>
      <c r="N97" s="1153"/>
      <c r="O97" s="1153"/>
      <c r="P97" s="2631"/>
      <c r="Q97" s="504"/>
    </row>
    <row r="98" spans="1:17" ht="14.4" thickTop="1">
      <c r="A98" s="534"/>
      <c r="B98" s="546">
        <f>B31</f>
        <v>111</v>
      </c>
      <c r="C98" s="587"/>
      <c r="D98" s="587"/>
      <c r="E98" s="587"/>
      <c r="F98" s="587"/>
      <c r="G98" s="587"/>
      <c r="H98" s="587"/>
      <c r="I98" s="587"/>
      <c r="J98" s="587"/>
      <c r="K98" s="588"/>
      <c r="L98" s="589"/>
      <c r="M98" s="590"/>
      <c r="N98" s="1152"/>
      <c r="O98" s="1152"/>
      <c r="P98" s="2631"/>
      <c r="Q98" s="504"/>
    </row>
    <row r="99" spans="1:17" ht="14.4" thickBot="1">
      <c r="A99" s="2637"/>
      <c r="B99" s="569"/>
      <c r="C99" s="591"/>
      <c r="D99" s="591"/>
      <c r="E99" s="591"/>
      <c r="F99" s="591"/>
      <c r="G99" s="591"/>
      <c r="H99" s="591"/>
      <c r="I99" s="591"/>
      <c r="J99" s="591"/>
      <c r="K99" s="591"/>
      <c r="L99" s="591"/>
      <c r="M99" s="592"/>
      <c r="N99" s="1153"/>
      <c r="O99" s="1153"/>
      <c r="P99" s="2631"/>
      <c r="Q99" s="504"/>
    </row>
    <row r="100" spans="1:17" ht="14.4">
      <c r="A100" s="527" t="s">
        <v>2560</v>
      </c>
      <c r="B100" s="528" t="s">
        <v>2609</v>
      </c>
      <c r="C100" s="530"/>
      <c r="D100" s="530"/>
      <c r="E100" s="530"/>
      <c r="F100" s="530"/>
      <c r="G100" s="530"/>
      <c r="H100" s="530"/>
      <c r="I100" s="530"/>
      <c r="J100" s="530"/>
      <c r="K100" s="531"/>
      <c r="L100" s="532"/>
      <c r="M100" s="533"/>
      <c r="N100" s="1152"/>
      <c r="O100" s="1152"/>
      <c r="P100" s="2631"/>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4.4"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2611</v>
      </c>
      <c r="C105" s="554"/>
      <c r="D105" s="554"/>
      <c r="E105" s="583"/>
      <c r="F105" s="583"/>
      <c r="G105" s="583"/>
      <c r="H105" s="583"/>
      <c r="I105" s="583"/>
      <c r="J105" s="583"/>
      <c r="K105" s="584"/>
      <c r="L105" s="585"/>
      <c r="M105" s="586"/>
      <c r="N105" s="1152"/>
      <c r="O105" s="1152"/>
      <c r="P105" s="2631"/>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2612</v>
      </c>
      <c r="C107" s="583"/>
      <c r="D107" s="583"/>
      <c r="E107" s="583"/>
      <c r="F107" s="583"/>
      <c r="G107" s="583"/>
      <c r="H107" s="583"/>
      <c r="I107" s="583"/>
      <c r="J107" s="583"/>
      <c r="K107" s="584"/>
      <c r="L107" s="585"/>
      <c r="M107" s="586"/>
      <c r="N107" s="1152"/>
      <c r="O107" s="1152"/>
      <c r="P107" s="2631"/>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2613</v>
      </c>
      <c r="C109" s="554"/>
      <c r="D109" s="554"/>
      <c r="E109" s="554"/>
      <c r="F109" s="583"/>
      <c r="G109" s="583"/>
      <c r="H109" s="583"/>
      <c r="I109" s="583"/>
      <c r="J109" s="583"/>
      <c r="K109" s="584"/>
      <c r="L109" s="585"/>
      <c r="M109" s="586"/>
      <c r="N109" s="1152"/>
      <c r="O109" s="1152"/>
      <c r="P109" s="2631"/>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2614</v>
      </c>
      <c r="C114" s="554"/>
      <c r="D114" s="554"/>
      <c r="E114" s="583"/>
      <c r="F114" s="583"/>
      <c r="G114" s="583"/>
      <c r="H114" s="583"/>
      <c r="I114" s="583"/>
      <c r="J114" s="583"/>
      <c r="K114" s="584"/>
      <c r="L114" s="585"/>
      <c r="M114" s="586"/>
      <c r="N114" s="1152"/>
      <c r="O114" s="1152"/>
      <c r="P114" s="2631"/>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2615</v>
      </c>
      <c r="C116" s="554"/>
      <c r="D116" s="554"/>
      <c r="E116" s="554"/>
      <c r="F116" s="554"/>
      <c r="G116" s="554"/>
      <c r="H116" s="583"/>
      <c r="I116" s="583"/>
      <c r="J116" s="583"/>
      <c r="K116" s="584"/>
      <c r="L116" s="585"/>
      <c r="M116" s="586"/>
      <c r="N116" s="1152"/>
      <c r="O116" s="1152"/>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2616</v>
      </c>
      <c r="C118" s="583"/>
      <c r="D118" s="583"/>
      <c r="E118" s="583"/>
      <c r="F118" s="583"/>
      <c r="G118" s="583"/>
      <c r="H118" s="583"/>
      <c r="I118" s="583"/>
      <c r="J118" s="583"/>
      <c r="K118" s="584"/>
      <c r="L118" s="585"/>
      <c r="M118" s="586"/>
      <c r="N118" s="1152"/>
      <c r="O118" s="1152"/>
      <c r="P118" s="2631"/>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9.4" thickTop="1">
      <c r="A120" s="593"/>
      <c r="B120" s="538" t="s">
        <v>2571</v>
      </c>
      <c r="C120" s="554"/>
      <c r="D120" s="554"/>
      <c r="E120" s="554"/>
      <c r="F120" s="554"/>
      <c r="G120" s="554"/>
      <c r="H120" s="554"/>
      <c r="I120" s="554"/>
      <c r="J120" s="554"/>
      <c r="K120" s="554"/>
      <c r="L120" s="580"/>
      <c r="M120" s="581"/>
      <c r="N120" s="1154"/>
      <c r="O120" s="1154"/>
      <c r="P120" s="2632"/>
      <c r="Q120" s="559"/>
    </row>
    <row r="121" spans="1:17" s="471" customFormat="1" ht="14.4"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2617</v>
      </c>
      <c r="C122" s="554"/>
      <c r="D122" s="554"/>
      <c r="E122" s="554"/>
      <c r="F122" s="583"/>
      <c r="G122" s="583"/>
      <c r="H122" s="583"/>
      <c r="I122" s="583"/>
      <c r="J122" s="583"/>
      <c r="K122" s="584"/>
      <c r="L122" s="585"/>
      <c r="M122" s="586"/>
      <c r="N122" s="1152"/>
      <c r="O122" s="1152"/>
      <c r="P122" s="2631"/>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29.4"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2"/>
      <c r="Q127" s="559"/>
    </row>
    <row r="128" spans="1:17" ht="14.4" thickTop="1">
      <c r="A128" s="599"/>
      <c r="B128" s="538">
        <f>B45</f>
        <v>111</v>
      </c>
      <c r="C128" s="554"/>
      <c r="D128" s="554"/>
      <c r="E128" s="554"/>
      <c r="F128" s="554"/>
      <c r="G128" s="583"/>
      <c r="H128" s="583"/>
      <c r="I128" s="583"/>
      <c r="J128" s="583"/>
      <c r="K128" s="584"/>
      <c r="L128" s="585"/>
      <c r="M128" s="586"/>
      <c r="N128" s="1152"/>
      <c r="O128" s="1152"/>
      <c r="P128" s="2631"/>
      <c r="Q128" s="504"/>
    </row>
    <row r="129" spans="1:17" ht="14.4" thickBot="1">
      <c r="A129" s="534"/>
      <c r="B129" s="543"/>
      <c r="C129" s="560"/>
      <c r="D129" s="560"/>
      <c r="E129" s="560"/>
      <c r="F129" s="560"/>
      <c r="G129" s="536"/>
      <c r="H129" s="536"/>
      <c r="I129" s="536"/>
      <c r="J129" s="536"/>
      <c r="K129" s="536"/>
      <c r="L129" s="536"/>
      <c r="M129" s="537"/>
      <c r="N129" s="1153"/>
      <c r="O129" s="1153"/>
      <c r="P129" s="2631"/>
      <c r="Q129" s="504"/>
    </row>
    <row r="130" spans="1:17" ht="14.4" thickTop="1">
      <c r="A130" s="599"/>
      <c r="B130" s="546">
        <f>B46</f>
        <v>111</v>
      </c>
      <c r="C130" s="554"/>
      <c r="D130" s="554"/>
      <c r="E130" s="554"/>
      <c r="F130" s="554"/>
      <c r="G130" s="587"/>
      <c r="H130" s="587"/>
      <c r="I130" s="587"/>
      <c r="J130" s="587"/>
      <c r="K130" s="523"/>
      <c r="L130" s="524"/>
      <c r="M130" s="590"/>
      <c r="N130" s="1152"/>
      <c r="O130" s="1152"/>
      <c r="P130" s="2631"/>
      <c r="Q130" s="504"/>
    </row>
    <row r="131" spans="1:17" ht="14.4"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2619</v>
      </c>
    </row>
    <row r="137" spans="1:17" ht="15">
      <c r="B137" s="2639" t="s">
        <v>2620</v>
      </c>
      <c r="C137" s="2640"/>
      <c r="D137" s="2640"/>
      <c r="E137" s="2640"/>
      <c r="F137" s="2640"/>
      <c r="G137" s="2641"/>
      <c r="H137" s="2642"/>
      <c r="I137" s="2643" t="s">
        <v>2621</v>
      </c>
      <c r="J137" s="2640"/>
      <c r="K137" s="2644"/>
    </row>
    <row r="138" spans="1:17" ht="15">
      <c r="B138" s="2645"/>
      <c r="C138" s="146" t="s">
        <v>2622</v>
      </c>
      <c r="D138" s="146" t="s">
        <v>2623</v>
      </c>
      <c r="E138" s="2646" t="s">
        <v>2624</v>
      </c>
      <c r="F138" s="2647" t="s">
        <v>2625</v>
      </c>
      <c r="G138" s="146" t="s">
        <v>2623</v>
      </c>
      <c r="H138" s="147" t="s">
        <v>2624</v>
      </c>
      <c r="I138" s="2648"/>
      <c r="J138" s="146" t="s">
        <v>2626</v>
      </c>
      <c r="K138" s="147" t="s">
        <v>2627</v>
      </c>
    </row>
    <row r="139" spans="1:17" ht="15">
      <c r="B139" s="1084">
        <v>6</v>
      </c>
      <c r="C139" s="1085">
        <v>96</v>
      </c>
      <c r="D139" s="2649" t="s">
        <v>2628</v>
      </c>
      <c r="E139" s="1086">
        <v>100</v>
      </c>
      <c r="F139" s="1087">
        <v>102.5</v>
      </c>
      <c r="G139" s="2649" t="s">
        <v>2628</v>
      </c>
      <c r="H139" s="1088">
        <v>105</v>
      </c>
      <c r="I139" s="2650" t="s">
        <v>2629</v>
      </c>
      <c r="J139" s="1085">
        <v>20</v>
      </c>
      <c r="K139" s="1089">
        <f>C145/(J139-2)</f>
        <v>4.0555555555555553E-3</v>
      </c>
    </row>
    <row r="140" spans="1:17" ht="15">
      <c r="B140" s="1090">
        <v>5</v>
      </c>
      <c r="C140" s="1091">
        <v>100</v>
      </c>
      <c r="D140" s="1091"/>
      <c r="E140" s="1092"/>
      <c r="F140" s="1093">
        <v>102</v>
      </c>
      <c r="G140" s="1091"/>
      <c r="H140" s="1094"/>
      <c r="I140" s="2651" t="s">
        <v>2630</v>
      </c>
      <c r="J140" s="315">
        <f>ROUNDUP((J139-1)/2,0)</f>
        <v>10</v>
      </c>
      <c r="K140" s="1095">
        <v>100</v>
      </c>
    </row>
    <row r="141" spans="1:17" ht="15">
      <c r="B141" s="1090">
        <v>4</v>
      </c>
      <c r="C141" s="1091">
        <v>102</v>
      </c>
      <c r="D141" s="1091"/>
      <c r="E141" s="1092"/>
      <c r="F141" s="1093">
        <v>101.5</v>
      </c>
      <c r="G141" s="1091"/>
      <c r="H141" s="1094"/>
      <c r="I141" s="2651" t="s">
        <v>2631</v>
      </c>
      <c r="J141" s="315">
        <v>1</v>
      </c>
      <c r="K141" s="1096">
        <f>ROUND(100+(J141-J140)*K139*100,1)</f>
        <v>96.4</v>
      </c>
    </row>
    <row r="142" spans="1:17" ht="15">
      <c r="B142" s="1090">
        <v>3</v>
      </c>
      <c r="C142" s="1091">
        <v>103</v>
      </c>
      <c r="D142" s="1091"/>
      <c r="E142" s="1092"/>
      <c r="F142" s="1093">
        <v>101</v>
      </c>
      <c r="G142" s="1091"/>
      <c r="H142" s="1094"/>
      <c r="I142" s="2651" t="s">
        <v>2632</v>
      </c>
      <c r="J142" s="315">
        <f>J139</f>
        <v>20</v>
      </c>
      <c r="K142" s="1097">
        <v>95</v>
      </c>
    </row>
    <row r="143" spans="1:17" ht="15">
      <c r="B143" s="1090">
        <v>2</v>
      </c>
      <c r="C143" s="1091">
        <v>100</v>
      </c>
      <c r="D143" s="1091"/>
      <c r="E143" s="1092"/>
      <c r="F143" s="1093">
        <v>100.5</v>
      </c>
      <c r="G143" s="1091"/>
      <c r="H143" s="1094"/>
      <c r="I143" s="2651" t="s">
        <v>2633</v>
      </c>
      <c r="J143" s="1091">
        <v>15</v>
      </c>
      <c r="K143" s="1096">
        <f>ROUND(100+(J143-J140)*K139*100,1)</f>
        <v>102</v>
      </c>
    </row>
    <row r="144" spans="1:17" ht="15">
      <c r="B144" s="1090">
        <v>1</v>
      </c>
      <c r="C144" s="1091">
        <v>98</v>
      </c>
      <c r="D144" s="2652" t="s">
        <v>2634</v>
      </c>
      <c r="E144" s="1092">
        <v>102</v>
      </c>
      <c r="F144" s="1098">
        <v>100</v>
      </c>
      <c r="G144" s="2652" t="s">
        <v>2634</v>
      </c>
      <c r="H144" s="1094">
        <v>105</v>
      </c>
      <c r="I144" s="2651" t="s">
        <v>2633</v>
      </c>
      <c r="J144" s="1091">
        <v>18</v>
      </c>
      <c r="K144" s="1096">
        <f>ROUND(100+(J144-J140)*K139*100,1)</f>
        <v>103.2</v>
      </c>
    </row>
    <row r="145" spans="2:11" ht="16.2" thickBot="1">
      <c r="B145" s="2653" t="s">
        <v>2635</v>
      </c>
      <c r="C145" s="1099">
        <f>ROUND(MAX(C139:C144)/MIN(C139:C144)-1,3)</f>
        <v>7.2999999999999995E-2</v>
      </c>
      <c r="D145" s="1100"/>
      <c r="E145" s="1100"/>
      <c r="F145" s="2654" t="s">
        <v>2636</v>
      </c>
      <c r="G145" s="2655"/>
      <c r="H145" s="2656"/>
      <c r="I145" s="2657" t="s">
        <v>2633</v>
      </c>
      <c r="J145" s="1101">
        <v>8</v>
      </c>
      <c r="K145" s="1102">
        <f>ROUND(100+(J145-J140)*K139*100,1)</f>
        <v>99.2</v>
      </c>
    </row>
    <row r="147" spans="2:11" ht="14.4">
      <c r="B147" s="2638" t="s">
        <v>2637</v>
      </c>
    </row>
    <row r="148" spans="2:11" ht="14.4">
      <c r="B148" s="2638"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3" priority="15" stopIfTrue="1" operator="containsText" text="超过">
      <formula>NOT(ISERROR(SEARCH("超过",F52)))</formula>
    </cfRule>
  </conditionalFormatting>
  <conditionalFormatting sqref="J54">
    <cfRule type="containsText" dxfId="152" priority="14" stopIfTrue="1" operator="containsText" text="超过">
      <formula>NOT(ISERROR(SEARCH("超过",J54)))</formula>
    </cfRule>
  </conditionalFormatting>
  <conditionalFormatting sqref="H54">
    <cfRule type="containsText" dxfId="151" priority="13" stopIfTrue="1" operator="containsText" text="超过">
      <formula>NOT(ISERROR(SEARCH("超过",H54)))</formula>
    </cfRule>
  </conditionalFormatting>
  <conditionalFormatting sqref="F54">
    <cfRule type="containsText" dxfId="150" priority="12" stopIfTrue="1" operator="containsText" text="超过">
      <formula>NOT(ISERROR(SEARCH("超过",F54)))</formula>
    </cfRule>
  </conditionalFormatting>
  <conditionalFormatting sqref="F53 H53 J53">
    <cfRule type="containsText" dxfId="149" priority="11" stopIfTrue="1" operator="containsText" text="超过">
      <formula>NOT(ISERROR(SEARCH("超过",F53)))</formula>
    </cfRule>
  </conditionalFormatting>
  <conditionalFormatting sqref="E52">
    <cfRule type="expression" dxfId="148" priority="10" stopIfTrue="1">
      <formula>$F$52="超过30%"</formula>
    </cfRule>
  </conditionalFormatting>
  <conditionalFormatting sqref="G54">
    <cfRule type="expression" dxfId="147" priority="8" stopIfTrue="1">
      <formula>$H$54="超过30%"</formula>
    </cfRule>
  </conditionalFormatting>
  <conditionalFormatting sqref="E53">
    <cfRule type="expression" dxfId="146" priority="7" stopIfTrue="1">
      <formula>$F$53="超过20%"</formula>
    </cfRule>
  </conditionalFormatting>
  <conditionalFormatting sqref="E54">
    <cfRule type="expression" dxfId="145" priority="6" stopIfTrue="1">
      <formula>$F$54="超过30%"</formula>
    </cfRule>
  </conditionalFormatting>
  <conditionalFormatting sqref="G52">
    <cfRule type="expression" dxfId="144" priority="5" stopIfTrue="1">
      <formula>$H$52="超过30%"</formula>
    </cfRule>
  </conditionalFormatting>
  <conditionalFormatting sqref="G53">
    <cfRule type="expression" dxfId="143" priority="4" stopIfTrue="1">
      <formula>$H$53="超过20%"</formula>
    </cfRule>
  </conditionalFormatting>
  <conditionalFormatting sqref="I52">
    <cfRule type="expression" dxfId="142" priority="3" stopIfTrue="1">
      <formula>$J$52="超过30%"</formula>
    </cfRule>
  </conditionalFormatting>
  <conditionalFormatting sqref="I53">
    <cfRule type="expression" dxfId="141" priority="2" stopIfTrue="1">
      <formula>$J$53="超过20%"</formula>
    </cfRule>
  </conditionalFormatting>
  <conditionalFormatting sqref="I54">
    <cfRule type="expression" dxfId="140" priority="1" stopIfTrue="1">
      <formula>$J$54="超过30%"</formula>
    </cfRule>
  </conditionalFormatting>
  <dataValidations count="23">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C10 E10 G10 I10" xr:uid="{00000000-0002-0000-1A00-000011000000}">
      <formula1>土地年限区间</formula1>
    </dataValidation>
    <dataValidation type="list" allowBlank="1" showInputMessage="1" showErrorMessage="1" sqref="E9 G9 I9" xr:uid="{00000000-0002-0000-1A00-000012000000}">
      <formula1>住宅用途</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zoomScale="90" zoomScaleNormal="90" workbookViewId="0">
      <selection activeCell="F7" sqref="F7"/>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2525</v>
      </c>
      <c r="B1" s="2583" t="s">
        <v>2639</v>
      </c>
      <c r="C1" s="1633" t="s">
        <v>2527</v>
      </c>
      <c r="D1" s="1620"/>
      <c r="E1" s="2658"/>
      <c r="F1" s="2585"/>
      <c r="G1" s="1630" t="s">
        <v>2640</v>
      </c>
      <c r="H1" s="1629"/>
      <c r="I1" s="1629"/>
      <c r="J1" s="1629"/>
      <c r="K1" s="1631"/>
      <c r="L1" s="1632"/>
      <c r="M1" s="1633"/>
      <c r="N1" s="1633"/>
      <c r="O1" s="1633"/>
      <c r="P1" s="2659"/>
      <c r="Q1" s="2660"/>
      <c r="R1" s="2660"/>
      <c r="S1" s="2660"/>
      <c r="T1" s="2660"/>
      <c r="U1" s="2660"/>
      <c r="V1" s="2660"/>
      <c r="W1" s="2660"/>
      <c r="X1" s="2660"/>
      <c r="Y1" s="2660"/>
      <c r="Z1" s="2660"/>
      <c r="AA1" s="2660"/>
      <c r="AB1" s="2660"/>
      <c r="AC1" s="2661"/>
    </row>
    <row r="2" spans="1:29" s="398" customFormat="1" ht="28.5" customHeight="1" thickTop="1">
      <c r="A2" s="1616" t="s">
        <v>2324</v>
      </c>
      <c r="B2" s="1418" t="e">
        <f ca="1">IF(C2="——",ROUND(C49*D3/10000,0),ROUND(C49*D3/10000,0)-D2)</f>
        <v>#DIV/0!</v>
      </c>
      <c r="C2" s="2587"/>
      <c r="D2" s="1365" t="e">
        <f ca="1">SUMIF(INDIRECT("'"&amp;F2&amp;"'"&amp;"!A:A"),"承租人权益价值",INDIRECT("'"&amp;F2&amp;"'"&amp;"!c:c"))</f>
        <v>#REF!</v>
      </c>
      <c r="E2" s="2588" t="s">
        <v>2325</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2326</v>
      </c>
      <c r="B3" s="609" t="e">
        <f ca="1">IF(C2="——",C49,ROUND(B2*10000/D3,0))</f>
        <v>#DIV/0!</v>
      </c>
      <c r="C3" s="400" t="s">
        <v>2641</v>
      </c>
      <c r="D3" s="399">
        <f>IF(D1="",'数据-汇总表'!E3,SUMIF('数据-汇总表'!$C19:$C33,D1,'数据-汇总表'!$E19:$E33))</f>
        <v>73003.73</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4.4">
      <c r="A4" s="401" t="s">
        <v>2642</v>
      </c>
      <c r="B4" s="402"/>
      <c r="C4" s="3250" t="s">
        <v>2643</v>
      </c>
      <c r="D4" s="3251"/>
      <c r="E4" s="3252" t="s">
        <v>2644</v>
      </c>
      <c r="F4" s="3253"/>
      <c r="G4" s="3250" t="s">
        <v>2645</v>
      </c>
      <c r="H4" s="3251"/>
      <c r="I4" s="3250" t="s">
        <v>2646</v>
      </c>
      <c r="J4" s="3251"/>
      <c r="K4" s="610" t="s">
        <v>2647</v>
      </c>
      <c r="L4" s="1130"/>
      <c r="M4" s="1131"/>
      <c r="N4" s="1131"/>
      <c r="O4" s="1131"/>
      <c r="P4" s="3254" t="s">
        <v>2648</v>
      </c>
      <c r="Q4" s="3255"/>
      <c r="R4" s="3236" t="s">
        <v>2644</v>
      </c>
      <c r="S4" s="3237"/>
      <c r="T4" s="3236" t="s">
        <v>2645</v>
      </c>
      <c r="U4" s="3237"/>
      <c r="V4" s="3262" t="s">
        <v>2646</v>
      </c>
      <c r="W4" s="3262"/>
      <c r="X4" s="1812"/>
      <c r="Y4" s="3236" t="s">
        <v>2648</v>
      </c>
      <c r="Z4" s="3237"/>
      <c r="AA4" s="3231" t="s">
        <v>2644</v>
      </c>
      <c r="AB4" s="3262" t="s">
        <v>2645</v>
      </c>
      <c r="AC4" s="3231" t="s">
        <v>2646</v>
      </c>
    </row>
    <row r="5" spans="1:29">
      <c r="A5" s="404"/>
      <c r="B5" s="405"/>
      <c r="C5" s="3246" t="s">
        <v>2539</v>
      </c>
      <c r="D5" s="3243"/>
      <c r="E5" s="3240" t="s">
        <v>2540</v>
      </c>
      <c r="F5" s="3241"/>
      <c r="G5" s="3246" t="s">
        <v>2541</v>
      </c>
      <c r="H5" s="3243"/>
      <c r="I5" s="3246" t="s">
        <v>2542</v>
      </c>
      <c r="J5" s="3243"/>
      <c r="K5" s="610"/>
      <c r="L5" s="1130"/>
      <c r="M5" s="1131"/>
      <c r="N5" s="1131"/>
      <c r="O5" s="1131"/>
      <c r="P5" s="3256"/>
      <c r="Q5" s="3257"/>
      <c r="R5" s="3238"/>
      <c r="S5" s="3239"/>
      <c r="T5" s="3238"/>
      <c r="U5" s="3239"/>
      <c r="V5" s="3262"/>
      <c r="W5" s="3262"/>
      <c r="X5" s="1812"/>
      <c r="Y5" s="3238"/>
      <c r="Z5" s="3239"/>
      <c r="AA5" s="3232"/>
      <c r="AB5" s="3262"/>
      <c r="AC5" s="3232"/>
    </row>
    <row r="6" spans="1:29" ht="15" thickBot="1">
      <c r="A6" s="406"/>
      <c r="B6" s="407"/>
      <c r="C6" s="3244" t="s">
        <v>2543</v>
      </c>
      <c r="D6" s="3245"/>
      <c r="E6" s="3247" t="s">
        <v>2543</v>
      </c>
      <c r="F6" s="3248"/>
      <c r="G6" s="3244" t="s">
        <v>2543</v>
      </c>
      <c r="H6" s="3245"/>
      <c r="I6" s="3244" t="s">
        <v>2543</v>
      </c>
      <c r="J6" s="3245"/>
      <c r="K6" s="610" t="s">
        <v>2544</v>
      </c>
      <c r="L6" s="1130"/>
      <c r="M6" s="1131"/>
      <c r="N6" s="1131"/>
      <c r="O6" s="1131"/>
      <c r="P6" s="3258"/>
      <c r="Q6" s="3259"/>
      <c r="R6" s="3238"/>
      <c r="S6" s="3239"/>
      <c r="T6" s="3260"/>
      <c r="U6" s="3261"/>
      <c r="V6" s="3262"/>
      <c r="W6" s="3262"/>
      <c r="X6" s="1812"/>
      <c r="Y6" s="3260"/>
      <c r="Z6" s="3261"/>
      <c r="AA6" s="3233"/>
      <c r="AB6" s="3262"/>
      <c r="AC6" s="3233"/>
    </row>
    <row r="7" spans="1:29" s="117" customFormat="1" ht="15" thickBot="1">
      <c r="A7" s="408" t="s">
        <v>2545</v>
      </c>
      <c r="B7" s="409"/>
      <c r="C7" s="410">
        <f>'数据-取费表'!B2</f>
        <v>43921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4" t="s">
        <v>2546</v>
      </c>
      <c r="Q7" s="3263"/>
      <c r="R7" s="770" t="s">
        <v>17</v>
      </c>
      <c r="S7" s="771">
        <f t="shared" ref="S7:S15" si="0">F7</f>
        <v>0</v>
      </c>
      <c r="T7" s="770" t="s">
        <v>17</v>
      </c>
      <c r="U7" s="771">
        <f t="shared" ref="U7:U15" si="1">H7</f>
        <v>0</v>
      </c>
      <c r="V7" s="770" t="s">
        <v>17</v>
      </c>
      <c r="W7" s="771">
        <f t="shared" ref="W7:W15" si="2">J7</f>
        <v>0</v>
      </c>
      <c r="X7" s="772"/>
      <c r="Y7" s="3234" t="s">
        <v>2546</v>
      </c>
      <c r="Z7" s="3235"/>
      <c r="AA7" s="773" t="e">
        <f>D7/F7</f>
        <v>#DIV/0!</v>
      </c>
      <c r="AB7" s="773" t="e">
        <f>D7/H7</f>
        <v>#DIV/0!</v>
      </c>
      <c r="AC7" s="773" t="e">
        <f>D7/J7</f>
        <v>#DIV/0!</v>
      </c>
    </row>
    <row r="8" spans="1:29" s="117" customFormat="1" ht="1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4" t="s">
        <v>2549</v>
      </c>
      <c r="Q8" s="3235"/>
      <c r="R8" s="770" t="s">
        <v>17</v>
      </c>
      <c r="S8" s="771">
        <f t="shared" si="0"/>
        <v>0</v>
      </c>
      <c r="T8" s="770" t="s">
        <v>17</v>
      </c>
      <c r="U8" s="771">
        <f t="shared" si="1"/>
        <v>0</v>
      </c>
      <c r="V8" s="770" t="s">
        <v>17</v>
      </c>
      <c r="W8" s="771">
        <f t="shared" si="2"/>
        <v>0</v>
      </c>
      <c r="X8" s="772"/>
      <c r="Y8" s="3234" t="s">
        <v>2549</v>
      </c>
      <c r="Z8" s="3235"/>
      <c r="AA8" s="773" t="e">
        <f t="shared" ref="AA8:AA46" si="3">D8/F8</f>
        <v>#DIV/0!</v>
      </c>
      <c r="AB8" s="773" t="e">
        <f t="shared" ref="AB8:AB46" si="4">D8/H8</f>
        <v>#DIV/0!</v>
      </c>
      <c r="AC8" s="773" t="e">
        <f t="shared" ref="AC8:AC46" si="5">D8/J8</f>
        <v>#DIV/0!</v>
      </c>
    </row>
    <row r="9" spans="1:29" s="117" customFormat="1" ht="14.4">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73" t="s">
        <v>2552</v>
      </c>
      <c r="Q9" s="1794" t="str">
        <f t="shared" ref="Q9:Q15" si="6">B9</f>
        <v>用途</v>
      </c>
      <c r="R9" s="770" t="s">
        <v>17</v>
      </c>
      <c r="S9" s="771">
        <f t="shared" si="0"/>
        <v>100</v>
      </c>
      <c r="T9" s="770" t="s">
        <v>17</v>
      </c>
      <c r="U9" s="771">
        <f t="shared" si="1"/>
        <v>100</v>
      </c>
      <c r="V9" s="770" t="s">
        <v>17</v>
      </c>
      <c r="W9" s="771">
        <f t="shared" si="2"/>
        <v>100</v>
      </c>
      <c r="X9" s="772"/>
      <c r="Y9" s="3108" t="s">
        <v>2553</v>
      </c>
      <c r="Z9" s="55" t="str">
        <f t="shared" ref="Z9:Z15" si="7">Q9</f>
        <v>用途</v>
      </c>
      <c r="AA9" s="773">
        <f t="shared" si="3"/>
        <v>1</v>
      </c>
      <c r="AB9" s="773">
        <f t="shared" si="4"/>
        <v>1</v>
      </c>
      <c r="AC9" s="773">
        <f t="shared" si="5"/>
        <v>1</v>
      </c>
    </row>
    <row r="10" spans="1:29" s="427" customFormat="1" ht="28.8">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73"/>
      <c r="Q10" s="1794" t="str">
        <f t="shared" si="6"/>
        <v>土地使用年限（年）</v>
      </c>
      <c r="R10" s="770" t="s">
        <v>17</v>
      </c>
      <c r="S10" s="771">
        <f t="shared" si="0"/>
        <v>100</v>
      </c>
      <c r="T10" s="770" t="s">
        <v>17</v>
      </c>
      <c r="U10" s="771">
        <f t="shared" si="1"/>
        <v>100</v>
      </c>
      <c r="V10" s="770" t="s">
        <v>17</v>
      </c>
      <c r="W10" s="771">
        <f t="shared" si="2"/>
        <v>100</v>
      </c>
      <c r="X10" s="772"/>
      <c r="Y10" s="3108"/>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73"/>
      <c r="Q11" s="1794" t="str">
        <f t="shared" si="6"/>
        <v>容积率</v>
      </c>
      <c r="R11" s="770" t="s">
        <v>17</v>
      </c>
      <c r="S11" s="771" t="e">
        <f t="shared" si="0"/>
        <v>#N/A</v>
      </c>
      <c r="T11" s="770" t="s">
        <v>17</v>
      </c>
      <c r="U11" s="771" t="e">
        <f t="shared" si="1"/>
        <v>#N/A</v>
      </c>
      <c r="V11" s="770" t="s">
        <v>17</v>
      </c>
      <c r="W11" s="771" t="e">
        <f t="shared" si="2"/>
        <v>#N/A</v>
      </c>
      <c r="X11" s="772"/>
      <c r="Y11" s="3108"/>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73"/>
      <c r="Q12" s="1794">
        <f t="shared" si="6"/>
        <v>111</v>
      </c>
      <c r="R12" s="770" t="s">
        <v>17</v>
      </c>
      <c r="S12" s="771">
        <f t="shared" si="0"/>
        <v>100</v>
      </c>
      <c r="T12" s="770" t="s">
        <v>17</v>
      </c>
      <c r="U12" s="771">
        <f t="shared" si="1"/>
        <v>100</v>
      </c>
      <c r="V12" s="770" t="s">
        <v>17</v>
      </c>
      <c r="W12" s="771">
        <f t="shared" si="2"/>
        <v>100</v>
      </c>
      <c r="X12" s="772"/>
      <c r="Y12" s="3108"/>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73"/>
      <c r="Q13" s="1794">
        <f t="shared" si="6"/>
        <v>111</v>
      </c>
      <c r="R13" s="770" t="s">
        <v>17</v>
      </c>
      <c r="S13" s="771">
        <f t="shared" si="0"/>
        <v>100</v>
      </c>
      <c r="T13" s="770" t="s">
        <v>17</v>
      </c>
      <c r="U13" s="771">
        <f t="shared" si="1"/>
        <v>100</v>
      </c>
      <c r="V13" s="770" t="s">
        <v>17</v>
      </c>
      <c r="W13" s="771">
        <f t="shared" si="2"/>
        <v>100</v>
      </c>
      <c r="X13" s="772"/>
      <c r="Y13" s="3108"/>
      <c r="Z13" s="55">
        <f t="shared" si="7"/>
        <v>111</v>
      </c>
      <c r="AA13" s="773">
        <f t="shared" si="3"/>
        <v>1</v>
      </c>
      <c r="AB13" s="773">
        <f t="shared" si="4"/>
        <v>1</v>
      </c>
      <c r="AC13" s="773">
        <f t="shared" si="5"/>
        <v>1</v>
      </c>
    </row>
    <row r="14" spans="1:29" ht="15.6"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73"/>
      <c r="Q14" s="1794">
        <f t="shared" si="6"/>
        <v>111</v>
      </c>
      <c r="R14" s="770" t="s">
        <v>17</v>
      </c>
      <c r="S14" s="771">
        <f t="shared" si="0"/>
        <v>100</v>
      </c>
      <c r="T14" s="770" t="s">
        <v>17</v>
      </c>
      <c r="U14" s="771">
        <f t="shared" si="1"/>
        <v>100</v>
      </c>
      <c r="V14" s="770" t="s">
        <v>17</v>
      </c>
      <c r="W14" s="771">
        <f t="shared" si="2"/>
        <v>100</v>
      </c>
      <c r="X14" s="772"/>
      <c r="Y14" s="3108"/>
      <c r="Z14" s="55">
        <f t="shared" si="7"/>
        <v>111</v>
      </c>
      <c r="AA14" s="773">
        <f t="shared" si="3"/>
        <v>1</v>
      </c>
      <c r="AB14" s="773">
        <f t="shared" si="4"/>
        <v>1</v>
      </c>
      <c r="AC14" s="773">
        <f t="shared" si="5"/>
        <v>1</v>
      </c>
    </row>
    <row r="15" spans="1:29" ht="69">
      <c r="A15" s="440" t="s">
        <v>2556</v>
      </c>
      <c r="B15" s="69" t="s">
        <v>2650</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08" t="s">
        <v>2557</v>
      </c>
      <c r="Q15" s="1809" t="str">
        <f t="shared" si="6"/>
        <v>商业繁华度</v>
      </c>
      <c r="R15" s="774" t="s">
        <v>17</v>
      </c>
      <c r="S15" s="775">
        <f t="shared" si="0"/>
        <v>100</v>
      </c>
      <c r="T15" s="774" t="s">
        <v>17</v>
      </c>
      <c r="U15" s="775">
        <f t="shared" si="1"/>
        <v>100</v>
      </c>
      <c r="V15" s="774" t="s">
        <v>17</v>
      </c>
      <c r="W15" s="775">
        <f t="shared" si="2"/>
        <v>100</v>
      </c>
      <c r="X15" s="1812"/>
      <c r="Y15" s="3264" t="s">
        <v>2557</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309"/>
      <c r="Q16" s="1809"/>
      <c r="R16" s="774"/>
      <c r="S16" s="775"/>
      <c r="T16" s="774"/>
      <c r="U16" s="775"/>
      <c r="V16" s="774"/>
      <c r="W16" s="775"/>
      <c r="X16" s="1812"/>
      <c r="Y16" s="3265"/>
      <c r="Z16" s="1813"/>
      <c r="AA16" s="1810">
        <v>1</v>
      </c>
      <c r="AB16" s="1810">
        <v>1</v>
      </c>
      <c r="AC16" s="1810">
        <v>1</v>
      </c>
    </row>
    <row r="17" spans="1:29" ht="82.8">
      <c r="A17" s="428"/>
      <c r="B17" s="451" t="s">
        <v>2092</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09"/>
      <c r="Q17" s="1809" t="str">
        <f>B17</f>
        <v>交通便捷度</v>
      </c>
      <c r="R17" s="774" t="s">
        <v>17</v>
      </c>
      <c r="S17" s="775">
        <f>F17</f>
        <v>100</v>
      </c>
      <c r="T17" s="774" t="s">
        <v>17</v>
      </c>
      <c r="U17" s="775">
        <f>H17</f>
        <v>100</v>
      </c>
      <c r="V17" s="774" t="s">
        <v>17</v>
      </c>
      <c r="W17" s="775">
        <f>J17</f>
        <v>100</v>
      </c>
      <c r="X17" s="1812"/>
      <c r="Y17" s="3265"/>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1"/>
      <c r="P18" s="3309"/>
      <c r="Q18" s="1809"/>
      <c r="R18" s="774"/>
      <c r="S18" s="775"/>
      <c r="T18" s="774"/>
      <c r="U18" s="775"/>
      <c r="V18" s="774"/>
      <c r="W18" s="775"/>
      <c r="X18" s="1812"/>
      <c r="Y18" s="3265"/>
      <c r="Z18" s="1813"/>
      <c r="AA18" s="1810">
        <v>1</v>
      </c>
      <c r="AB18" s="1810">
        <v>1</v>
      </c>
      <c r="AC18" s="1810">
        <v>1</v>
      </c>
    </row>
    <row r="19" spans="1:29" ht="41.4">
      <c r="A19" s="428"/>
      <c r="B19" s="451" t="s">
        <v>2651</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09"/>
      <c r="Q19" s="1809" t="str">
        <f>B19</f>
        <v>公共配套设施</v>
      </c>
      <c r="R19" s="774" t="s">
        <v>17</v>
      </c>
      <c r="S19" s="775">
        <f>F19</f>
        <v>100</v>
      </c>
      <c r="T19" s="774" t="s">
        <v>17</v>
      </c>
      <c r="U19" s="775">
        <f>H19</f>
        <v>100</v>
      </c>
      <c r="V19" s="774" t="s">
        <v>17</v>
      </c>
      <c r="W19" s="775">
        <f>J19</f>
        <v>100</v>
      </c>
      <c r="X19" s="1812"/>
      <c r="Y19" s="3265"/>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1"/>
      <c r="P20" s="3309"/>
      <c r="Q20" s="1809"/>
      <c r="R20" s="774"/>
      <c r="S20" s="775"/>
      <c r="T20" s="774"/>
      <c r="U20" s="775"/>
      <c r="V20" s="774"/>
      <c r="W20" s="775"/>
      <c r="X20" s="1812"/>
      <c r="Y20" s="3265"/>
      <c r="Z20" s="1813"/>
      <c r="AA20" s="1810">
        <v>1</v>
      </c>
      <c r="AB20" s="1810">
        <v>1</v>
      </c>
      <c r="AC20" s="1810">
        <v>1</v>
      </c>
    </row>
    <row r="21" spans="1:29" ht="27.6">
      <c r="A21" s="428"/>
      <c r="B21" s="1384" t="s">
        <v>2652</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09"/>
      <c r="Q21" s="1809" t="str">
        <f>B21</f>
        <v>基础设施水平</v>
      </c>
      <c r="R21" s="774" t="s">
        <v>17</v>
      </c>
      <c r="S21" s="775">
        <f>F21</f>
        <v>100</v>
      </c>
      <c r="T21" s="774" t="s">
        <v>17</v>
      </c>
      <c r="U21" s="775">
        <f>H21</f>
        <v>100</v>
      </c>
      <c r="V21" s="774" t="s">
        <v>17</v>
      </c>
      <c r="W21" s="775">
        <f>J21</f>
        <v>100</v>
      </c>
      <c r="X21" s="1812"/>
      <c r="Y21" s="3265"/>
      <c r="Z21" s="1813" t="str">
        <f>Q21</f>
        <v>基础设施水平</v>
      </c>
      <c r="AA21" s="1810">
        <f t="shared" ref="AA21" si="8">D21/F21</f>
        <v>1</v>
      </c>
      <c r="AB21" s="1810">
        <f t="shared" ref="AB21" si="9">D21/H21</f>
        <v>1</v>
      </c>
      <c r="AC21" s="1810">
        <f t="shared" ref="AC21" si="10">D21/J21</f>
        <v>1</v>
      </c>
    </row>
    <row r="22" spans="1:29" ht="15">
      <c r="A22" s="428"/>
      <c r="B22" s="1384"/>
      <c r="C22" s="2609"/>
      <c r="D22" s="448"/>
      <c r="E22" s="447"/>
      <c r="F22" s="449"/>
      <c r="G22" s="447"/>
      <c r="H22" s="448"/>
      <c r="I22" s="447"/>
      <c r="J22" s="448"/>
      <c r="K22" s="1383"/>
      <c r="L22" s="1140"/>
      <c r="M22" s="1131"/>
      <c r="N22" s="1131"/>
      <c r="O22" s="1131"/>
      <c r="P22" s="3309"/>
      <c r="Q22" s="1809"/>
      <c r="R22" s="774"/>
      <c r="S22" s="775"/>
      <c r="T22" s="774"/>
      <c r="U22" s="775"/>
      <c r="V22" s="774"/>
      <c r="W22" s="775"/>
      <c r="X22" s="1812"/>
      <c r="Y22" s="3265"/>
      <c r="Z22" s="1813"/>
      <c r="AA22" s="1810">
        <v>1</v>
      </c>
      <c r="AB22" s="1810">
        <v>1</v>
      </c>
      <c r="AC22" s="1810">
        <v>1</v>
      </c>
    </row>
    <row r="23" spans="1:29" ht="55.2">
      <c r="A23" s="428"/>
      <c r="B23" s="451" t="s">
        <v>2097</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09"/>
      <c r="Q23" s="1809" t="str">
        <f>B23</f>
        <v>自然及人文环境</v>
      </c>
      <c r="R23" s="774" t="s">
        <v>17</v>
      </c>
      <c r="S23" s="775">
        <f>F23</f>
        <v>100</v>
      </c>
      <c r="T23" s="774" t="s">
        <v>17</v>
      </c>
      <c r="U23" s="775">
        <f>H23</f>
        <v>100</v>
      </c>
      <c r="V23" s="774" t="s">
        <v>17</v>
      </c>
      <c r="W23" s="775">
        <f>J23</f>
        <v>100</v>
      </c>
      <c r="X23" s="1812"/>
      <c r="Y23" s="3265"/>
      <c r="Z23" s="1813" t="str">
        <f>Q23</f>
        <v>自然及人文环境</v>
      </c>
      <c r="AA23" s="1810">
        <f t="shared" si="3"/>
        <v>1</v>
      </c>
      <c r="AB23" s="1810">
        <f t="shared" si="4"/>
        <v>1</v>
      </c>
      <c r="AC23" s="1810">
        <f t="shared" si="5"/>
        <v>1</v>
      </c>
    </row>
    <row r="24" spans="1:29" ht="15">
      <c r="A24" s="428"/>
      <c r="B24" s="456"/>
      <c r="C24" s="447"/>
      <c r="D24" s="448"/>
      <c r="E24" s="2606"/>
      <c r="F24" s="449"/>
      <c r="G24" s="2605"/>
      <c r="H24" s="448"/>
      <c r="I24" s="2606"/>
      <c r="J24" s="448"/>
      <c r="K24" s="615"/>
      <c r="L24" s="1140"/>
      <c r="M24" s="1131"/>
      <c r="N24" s="1131"/>
      <c r="O24" s="1131"/>
      <c r="P24" s="3309"/>
      <c r="Q24" s="1809"/>
      <c r="R24" s="774"/>
      <c r="S24" s="775"/>
      <c r="T24" s="774"/>
      <c r="U24" s="775"/>
      <c r="V24" s="774"/>
      <c r="W24" s="775"/>
      <c r="X24" s="1812"/>
      <c r="Y24" s="3265"/>
      <c r="Z24" s="1813"/>
      <c r="AA24" s="1810">
        <v>1</v>
      </c>
      <c r="AB24" s="1810">
        <v>1</v>
      </c>
      <c r="AC24" s="1810">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09"/>
      <c r="Q25" s="1809" t="str">
        <f t="shared" ref="Q25:Q46" si="11">B25</f>
        <v>临街状况</v>
      </c>
      <c r="R25" s="774" t="s">
        <v>17</v>
      </c>
      <c r="S25" s="775">
        <f>F25</f>
        <v>100</v>
      </c>
      <c r="T25" s="774" t="s">
        <v>17</v>
      </c>
      <c r="U25" s="775">
        <f>H25</f>
        <v>100</v>
      </c>
      <c r="V25" s="774" t="s">
        <v>17</v>
      </c>
      <c r="W25" s="775">
        <f>J25</f>
        <v>100</v>
      </c>
      <c r="X25" s="1812"/>
      <c r="Y25" s="3265"/>
      <c r="Z25" s="1813" t="str">
        <f>Q25</f>
        <v>临街状况</v>
      </c>
      <c r="AA25" s="1810">
        <f t="shared" si="3"/>
        <v>1</v>
      </c>
      <c r="AB25" s="1810">
        <f t="shared" si="4"/>
        <v>1</v>
      </c>
      <c r="AC25" s="1810">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09"/>
      <c r="Q26" s="1809" t="str">
        <f t="shared" si="11"/>
        <v>平面位置/可视性</v>
      </c>
      <c r="R26" s="774" t="s">
        <v>17</v>
      </c>
      <c r="S26" s="775">
        <f>F26</f>
        <v>100</v>
      </c>
      <c r="T26" s="774" t="s">
        <v>17</v>
      </c>
      <c r="U26" s="775">
        <f>H26</f>
        <v>100</v>
      </c>
      <c r="V26" s="774" t="s">
        <v>17</v>
      </c>
      <c r="W26" s="775">
        <f>J26</f>
        <v>100</v>
      </c>
      <c r="X26" s="1812"/>
      <c r="Y26" s="3265"/>
      <c r="Z26" s="1813" t="str">
        <f>Q26</f>
        <v>平面位置/可视性</v>
      </c>
      <c r="AA26" s="1810">
        <f t="shared" si="3"/>
        <v>1</v>
      </c>
      <c r="AB26" s="1810">
        <f t="shared" si="4"/>
        <v>1</v>
      </c>
      <c r="AC26" s="1810">
        <f t="shared" si="5"/>
        <v>1</v>
      </c>
    </row>
    <row r="27" spans="1:29" s="117" customFormat="1" ht="15">
      <c r="A27" s="431"/>
      <c r="B27" s="451" t="s">
        <v>2655</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309"/>
      <c r="Q27" s="1794" t="str">
        <f t="shared" si="11"/>
        <v>人流量</v>
      </c>
      <c r="R27" s="770" t="s">
        <v>17</v>
      </c>
      <c r="S27" s="771">
        <f>F27</f>
        <v>100</v>
      </c>
      <c r="T27" s="770" t="s">
        <v>17</v>
      </c>
      <c r="U27" s="771">
        <f>H27</f>
        <v>100</v>
      </c>
      <c r="V27" s="770" t="s">
        <v>17</v>
      </c>
      <c r="W27" s="771">
        <f>J27</f>
        <v>100</v>
      </c>
      <c r="X27" s="772"/>
      <c r="Y27" s="3265"/>
      <c r="Z27" s="55" t="str">
        <f>Q27</f>
        <v>人流量</v>
      </c>
      <c r="AA27" s="1810">
        <f>D27/F27</f>
        <v>1</v>
      </c>
      <c r="AB27" s="1810">
        <f>D27/H27</f>
        <v>1</v>
      </c>
      <c r="AC27" s="1810">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09"/>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65"/>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09"/>
      <c r="Q29" s="1809">
        <f t="shared" si="11"/>
        <v>111</v>
      </c>
      <c r="R29" s="774" t="s">
        <v>17</v>
      </c>
      <c r="S29" s="775">
        <f t="shared" si="12"/>
        <v>100</v>
      </c>
      <c r="T29" s="774" t="s">
        <v>17</v>
      </c>
      <c r="U29" s="775">
        <f t="shared" si="13"/>
        <v>100</v>
      </c>
      <c r="V29" s="774" t="s">
        <v>17</v>
      </c>
      <c r="W29" s="775">
        <f t="shared" si="14"/>
        <v>100</v>
      </c>
      <c r="X29" s="1812"/>
      <c r="Y29" s="3265"/>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09"/>
      <c r="Q30" s="1809">
        <f t="shared" si="11"/>
        <v>111</v>
      </c>
      <c r="R30" s="774" t="s">
        <v>17</v>
      </c>
      <c r="S30" s="775">
        <f t="shared" si="12"/>
        <v>100</v>
      </c>
      <c r="T30" s="774" t="s">
        <v>17</v>
      </c>
      <c r="U30" s="775">
        <f t="shared" si="13"/>
        <v>100</v>
      </c>
      <c r="V30" s="774" t="s">
        <v>17</v>
      </c>
      <c r="W30" s="775">
        <f t="shared" si="14"/>
        <v>100</v>
      </c>
      <c r="X30" s="1812"/>
      <c r="Y30" s="3265"/>
      <c r="Z30" s="1813">
        <f t="shared" si="15"/>
        <v>111</v>
      </c>
      <c r="AA30" s="1810">
        <f t="shared" si="3"/>
        <v>1</v>
      </c>
      <c r="AB30" s="1810">
        <f t="shared" si="4"/>
        <v>1</v>
      </c>
      <c r="AC30" s="1810">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09"/>
      <c r="Q31" s="1809">
        <f t="shared" si="11"/>
        <v>111</v>
      </c>
      <c r="R31" s="774" t="s">
        <v>17</v>
      </c>
      <c r="S31" s="775">
        <f t="shared" si="12"/>
        <v>100</v>
      </c>
      <c r="T31" s="774" t="s">
        <v>17</v>
      </c>
      <c r="U31" s="775">
        <f t="shared" si="13"/>
        <v>100</v>
      </c>
      <c r="V31" s="774" t="s">
        <v>17</v>
      </c>
      <c r="W31" s="775">
        <f t="shared" si="14"/>
        <v>100</v>
      </c>
      <c r="X31" s="1812"/>
      <c r="Y31" s="3265"/>
      <c r="Z31" s="1813">
        <f t="shared" si="15"/>
        <v>111</v>
      </c>
      <c r="AA31" s="1810">
        <f t="shared" si="3"/>
        <v>1</v>
      </c>
      <c r="AB31" s="1810">
        <f t="shared" si="4"/>
        <v>1</v>
      </c>
      <c r="AC31" s="1810">
        <f t="shared" si="5"/>
        <v>1</v>
      </c>
    </row>
    <row r="32" spans="1:29" ht="15">
      <c r="A32" s="440" t="s">
        <v>2560</v>
      </c>
      <c r="B32" s="71" t="s">
        <v>2657</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304" t="s">
        <v>2562</v>
      </c>
      <c r="Q32" s="1809" t="str">
        <f t="shared" si="11"/>
        <v>商业类型</v>
      </c>
      <c r="R32" s="774" t="s">
        <v>17</v>
      </c>
      <c r="S32" s="775">
        <f t="shared" si="12"/>
        <v>100</v>
      </c>
      <c r="T32" s="774" t="s">
        <v>17</v>
      </c>
      <c r="U32" s="775">
        <f t="shared" si="13"/>
        <v>100</v>
      </c>
      <c r="V32" s="774" t="s">
        <v>17</v>
      </c>
      <c r="W32" s="775">
        <f t="shared" si="14"/>
        <v>100</v>
      </c>
      <c r="X32" s="1812"/>
      <c r="Y32" s="3267" t="s">
        <v>2562</v>
      </c>
      <c r="Z32" s="1813" t="str">
        <f t="shared" si="15"/>
        <v>商业类型</v>
      </c>
      <c r="AA32" s="1810">
        <f t="shared" si="3"/>
        <v>1</v>
      </c>
      <c r="AB32" s="1810">
        <f t="shared" si="4"/>
        <v>1</v>
      </c>
      <c r="AC32" s="1810">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05"/>
      <c r="Q33" s="776" t="str">
        <f t="shared" si="11"/>
        <v>项目建筑规模</v>
      </c>
      <c r="R33" s="777" t="s">
        <v>17</v>
      </c>
      <c r="S33" s="778" t="e">
        <f t="shared" si="12"/>
        <v>#N/A</v>
      </c>
      <c r="T33" s="777" t="s">
        <v>17</v>
      </c>
      <c r="U33" s="778" t="e">
        <f t="shared" si="13"/>
        <v>#N/A</v>
      </c>
      <c r="V33" s="777" t="s">
        <v>17</v>
      </c>
      <c r="W33" s="778" t="e">
        <f t="shared" si="14"/>
        <v>#N/A</v>
      </c>
      <c r="X33" s="779"/>
      <c r="Y33" s="3267"/>
      <c r="Z33" s="780" t="str">
        <f t="shared" si="15"/>
        <v>项目建筑规模</v>
      </c>
      <c r="AA33" s="1810" t="e">
        <f t="shared" si="3"/>
        <v>#N/A</v>
      </c>
      <c r="AB33" s="1810" t="e">
        <f t="shared" si="4"/>
        <v>#N/A</v>
      </c>
      <c r="AC33" s="1810" t="e">
        <f t="shared" si="5"/>
        <v>#N/A</v>
      </c>
    </row>
    <row r="34" spans="1:29" ht="15">
      <c r="A34" s="472"/>
      <c r="B34" s="422" t="s">
        <v>2564</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305"/>
      <c r="Q34" s="1809" t="str">
        <f t="shared" si="11"/>
        <v>建筑结构</v>
      </c>
      <c r="R34" s="774" t="s">
        <v>17</v>
      </c>
      <c r="S34" s="775">
        <f t="shared" si="12"/>
        <v>100</v>
      </c>
      <c r="T34" s="774" t="s">
        <v>17</v>
      </c>
      <c r="U34" s="775">
        <f t="shared" si="13"/>
        <v>100</v>
      </c>
      <c r="V34" s="774" t="s">
        <v>17</v>
      </c>
      <c r="W34" s="775">
        <f t="shared" si="14"/>
        <v>100</v>
      </c>
      <c r="X34" s="1812"/>
      <c r="Y34" s="3267"/>
      <c r="Z34" s="1813" t="str">
        <f t="shared" si="15"/>
        <v>建筑结构</v>
      </c>
      <c r="AA34" s="1810">
        <f t="shared" si="3"/>
        <v>1</v>
      </c>
      <c r="AB34" s="1810">
        <f t="shared" si="4"/>
        <v>1</v>
      </c>
      <c r="AC34" s="1810">
        <f t="shared" si="5"/>
        <v>1</v>
      </c>
    </row>
    <row r="35" spans="1:29" ht="15">
      <c r="A35" s="472"/>
      <c r="B35" s="422" t="s">
        <v>2658</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305"/>
      <c r="Q35" s="1809" t="str">
        <f t="shared" si="11"/>
        <v>公共部分装修</v>
      </c>
      <c r="R35" s="774" t="s">
        <v>17</v>
      </c>
      <c r="S35" s="775">
        <f t="shared" si="12"/>
        <v>100</v>
      </c>
      <c r="T35" s="774" t="s">
        <v>17</v>
      </c>
      <c r="U35" s="775">
        <f t="shared" si="13"/>
        <v>100</v>
      </c>
      <c r="V35" s="774" t="s">
        <v>17</v>
      </c>
      <c r="W35" s="775">
        <f t="shared" si="14"/>
        <v>100</v>
      </c>
      <c r="X35" s="1812"/>
      <c r="Y35" s="3267"/>
      <c r="Z35" s="1813" t="str">
        <f t="shared" si="15"/>
        <v>公共部分装修</v>
      </c>
      <c r="AA35" s="1810">
        <f t="shared" si="3"/>
        <v>1</v>
      </c>
      <c r="AB35" s="1810">
        <f t="shared" si="4"/>
        <v>1</v>
      </c>
      <c r="AC35" s="1810">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05"/>
      <c r="Q36" s="1809" t="str">
        <f t="shared" si="11"/>
        <v>成新度</v>
      </c>
      <c r="R36" s="774" t="s">
        <v>17</v>
      </c>
      <c r="S36" s="775" t="e">
        <f t="shared" si="12"/>
        <v>#N/A</v>
      </c>
      <c r="T36" s="774" t="s">
        <v>17</v>
      </c>
      <c r="U36" s="775" t="e">
        <f t="shared" si="13"/>
        <v>#N/A</v>
      </c>
      <c r="V36" s="774" t="s">
        <v>17</v>
      </c>
      <c r="W36" s="775" t="e">
        <f t="shared" si="14"/>
        <v>#N/A</v>
      </c>
      <c r="X36" s="1812"/>
      <c r="Y36" s="3267"/>
      <c r="Z36" s="1813" t="str">
        <f t="shared" si="15"/>
        <v>成新度</v>
      </c>
      <c r="AA36" s="1810" t="e">
        <f t="shared" si="3"/>
        <v>#N/A</v>
      </c>
      <c r="AB36" s="1810" t="e">
        <f t="shared" si="4"/>
        <v>#N/A</v>
      </c>
      <c r="AC36" s="1810" t="e">
        <f t="shared" si="5"/>
        <v>#N/A</v>
      </c>
    </row>
    <row r="37" spans="1:29" s="117" customFormat="1" ht="15">
      <c r="A37" s="473"/>
      <c r="B37" s="422" t="s">
        <v>2660</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305"/>
      <c r="Q37" s="1794" t="str">
        <f t="shared" si="11"/>
        <v>市政基础设施</v>
      </c>
      <c r="R37" s="770" t="s">
        <v>17</v>
      </c>
      <c r="S37" s="771">
        <f t="shared" si="12"/>
        <v>100</v>
      </c>
      <c r="T37" s="770" t="s">
        <v>17</v>
      </c>
      <c r="U37" s="771">
        <f t="shared" si="13"/>
        <v>100</v>
      </c>
      <c r="V37" s="770" t="s">
        <v>17</v>
      </c>
      <c r="W37" s="771">
        <f t="shared" si="14"/>
        <v>100</v>
      </c>
      <c r="X37" s="772"/>
      <c r="Y37" s="3267"/>
      <c r="Z37" s="55" t="str">
        <f t="shared" si="15"/>
        <v>市政基础设施</v>
      </c>
      <c r="AA37" s="773">
        <f t="shared" si="3"/>
        <v>1</v>
      </c>
      <c r="AB37" s="773">
        <f t="shared" si="4"/>
        <v>1</v>
      </c>
      <c r="AC37" s="773">
        <f t="shared" si="5"/>
        <v>1</v>
      </c>
    </row>
    <row r="38" spans="1:29" ht="15">
      <c r="A38" s="472"/>
      <c r="B38" s="422" t="s">
        <v>2661</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305" t="s">
        <v>2562</v>
      </c>
      <c r="Q38" s="1809" t="str">
        <f t="shared" si="11"/>
        <v>业态</v>
      </c>
      <c r="R38" s="774" t="s">
        <v>17</v>
      </c>
      <c r="S38" s="775">
        <f t="shared" si="12"/>
        <v>100</v>
      </c>
      <c r="T38" s="774" t="s">
        <v>17</v>
      </c>
      <c r="U38" s="775">
        <f t="shared" si="13"/>
        <v>100</v>
      </c>
      <c r="V38" s="774" t="s">
        <v>17</v>
      </c>
      <c r="W38" s="775">
        <f t="shared" si="14"/>
        <v>100</v>
      </c>
      <c r="X38" s="1812"/>
      <c r="Y38" s="3267" t="s">
        <v>2562</v>
      </c>
      <c r="Z38" s="1813" t="str">
        <f t="shared" si="15"/>
        <v>业态</v>
      </c>
      <c r="AA38" s="1810">
        <f t="shared" si="3"/>
        <v>1</v>
      </c>
      <c r="AB38" s="1810">
        <f t="shared" si="4"/>
        <v>1</v>
      </c>
      <c r="AC38" s="1810">
        <f t="shared" si="5"/>
        <v>1</v>
      </c>
    </row>
    <row r="39" spans="1:29" ht="15">
      <c r="A39" s="472"/>
      <c r="B39" s="422" t="s">
        <v>2662</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305"/>
      <c r="Q39" s="1809" t="str">
        <f t="shared" si="11"/>
        <v>层高</v>
      </c>
      <c r="R39" s="774" t="s">
        <v>17</v>
      </c>
      <c r="S39" s="775">
        <f t="shared" si="12"/>
        <v>100</v>
      </c>
      <c r="T39" s="774" t="s">
        <v>17</v>
      </c>
      <c r="U39" s="775">
        <f t="shared" si="13"/>
        <v>100</v>
      </c>
      <c r="V39" s="774" t="s">
        <v>17</v>
      </c>
      <c r="W39" s="775">
        <f t="shared" si="14"/>
        <v>100</v>
      </c>
      <c r="X39" s="1812"/>
      <c r="Y39" s="3267"/>
      <c r="Z39" s="1813" t="str">
        <f t="shared" si="15"/>
        <v>层高</v>
      </c>
      <c r="AA39" s="1810">
        <f t="shared" si="3"/>
        <v>1</v>
      </c>
      <c r="AB39" s="1810">
        <f t="shared" si="4"/>
        <v>1</v>
      </c>
      <c r="AC39" s="1810">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05"/>
      <c r="Q40" s="1809" t="str">
        <f t="shared" si="11"/>
        <v>单套建筑面积</v>
      </c>
      <c r="R40" s="774" t="s">
        <v>17</v>
      </c>
      <c r="S40" s="775">
        <f t="shared" si="12"/>
        <v>100</v>
      </c>
      <c r="T40" s="774" t="s">
        <v>17</v>
      </c>
      <c r="U40" s="775">
        <f t="shared" si="13"/>
        <v>100</v>
      </c>
      <c r="V40" s="774" t="s">
        <v>17</v>
      </c>
      <c r="W40" s="775">
        <f t="shared" si="14"/>
        <v>100</v>
      </c>
      <c r="X40" s="1812"/>
      <c r="Y40" s="3267"/>
      <c r="Z40" s="1813" t="str">
        <f t="shared" si="15"/>
        <v>单套建筑面积</v>
      </c>
      <c r="AA40" s="1810">
        <f t="shared" si="3"/>
        <v>1</v>
      </c>
      <c r="AB40" s="1810">
        <f t="shared" si="4"/>
        <v>1</v>
      </c>
      <c r="AC40" s="1810">
        <f t="shared" si="5"/>
        <v>1</v>
      </c>
    </row>
    <row r="41" spans="1:29" s="471" customFormat="1" ht="15">
      <c r="A41" s="468"/>
      <c r="B41" s="1811"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05"/>
      <c r="Q41" s="776" t="str">
        <f t="shared" si="11"/>
        <v>进深比</v>
      </c>
      <c r="R41" s="777" t="s">
        <v>17</v>
      </c>
      <c r="S41" s="778">
        <f t="shared" si="12"/>
        <v>100</v>
      </c>
      <c r="T41" s="777" t="s">
        <v>17</v>
      </c>
      <c r="U41" s="778">
        <f t="shared" si="13"/>
        <v>100</v>
      </c>
      <c r="V41" s="777" t="s">
        <v>17</v>
      </c>
      <c r="W41" s="778">
        <f t="shared" si="14"/>
        <v>100</v>
      </c>
      <c r="X41" s="779"/>
      <c r="Y41" s="3267"/>
      <c r="Z41" s="780" t="str">
        <f t="shared" si="15"/>
        <v>进深比</v>
      </c>
      <c r="AA41" s="1810">
        <f t="shared" si="3"/>
        <v>1</v>
      </c>
      <c r="AB41" s="1810">
        <f t="shared" si="4"/>
        <v>1</v>
      </c>
      <c r="AC41" s="1810">
        <f t="shared" si="5"/>
        <v>1</v>
      </c>
    </row>
    <row r="42" spans="1:29" ht="15">
      <c r="A42" s="472"/>
      <c r="B42" s="422" t="s">
        <v>2665</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305"/>
      <c r="Q42" s="1809" t="str">
        <f t="shared" si="11"/>
        <v>内部装修</v>
      </c>
      <c r="R42" s="774" t="s">
        <v>17</v>
      </c>
      <c r="S42" s="775">
        <f t="shared" si="12"/>
        <v>100</v>
      </c>
      <c r="T42" s="774" t="s">
        <v>17</v>
      </c>
      <c r="U42" s="775">
        <f t="shared" si="13"/>
        <v>100</v>
      </c>
      <c r="V42" s="774" t="s">
        <v>17</v>
      </c>
      <c r="W42" s="775">
        <f t="shared" si="14"/>
        <v>100</v>
      </c>
      <c r="X42" s="1812"/>
      <c r="Y42" s="3267"/>
      <c r="Z42" s="1813" t="str">
        <f t="shared" si="15"/>
        <v>内部装修</v>
      </c>
      <c r="AA42" s="1810">
        <f t="shared" si="3"/>
        <v>1</v>
      </c>
      <c r="AB42" s="1810">
        <f t="shared" si="4"/>
        <v>1</v>
      </c>
      <c r="AC42" s="1810">
        <f t="shared" si="5"/>
        <v>1</v>
      </c>
    </row>
    <row r="43" spans="1:29" ht="28.8">
      <c r="A43" s="472"/>
      <c r="B43" s="422" t="s">
        <v>2573</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305"/>
      <c r="Q43" s="1809" t="str">
        <f t="shared" si="11"/>
        <v>内部装修维护情况</v>
      </c>
      <c r="R43" s="774" t="s">
        <v>17</v>
      </c>
      <c r="S43" s="775">
        <f t="shared" si="12"/>
        <v>100</v>
      </c>
      <c r="T43" s="774" t="s">
        <v>17</v>
      </c>
      <c r="U43" s="775">
        <f t="shared" si="13"/>
        <v>100</v>
      </c>
      <c r="V43" s="774" t="s">
        <v>17</v>
      </c>
      <c r="W43" s="775">
        <f t="shared" si="14"/>
        <v>100</v>
      </c>
      <c r="X43" s="1812"/>
      <c r="Y43" s="3267"/>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05"/>
      <c r="Q44" s="1794">
        <f t="shared" si="11"/>
        <v>111</v>
      </c>
      <c r="R44" s="770" t="s">
        <v>17</v>
      </c>
      <c r="S44" s="771">
        <f t="shared" si="12"/>
        <v>100</v>
      </c>
      <c r="T44" s="770" t="s">
        <v>17</v>
      </c>
      <c r="U44" s="771">
        <f t="shared" si="13"/>
        <v>100</v>
      </c>
      <c r="V44" s="770" t="s">
        <v>17</v>
      </c>
      <c r="W44" s="771">
        <f t="shared" si="14"/>
        <v>100</v>
      </c>
      <c r="X44" s="772"/>
      <c r="Y44" s="326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05"/>
      <c r="Q45" s="1809">
        <f t="shared" si="11"/>
        <v>111</v>
      </c>
      <c r="R45" s="774" t="s">
        <v>17</v>
      </c>
      <c r="S45" s="775">
        <f t="shared" si="12"/>
        <v>100</v>
      </c>
      <c r="T45" s="774" t="s">
        <v>17</v>
      </c>
      <c r="U45" s="775">
        <f t="shared" si="13"/>
        <v>100</v>
      </c>
      <c r="V45" s="774" t="s">
        <v>17</v>
      </c>
      <c r="W45" s="775">
        <f t="shared" si="14"/>
        <v>100</v>
      </c>
      <c r="X45" s="1812"/>
      <c r="Y45" s="3267"/>
      <c r="Z45" s="1813">
        <f t="shared" si="15"/>
        <v>111</v>
      </c>
      <c r="AA45" s="1810">
        <f t="shared" si="3"/>
        <v>1</v>
      </c>
      <c r="AB45" s="1810">
        <f t="shared" si="4"/>
        <v>1</v>
      </c>
      <c r="AC45" s="1810">
        <f t="shared" si="5"/>
        <v>1</v>
      </c>
    </row>
    <row r="46" spans="1:29" ht="15.6"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06"/>
      <c r="Q46" s="1809">
        <f t="shared" si="11"/>
        <v>111</v>
      </c>
      <c r="R46" s="774" t="s">
        <v>17</v>
      </c>
      <c r="S46" s="775">
        <f t="shared" si="12"/>
        <v>100</v>
      </c>
      <c r="T46" s="774" t="s">
        <v>17</v>
      </c>
      <c r="U46" s="775">
        <f t="shared" si="13"/>
        <v>100</v>
      </c>
      <c r="V46" s="774" t="s">
        <v>17</v>
      </c>
      <c r="W46" s="775">
        <f t="shared" si="14"/>
        <v>100</v>
      </c>
      <c r="X46" s="1812"/>
      <c r="Y46" s="3307"/>
      <c r="Z46" s="1813">
        <f t="shared" si="15"/>
        <v>111</v>
      </c>
      <c r="AA46" s="1810">
        <f t="shared" si="3"/>
        <v>1</v>
      </c>
      <c r="AB46" s="1810">
        <f t="shared" si="4"/>
        <v>1</v>
      </c>
      <c r="AC46" s="1810">
        <f t="shared" si="5"/>
        <v>1</v>
      </c>
    </row>
    <row r="47" spans="1:29" ht="14.4">
      <c r="A47" s="479" t="s">
        <v>2574</v>
      </c>
      <c r="B47" s="480"/>
      <c r="C47" s="1407" t="s">
        <v>1</v>
      </c>
      <c r="D47" s="1408"/>
      <c r="E47" s="1409"/>
      <c r="F47" s="1410"/>
      <c r="G47" s="1411"/>
      <c r="H47" s="1412"/>
      <c r="I47" s="1409"/>
      <c r="J47" s="1412"/>
      <c r="K47" s="783"/>
      <c r="L47" s="1143"/>
      <c r="M47" s="1144"/>
      <c r="N47" s="1131"/>
      <c r="O47" s="1144"/>
      <c r="P47" s="3249" t="str">
        <f>A47</f>
        <v>成交单价（元/平方米）</v>
      </c>
      <c r="Q47" s="3249"/>
      <c r="R47" s="3262">
        <f>E47</f>
        <v>0</v>
      </c>
      <c r="S47" s="3262"/>
      <c r="T47" s="3262">
        <f>G47</f>
        <v>0</v>
      </c>
      <c r="U47" s="3262"/>
      <c r="V47" s="3262">
        <f>I47</f>
        <v>0</v>
      </c>
      <c r="W47" s="3262"/>
      <c r="X47" s="759"/>
      <c r="Y47" s="781"/>
      <c r="Z47" s="759"/>
      <c r="AA47" s="759"/>
      <c r="AB47" s="759"/>
      <c r="AC47" s="759"/>
    </row>
    <row r="48" spans="1:29" ht="1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249" t="str">
        <f>A48</f>
        <v>比较价值（元/平方米）</v>
      </c>
      <c r="Q48" s="3249"/>
      <c r="R48" s="3303" t="e">
        <f>IF(F1="售价",ROUND(PRODUCT(R47,AA7:AA46),0),ROUND(PRODUCT(R47,AA7:AA46),1))</f>
        <v>#DIV/0!</v>
      </c>
      <c r="S48" s="3303"/>
      <c r="T48" s="3303" t="e">
        <f>IF(F1="售价",ROUND(PRODUCT(T47,AB7:AB46),0),ROUND(PRODUCT(T47,AB7:AB46),1))</f>
        <v>#DIV/0!</v>
      </c>
      <c r="U48" s="3303"/>
      <c r="V48" s="3303" t="e">
        <f>IF(F1="售价",ROUND(PRODUCT(V47,AC7:AC46),0),ROUND(PRODUCT(V47,AC7:AC46),1))</f>
        <v>#DIV/0!</v>
      </c>
      <c r="W48" s="3303"/>
      <c r="X48" s="759"/>
      <c r="Y48" s="759"/>
      <c r="Z48" s="759"/>
      <c r="AA48" s="759"/>
      <c r="AB48" s="759"/>
      <c r="AC48" s="759"/>
    </row>
    <row r="49" spans="1:29" ht="15" thickBot="1">
      <c r="A49" s="492" t="s">
        <v>2667</v>
      </c>
      <c r="B49" s="493"/>
      <c r="C49" s="1417" t="e">
        <f>R49</f>
        <v>#DIV/0!</v>
      </c>
      <c r="D49" s="1417"/>
      <c r="E49" s="1417"/>
      <c r="F49" s="1417"/>
      <c r="G49" s="1417"/>
      <c r="H49" s="1417"/>
      <c r="I49" s="1417"/>
      <c r="J49" s="1417"/>
      <c r="K49" s="785"/>
      <c r="L49" s="1143"/>
      <c r="M49" s="1144"/>
      <c r="N49" s="1131"/>
      <c r="O49" s="1144"/>
      <c r="P49" s="3269" t="str">
        <f>A49</f>
        <v>估价对象XX用房的比较价值（楼面单价，元/平方米）</v>
      </c>
      <c r="Q49" s="3270"/>
      <c r="R49" s="3302" t="e">
        <f>IF(F1="售价",ROUND(AVERAGE(R48:V48),0),ROUND(AVERAGE(R48:V48),1))</f>
        <v>#DIV/0!</v>
      </c>
      <c r="S49" s="3302"/>
      <c r="T49" s="3302"/>
      <c r="U49" s="3302"/>
      <c r="V49" s="3302"/>
      <c r="W49" s="330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2671</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4.4">
      <c r="A58" s="505" t="s">
        <v>2545</v>
      </c>
      <c r="B58" s="506"/>
      <c r="C58" s="1573" t="str">
        <f>YEAR(C7)&amp;"-"&amp;MONTH(C7)</f>
        <v>2020-3</v>
      </c>
      <c r="D58" s="1574">
        <f>EDATE(C58,-1)</f>
        <v>43862</v>
      </c>
      <c r="E58" s="1574">
        <f t="shared" ref="E58:N58" si="16">EDATE(D58,-1)</f>
        <v>43831</v>
      </c>
      <c r="F58" s="1574">
        <f t="shared" si="16"/>
        <v>43800</v>
      </c>
      <c r="G58" s="1574">
        <f t="shared" si="16"/>
        <v>43770</v>
      </c>
      <c r="H58" s="1574">
        <f t="shared" si="16"/>
        <v>43739</v>
      </c>
      <c r="I58" s="1574">
        <f t="shared" si="16"/>
        <v>43709</v>
      </c>
      <c r="J58" s="1574">
        <f t="shared" si="16"/>
        <v>43678</v>
      </c>
      <c r="K58" s="1574">
        <f t="shared" si="16"/>
        <v>43647</v>
      </c>
      <c r="L58" s="1574">
        <f t="shared" si="16"/>
        <v>43617</v>
      </c>
      <c r="M58" s="1574">
        <f t="shared" si="16"/>
        <v>43586</v>
      </c>
      <c r="N58" s="1574">
        <f t="shared" si="16"/>
        <v>43556</v>
      </c>
      <c r="O58" s="1574">
        <f>EDATE(N58,-1)</f>
        <v>43525</v>
      </c>
      <c r="P58" s="1569"/>
    </row>
    <row r="59" spans="1:29" s="117" customFormat="1">
      <c r="A59" s="509"/>
      <c r="B59" s="510"/>
      <c r="C59" s="1572">
        <v>100</v>
      </c>
      <c r="D59" s="512"/>
      <c r="E59" s="512"/>
      <c r="F59" s="512"/>
      <c r="G59" s="512"/>
      <c r="H59" s="512"/>
      <c r="I59" s="512"/>
      <c r="J59" s="512"/>
      <c r="K59" s="512"/>
      <c r="L59" s="512"/>
      <c r="M59" s="513"/>
      <c r="N59" s="512"/>
      <c r="O59" s="513"/>
      <c r="P59" s="2629"/>
    </row>
    <row r="60" spans="1:29" s="117" customFormat="1" ht="15" thickBot="1">
      <c r="A60" s="515" t="s">
        <v>2582</v>
      </c>
      <c r="B60" s="516"/>
      <c r="C60" s="517"/>
      <c r="D60" s="518"/>
      <c r="E60" s="518"/>
      <c r="F60" s="518"/>
      <c r="G60" s="518"/>
      <c r="H60" s="518"/>
      <c r="I60" s="518"/>
      <c r="J60" s="518"/>
      <c r="K60" s="518"/>
      <c r="L60" s="518"/>
      <c r="M60" s="519"/>
      <c r="N60" s="518"/>
      <c r="O60" s="519"/>
      <c r="P60" s="2629"/>
      <c r="Q60" s="504"/>
    </row>
    <row r="61" spans="1:29" s="117" customFormat="1" ht="14.4">
      <c r="A61" s="521" t="s">
        <v>2547</v>
      </c>
      <c r="B61" s="510"/>
      <c r="C61" s="522" t="s">
        <v>2649</v>
      </c>
      <c r="D61" s="523"/>
      <c r="E61" s="523"/>
      <c r="F61" s="523"/>
      <c r="G61" s="523"/>
      <c r="H61" s="523"/>
      <c r="I61" s="523"/>
      <c r="J61" s="523"/>
      <c r="K61" s="523"/>
      <c r="L61" s="524"/>
      <c r="M61" s="525"/>
      <c r="N61" s="1151"/>
      <c r="O61" s="1151"/>
      <c r="P61" s="2630"/>
      <c r="Q61" s="504"/>
    </row>
    <row r="62" spans="1:29" s="117" customFormat="1" ht="14.4" thickBot="1">
      <c r="A62" s="521"/>
      <c r="B62" s="510"/>
      <c r="C62" s="511">
        <v>100</v>
      </c>
      <c r="D62" s="512"/>
      <c r="E62" s="512"/>
      <c r="F62" s="512"/>
      <c r="G62" s="512"/>
      <c r="H62" s="512"/>
      <c r="I62" s="512"/>
      <c r="J62" s="512"/>
      <c r="K62" s="512"/>
      <c r="L62" s="512"/>
      <c r="M62" s="514"/>
      <c r="N62" s="1151"/>
      <c r="O62" s="1151"/>
      <c r="P62" s="2629"/>
      <c r="Q62" s="504"/>
    </row>
    <row r="63" spans="1:29" ht="14.4">
      <c r="A63" s="527" t="s">
        <v>2585</v>
      </c>
      <c r="B63" s="528" t="s">
        <v>2551</v>
      </c>
      <c r="C63" s="529">
        <f>C9</f>
        <v>0</v>
      </c>
      <c r="D63" s="530"/>
      <c r="E63" s="530"/>
      <c r="F63" s="530"/>
      <c r="G63" s="530"/>
      <c r="H63" s="530"/>
      <c r="I63" s="530"/>
      <c r="J63" s="530"/>
      <c r="K63" s="531"/>
      <c r="L63" s="532"/>
      <c r="M63" s="533"/>
      <c r="N63" s="1152"/>
      <c r="O63" s="1152"/>
      <c r="P63" s="2631"/>
      <c r="Q63" s="504"/>
    </row>
    <row r="64" spans="1:29" ht="14.4" thickBot="1">
      <c r="A64" s="534"/>
      <c r="B64" s="535"/>
      <c r="C64" s="536">
        <v>100</v>
      </c>
      <c r="D64" s="536"/>
      <c r="E64" s="536"/>
      <c r="F64" s="536"/>
      <c r="G64" s="536"/>
      <c r="H64" s="536"/>
      <c r="I64" s="536"/>
      <c r="J64" s="536"/>
      <c r="K64" s="536"/>
      <c r="L64" s="536"/>
      <c r="M64" s="537"/>
      <c r="N64" s="1153"/>
      <c r="O64" s="1153"/>
      <c r="P64" s="2631"/>
      <c r="Q64" s="504"/>
    </row>
    <row r="65" spans="1:17" ht="29.4"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1"/>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c r="A68" s="534"/>
      <c r="B68" s="548"/>
      <c r="C68" s="549"/>
      <c r="D68" s="549"/>
      <c r="E68" s="549"/>
      <c r="F68" s="549"/>
      <c r="G68" s="549"/>
      <c r="H68" s="549"/>
      <c r="I68" s="549"/>
      <c r="J68" s="549"/>
      <c r="K68" s="550"/>
      <c r="L68" s="551"/>
      <c r="M68" s="552"/>
      <c r="N68" s="1152"/>
      <c r="O68" s="1152"/>
      <c r="P68" s="2631"/>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4.4" thickTop="1">
      <c r="A70" s="553"/>
      <c r="B70" s="538">
        <f>B12</f>
        <v>111</v>
      </c>
      <c r="C70" s="554"/>
      <c r="D70" s="554"/>
      <c r="E70" s="554"/>
      <c r="F70" s="554"/>
      <c r="G70" s="554"/>
      <c r="H70" s="555"/>
      <c r="I70" s="555"/>
      <c r="J70" s="555"/>
      <c r="K70" s="555"/>
      <c r="L70" s="556"/>
      <c r="M70" s="557"/>
      <c r="N70" s="1154"/>
      <c r="O70" s="1154"/>
      <c r="P70" s="2632"/>
      <c r="Q70" s="559"/>
    </row>
    <row r="71" spans="1:17" s="471" customFormat="1" ht="14.4" thickBot="1">
      <c r="A71" s="553"/>
      <c r="B71" s="543"/>
      <c r="C71" s="560"/>
      <c r="D71" s="536"/>
      <c r="E71" s="536"/>
      <c r="F71" s="536"/>
      <c r="G71" s="536"/>
      <c r="H71" s="536"/>
      <c r="I71" s="536"/>
      <c r="J71" s="536"/>
      <c r="K71" s="536"/>
      <c r="L71" s="536"/>
      <c r="M71" s="537"/>
      <c r="N71" s="1153"/>
      <c r="O71" s="1153"/>
      <c r="P71" s="2632"/>
      <c r="Q71" s="559"/>
    </row>
    <row r="72" spans="1:17" s="471" customFormat="1" ht="14.4" thickTop="1">
      <c r="A72" s="553"/>
      <c r="B72" s="538">
        <f>B13</f>
        <v>111</v>
      </c>
      <c r="C72" s="554"/>
      <c r="D72" s="554"/>
      <c r="E72" s="554"/>
      <c r="F72" s="554"/>
      <c r="G72" s="554"/>
      <c r="H72" s="555"/>
      <c r="I72" s="555"/>
      <c r="J72" s="555"/>
      <c r="K72" s="555"/>
      <c r="L72" s="556"/>
      <c r="M72" s="557"/>
      <c r="N72" s="1154"/>
      <c r="O72" s="1154"/>
      <c r="P72" s="2633"/>
      <c r="Q72" s="561"/>
    </row>
    <row r="73" spans="1:17" s="471" customFormat="1" ht="14.4" thickBot="1">
      <c r="A73" s="553"/>
      <c r="B73" s="543"/>
      <c r="C73" s="560"/>
      <c r="D73" s="536"/>
      <c r="E73" s="536"/>
      <c r="F73" s="536"/>
      <c r="G73" s="560"/>
      <c r="H73" s="562"/>
      <c r="I73" s="562"/>
      <c r="J73" s="562"/>
      <c r="K73" s="562"/>
      <c r="L73" s="562"/>
      <c r="M73" s="563"/>
      <c r="N73" s="1154"/>
      <c r="O73" s="1154"/>
      <c r="P73" s="2632"/>
      <c r="Q73" s="559"/>
    </row>
    <row r="74" spans="1:17" s="471" customFormat="1" ht="14.4" thickTop="1">
      <c r="A74" s="553"/>
      <c r="B74" s="546">
        <f>B14</f>
        <v>111</v>
      </c>
      <c r="C74" s="554"/>
      <c r="D74" s="554"/>
      <c r="E74" s="554"/>
      <c r="F74" s="554"/>
      <c r="G74" s="523"/>
      <c r="H74" s="564"/>
      <c r="I74" s="564"/>
      <c r="J74" s="564"/>
      <c r="K74" s="564"/>
      <c r="L74" s="565"/>
      <c r="M74" s="566"/>
      <c r="N74" s="1154"/>
      <c r="O74" s="1154"/>
      <c r="P74" s="2634"/>
      <c r="Q74" s="559"/>
    </row>
    <row r="75" spans="1:17" s="471" customFormat="1" ht="14.4" thickBot="1">
      <c r="A75" s="568"/>
      <c r="B75" s="569"/>
      <c r="C75" s="570"/>
      <c r="D75" s="570"/>
      <c r="E75" s="570"/>
      <c r="F75" s="570"/>
      <c r="G75" s="570"/>
      <c r="H75" s="571"/>
      <c r="I75" s="571"/>
      <c r="J75" s="571"/>
      <c r="K75" s="571"/>
      <c r="L75" s="571"/>
      <c r="M75" s="572"/>
      <c r="N75" s="1154"/>
      <c r="O75" s="1154"/>
      <c r="P75" s="2632"/>
      <c r="Q75" s="559"/>
    </row>
    <row r="76" spans="1:17" ht="14.4">
      <c r="A76" s="527" t="s">
        <v>2556</v>
      </c>
      <c r="B76" s="528" t="s">
        <v>2593</v>
      </c>
      <c r="C76" s="573" t="s">
        <v>2594</v>
      </c>
      <c r="D76" s="573" t="s">
        <v>2595</v>
      </c>
      <c r="E76" s="573" t="s">
        <v>2596</v>
      </c>
      <c r="F76" s="573" t="s">
        <v>2597</v>
      </c>
      <c r="G76" s="573" t="s">
        <v>2598</v>
      </c>
      <c r="H76" s="529"/>
      <c r="I76" s="529"/>
      <c r="J76" s="529"/>
      <c r="K76" s="574"/>
      <c r="L76" s="575"/>
      <c r="M76" s="576"/>
      <c r="N76" s="1152"/>
      <c r="O76" s="1152"/>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 thickTop="1">
      <c r="A78" s="534"/>
      <c r="B78" s="538" t="s">
        <v>2599</v>
      </c>
      <c r="C78" s="578" t="s">
        <v>2594</v>
      </c>
      <c r="D78" s="578" t="s">
        <v>2595</v>
      </c>
      <c r="E78" s="578" t="s">
        <v>2596</v>
      </c>
      <c r="F78" s="578" t="s">
        <v>2597</v>
      </c>
      <c r="G78" s="578" t="s">
        <v>2598</v>
      </c>
      <c r="H78" s="539"/>
      <c r="I78" s="539"/>
      <c r="J78" s="539"/>
      <c r="K78" s="540"/>
      <c r="L78" s="541"/>
      <c r="M78" s="542"/>
      <c r="N78" s="1152"/>
      <c r="O78" s="1152"/>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 thickTop="1">
      <c r="A80" s="534"/>
      <c r="B80" s="538" t="s">
        <v>2600</v>
      </c>
      <c r="C80" s="578" t="s">
        <v>2594</v>
      </c>
      <c r="D80" s="578" t="s">
        <v>2595</v>
      </c>
      <c r="E80" s="578" t="s">
        <v>2596</v>
      </c>
      <c r="F80" s="578" t="s">
        <v>2597</v>
      </c>
      <c r="G80" s="578" t="s">
        <v>2598</v>
      </c>
      <c r="H80" s="539"/>
      <c r="I80" s="539"/>
      <c r="J80" s="539"/>
      <c r="K80" s="540"/>
      <c r="L80" s="541"/>
      <c r="M80" s="542"/>
      <c r="N80" s="1152"/>
      <c r="O80" s="1152"/>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 thickTop="1">
      <c r="A82" s="534"/>
      <c r="B82" s="546" t="s">
        <v>2652</v>
      </c>
      <c r="C82" s="660" t="s">
        <v>2672</v>
      </c>
      <c r="D82" s="660" t="s">
        <v>2673</v>
      </c>
      <c r="E82" s="660" t="s">
        <v>2674</v>
      </c>
      <c r="F82" s="660" t="s">
        <v>2675</v>
      </c>
      <c r="G82" s="660" t="s">
        <v>2676</v>
      </c>
      <c r="H82" s="539"/>
      <c r="I82" s="539"/>
      <c r="J82" s="539"/>
      <c r="K82" s="539"/>
      <c r="L82" s="539"/>
      <c r="M82" s="1382"/>
      <c r="N82" s="1153"/>
      <c r="O82" s="1153"/>
      <c r="P82" s="2631"/>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 thickTop="1">
      <c r="A84" s="534"/>
      <c r="B84" s="538" t="s">
        <v>2606</v>
      </c>
      <c r="C84" s="578" t="s">
        <v>2594</v>
      </c>
      <c r="D84" s="578" t="s">
        <v>2595</v>
      </c>
      <c r="E84" s="578" t="s">
        <v>2596</v>
      </c>
      <c r="F84" s="578" t="s">
        <v>2597</v>
      </c>
      <c r="G84" s="578" t="s">
        <v>2598</v>
      </c>
      <c r="H84" s="539"/>
      <c r="I84" s="539"/>
      <c r="J84" s="539"/>
      <c r="K84" s="540"/>
      <c r="L84" s="541"/>
      <c r="M84" s="542"/>
      <c r="N84" s="1152"/>
      <c r="O84" s="1152"/>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 thickTop="1">
      <c r="A86" s="579"/>
      <c r="B86" s="538" t="s">
        <v>2677</v>
      </c>
      <c r="C86" s="554"/>
      <c r="D86" s="554"/>
      <c r="E86" s="554"/>
      <c r="F86" s="554"/>
      <c r="G86" s="554"/>
      <c r="H86" s="554"/>
      <c r="I86" s="554"/>
      <c r="J86" s="554"/>
      <c r="K86" s="554"/>
      <c r="L86" s="580"/>
      <c r="M86" s="581"/>
      <c r="N86" s="1151"/>
      <c r="O86" s="1151"/>
      <c r="P86" s="2631"/>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4.4"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4.4" thickBot="1">
      <c r="A89" s="579"/>
      <c r="B89" s="543"/>
      <c r="C89" s="560"/>
      <c r="D89" s="536"/>
      <c r="E89" s="536"/>
      <c r="F89" s="536"/>
      <c r="G89" s="536"/>
      <c r="H89" s="536"/>
      <c r="I89" s="536"/>
      <c r="J89" s="536"/>
      <c r="K89" s="536"/>
      <c r="L89" s="536"/>
      <c r="M89" s="536"/>
      <c r="N89" s="1153"/>
      <c r="O89" s="1153"/>
      <c r="P89" s="2631"/>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4.4" thickTop="1">
      <c r="A92" s="534"/>
      <c r="B92" s="538" t="str">
        <f>B28</f>
        <v>楼层</v>
      </c>
      <c r="C92" s="554"/>
      <c r="D92" s="554"/>
      <c r="E92" s="554"/>
      <c r="F92" s="554"/>
      <c r="G92" s="554"/>
      <c r="H92" s="554"/>
      <c r="I92" s="554"/>
      <c r="J92" s="554"/>
      <c r="K92" s="554"/>
      <c r="L92" s="580"/>
      <c r="M92" s="581"/>
      <c r="N92" s="1152"/>
      <c r="O92" s="1152"/>
      <c r="P92" s="2631"/>
      <c r="Q92" s="504"/>
    </row>
    <row r="93" spans="1:17" ht="14.4" thickBot="1">
      <c r="A93" s="534"/>
      <c r="B93" s="543"/>
      <c r="C93" s="536"/>
      <c r="D93" s="536"/>
      <c r="E93" s="536"/>
      <c r="F93" s="536"/>
      <c r="G93" s="536"/>
      <c r="H93" s="536"/>
      <c r="I93" s="536"/>
      <c r="J93" s="536"/>
      <c r="K93" s="536"/>
      <c r="L93" s="536"/>
      <c r="M93" s="537"/>
      <c r="N93" s="1153"/>
      <c r="O93" s="1153"/>
      <c r="P93" s="2631"/>
      <c r="Q93" s="504"/>
    </row>
    <row r="94" spans="1:17" ht="14.4" thickTop="1">
      <c r="A94" s="534"/>
      <c r="B94" s="538">
        <f>B29</f>
        <v>111</v>
      </c>
      <c r="C94" s="554"/>
      <c r="D94" s="554"/>
      <c r="E94" s="554"/>
      <c r="F94" s="554"/>
      <c r="G94" s="583"/>
      <c r="H94" s="583"/>
      <c r="I94" s="583"/>
      <c r="J94" s="583"/>
      <c r="K94" s="584"/>
      <c r="L94" s="585"/>
      <c r="M94" s="586"/>
      <c r="N94" s="1152"/>
      <c r="O94" s="1152"/>
      <c r="P94" s="2631"/>
      <c r="Q94" s="504"/>
    </row>
    <row r="95" spans="1:17" ht="14.4" thickBot="1">
      <c r="A95" s="534"/>
      <c r="B95" s="543"/>
      <c r="C95" s="560"/>
      <c r="D95" s="536"/>
      <c r="E95" s="536"/>
      <c r="F95" s="536"/>
      <c r="G95" s="536"/>
      <c r="H95" s="536"/>
      <c r="I95" s="536"/>
      <c r="J95" s="536"/>
      <c r="K95" s="536"/>
      <c r="L95" s="536"/>
      <c r="M95" s="537"/>
      <c r="N95" s="1153"/>
      <c r="O95" s="1153"/>
      <c r="P95" s="2631"/>
      <c r="Q95" s="504"/>
    </row>
    <row r="96" spans="1:17" ht="14.4" thickTop="1">
      <c r="A96" s="534"/>
      <c r="B96" s="538">
        <f>B30</f>
        <v>111</v>
      </c>
      <c r="C96" s="554"/>
      <c r="D96" s="554"/>
      <c r="E96" s="554"/>
      <c r="F96" s="554"/>
      <c r="G96" s="583"/>
      <c r="H96" s="583"/>
      <c r="I96" s="583"/>
      <c r="J96" s="583"/>
      <c r="K96" s="584"/>
      <c r="L96" s="585"/>
      <c r="M96" s="586"/>
      <c r="N96" s="1152"/>
      <c r="O96" s="1152"/>
      <c r="P96" s="2631"/>
      <c r="Q96" s="504"/>
    </row>
    <row r="97" spans="1:17" ht="14.4" thickBot="1">
      <c r="A97" s="534"/>
      <c r="B97" s="543"/>
      <c r="C97" s="560"/>
      <c r="D97" s="536"/>
      <c r="E97" s="536"/>
      <c r="F97" s="536"/>
      <c r="G97" s="536"/>
      <c r="H97" s="536"/>
      <c r="I97" s="536"/>
      <c r="J97" s="536"/>
      <c r="K97" s="536"/>
      <c r="L97" s="536"/>
      <c r="M97" s="537"/>
      <c r="N97" s="1153"/>
      <c r="O97" s="1153"/>
      <c r="P97" s="2631"/>
      <c r="Q97" s="504"/>
    </row>
    <row r="98" spans="1:17" ht="14.4" thickTop="1">
      <c r="A98" s="534"/>
      <c r="B98" s="546">
        <f>B31</f>
        <v>111</v>
      </c>
      <c r="C98" s="554"/>
      <c r="D98" s="554"/>
      <c r="E98" s="554"/>
      <c r="F98" s="554"/>
      <c r="G98" s="587"/>
      <c r="H98" s="587"/>
      <c r="I98" s="587"/>
      <c r="J98" s="587"/>
      <c r="K98" s="588"/>
      <c r="L98" s="589"/>
      <c r="M98" s="590"/>
      <c r="N98" s="1152"/>
      <c r="O98" s="1152"/>
      <c r="P98" s="2631"/>
      <c r="Q98" s="504"/>
    </row>
    <row r="99" spans="1:17" ht="14.4" thickBot="1">
      <c r="A99" s="2637"/>
      <c r="B99" s="569"/>
      <c r="C99" s="570"/>
      <c r="D99" s="570"/>
      <c r="E99" s="570"/>
      <c r="F99" s="570"/>
      <c r="G99" s="591"/>
      <c r="H99" s="591"/>
      <c r="I99" s="591"/>
      <c r="J99" s="591"/>
      <c r="K99" s="591"/>
      <c r="L99" s="591"/>
      <c r="M99" s="592"/>
      <c r="N99" s="1153"/>
      <c r="O99" s="1153"/>
      <c r="P99" s="2631"/>
      <c r="Q99" s="504"/>
    </row>
    <row r="100" spans="1:17" ht="14.4">
      <c r="A100" s="527" t="s">
        <v>2560</v>
      </c>
      <c r="B100" s="528" t="s">
        <v>2678</v>
      </c>
      <c r="C100" s="530"/>
      <c r="D100" s="530"/>
      <c r="E100" s="530"/>
      <c r="F100" s="530"/>
      <c r="G100" s="530"/>
      <c r="H100" s="530"/>
      <c r="I100" s="530"/>
      <c r="J100" s="530"/>
      <c r="K100" s="531"/>
      <c r="L100" s="532"/>
      <c r="M100" s="533"/>
      <c r="N100" s="1152"/>
      <c r="O100" s="1152"/>
      <c r="P100" s="2631"/>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4.4" thickBot="1">
      <c r="A104" s="553"/>
      <c r="B104" s="543"/>
      <c r="C104" s="560"/>
      <c r="D104" s="536"/>
      <c r="E104" s="536"/>
      <c r="F104" s="536"/>
      <c r="G104" s="536"/>
      <c r="H104" s="536"/>
      <c r="I104" s="536"/>
      <c r="J104" s="536"/>
      <c r="K104" s="536"/>
      <c r="L104" s="536"/>
      <c r="M104" s="537"/>
      <c r="N104" s="1153"/>
      <c r="O104" s="1153"/>
      <c r="P104" s="2632"/>
      <c r="Q104" s="559"/>
    </row>
    <row r="105" spans="1:17" ht="15" thickTop="1">
      <c r="A105" s="599"/>
      <c r="B105" s="538" t="s">
        <v>2611</v>
      </c>
      <c r="C105" s="554"/>
      <c r="D105" s="554"/>
      <c r="E105" s="583"/>
      <c r="F105" s="583"/>
      <c r="G105" s="583"/>
      <c r="H105" s="583"/>
      <c r="I105" s="583"/>
      <c r="J105" s="583"/>
      <c r="K105" s="584"/>
      <c r="L105" s="585"/>
      <c r="M105" s="586"/>
      <c r="N105" s="1152"/>
      <c r="O105" s="1152"/>
      <c r="P105" s="2631"/>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2613</v>
      </c>
      <c r="C107" s="554"/>
      <c r="D107" s="554"/>
      <c r="E107" s="554"/>
      <c r="F107" s="583"/>
      <c r="G107" s="583"/>
      <c r="H107" s="583"/>
      <c r="I107" s="583"/>
      <c r="J107" s="583"/>
      <c r="K107" s="584"/>
      <c r="L107" s="585"/>
      <c r="M107" s="586"/>
      <c r="N107" s="1152"/>
      <c r="O107" s="1152"/>
      <c r="P107" s="2631"/>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32"/>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2679</v>
      </c>
      <c r="C114" s="554"/>
      <c r="D114" s="554"/>
      <c r="E114" s="583"/>
      <c r="F114" s="583"/>
      <c r="G114" s="583"/>
      <c r="H114" s="583"/>
      <c r="I114" s="583"/>
      <c r="J114" s="583"/>
      <c r="K114" s="584"/>
      <c r="L114" s="585"/>
      <c r="M114" s="586"/>
      <c r="N114" s="1152"/>
      <c r="O114" s="1152"/>
      <c r="P114" s="2631"/>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2680</v>
      </c>
      <c r="C116" s="554"/>
      <c r="D116" s="554"/>
      <c r="E116" s="554"/>
      <c r="F116" s="554"/>
      <c r="G116" s="554"/>
      <c r="H116" s="583"/>
      <c r="I116" s="583"/>
      <c r="J116" s="583"/>
      <c r="K116" s="584"/>
      <c r="L116" s="585"/>
      <c r="M116" s="586"/>
      <c r="N116" s="1152"/>
      <c r="O116" s="1152"/>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2681</v>
      </c>
      <c r="C118" s="627"/>
      <c r="D118" s="627"/>
      <c r="E118" s="627"/>
      <c r="F118" s="627"/>
      <c r="G118" s="627"/>
      <c r="H118" s="555"/>
      <c r="I118" s="555"/>
      <c r="J118" s="555"/>
      <c r="K118" s="555"/>
      <c r="L118" s="556"/>
      <c r="M118" s="557"/>
      <c r="N118" s="1152"/>
      <c r="O118" s="1152"/>
      <c r="P118" s="2631"/>
      <c r="Q118" s="504"/>
    </row>
    <row r="119" spans="1:17" ht="14.4"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32"/>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2617</v>
      </c>
      <c r="C122" s="554"/>
      <c r="D122" s="554"/>
      <c r="E122" s="554"/>
      <c r="F122" s="583"/>
      <c r="G122" s="583"/>
      <c r="H122" s="583"/>
      <c r="I122" s="583"/>
      <c r="J122" s="583"/>
      <c r="K122" s="584"/>
      <c r="L122" s="585"/>
      <c r="M122" s="586"/>
      <c r="N122" s="1152"/>
      <c r="O122" s="1152"/>
      <c r="P122" s="2631"/>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29.4"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2"/>
      <c r="Q127" s="559"/>
    </row>
    <row r="128" spans="1:17" ht="14.4" thickTop="1">
      <c r="A128" s="599"/>
      <c r="B128" s="538">
        <f>B45</f>
        <v>111</v>
      </c>
      <c r="C128" s="554"/>
      <c r="D128" s="554"/>
      <c r="E128" s="554"/>
      <c r="F128" s="554"/>
      <c r="G128" s="583"/>
      <c r="H128" s="583"/>
      <c r="I128" s="583"/>
      <c r="J128" s="583"/>
      <c r="K128" s="584"/>
      <c r="L128" s="585"/>
      <c r="M128" s="586"/>
      <c r="N128" s="1152"/>
      <c r="O128" s="1152"/>
      <c r="P128" s="2631"/>
      <c r="Q128" s="504"/>
    </row>
    <row r="129" spans="1:17" ht="14.4" thickBot="1">
      <c r="A129" s="534"/>
      <c r="B129" s="543"/>
      <c r="C129" s="560"/>
      <c r="D129" s="536"/>
      <c r="E129" s="536"/>
      <c r="F129" s="536"/>
      <c r="G129" s="536"/>
      <c r="H129" s="536"/>
      <c r="I129" s="536"/>
      <c r="J129" s="536"/>
      <c r="K129" s="536"/>
      <c r="L129" s="536"/>
      <c r="M129" s="537"/>
      <c r="N129" s="1153"/>
      <c r="O129" s="1153"/>
      <c r="P129" s="2631"/>
      <c r="Q129" s="504"/>
    </row>
    <row r="130" spans="1:17" ht="14.4" thickTop="1">
      <c r="A130" s="599"/>
      <c r="B130" s="546">
        <f>B46</f>
        <v>111</v>
      </c>
      <c r="C130" s="554"/>
      <c r="D130" s="554"/>
      <c r="E130" s="554"/>
      <c r="F130" s="554"/>
      <c r="G130" s="587"/>
      <c r="H130" s="587"/>
      <c r="I130" s="587"/>
      <c r="J130" s="587"/>
      <c r="K130" s="523"/>
      <c r="L130" s="524"/>
      <c r="M130" s="590"/>
      <c r="N130" s="1152"/>
      <c r="O130" s="1152"/>
      <c r="P130" s="2631"/>
      <c r="Q130" s="504"/>
    </row>
    <row r="131" spans="1:17" ht="14.4"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9" priority="17" stopIfTrue="1" operator="containsText" text="超过">
      <formula>NOT(ISERROR(SEARCH("超过",F52)))</formula>
    </cfRule>
  </conditionalFormatting>
  <conditionalFormatting sqref="H54">
    <cfRule type="containsText" dxfId="138" priority="15" stopIfTrue="1" operator="containsText" text="超过">
      <formula>NOT(ISERROR(SEARCH("超过",H54)))</formula>
    </cfRule>
  </conditionalFormatting>
  <conditionalFormatting sqref="F54">
    <cfRule type="containsText" dxfId="137" priority="14" stopIfTrue="1" operator="containsText" text="超过">
      <formula>NOT(ISERROR(SEARCH("超过",F54)))</formula>
    </cfRule>
  </conditionalFormatting>
  <conditionalFormatting sqref="F53 H53">
    <cfRule type="containsText" dxfId="136" priority="13" stopIfTrue="1" operator="containsText" text="超过">
      <formula>NOT(ISERROR(SEARCH("超过",F53)))</formula>
    </cfRule>
  </conditionalFormatting>
  <conditionalFormatting sqref="E52">
    <cfRule type="expression" dxfId="135" priority="12" stopIfTrue="1">
      <formula>$F$52="超过30%"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G54">
    <cfRule type="expression" dxfId="132" priority="9" stopIfTrue="1">
      <formula>$H$54="超过30%"</formula>
    </cfRule>
  </conditionalFormatting>
  <conditionalFormatting sqref="G52">
    <cfRule type="expression" dxfId="131" priority="8" stopIfTrue="1">
      <formula>$H$52="超过30%"</formula>
    </cfRule>
  </conditionalFormatting>
  <conditionalFormatting sqref="G53">
    <cfRule type="expression" dxfId="130" priority="7" stopIfTrue="1">
      <formula>$H$53="超过20%"</formula>
    </cfRule>
  </conditionalFormatting>
  <conditionalFormatting sqref="J52">
    <cfRule type="containsText" dxfId="129" priority="6" stopIfTrue="1" operator="containsText" text="超过">
      <formula>NOT(ISERROR(SEARCH("超过",J52)))</formula>
    </cfRule>
  </conditionalFormatting>
  <conditionalFormatting sqref="J54">
    <cfRule type="containsText" dxfId="128" priority="5" stopIfTrue="1" operator="containsText" text="超过">
      <formula>NOT(ISERROR(SEARCH("超过",J54)))</formula>
    </cfRule>
  </conditionalFormatting>
  <conditionalFormatting sqref="J53">
    <cfRule type="containsText" dxfId="127" priority="4" stopIfTrue="1" operator="containsText" text="超过">
      <formula>NOT(ISERROR(SEARCH("超过",J53)))</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4">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43 E43 G43 I43" xr:uid="{00000000-0002-0000-1B00-000002000000}">
      <formula1>内部装修维护情况</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E18 G18 I18 C18" xr:uid="{00000000-0002-0000-1B00-000004000000}">
      <formula1>交通便捷度</formula1>
    </dataValidation>
    <dataValidation type="list" allowBlank="1" showInputMessage="1" showErrorMessage="1" sqref="E24 G24 I24 C24" xr:uid="{00000000-0002-0000-1B00-000005000000}">
      <formula1>环境</formula1>
    </dataValidation>
    <dataValidation type="list" allowBlank="1" showInputMessage="1" showErrorMessage="1" sqref="C25 E25 G25 I25" xr:uid="{00000000-0002-0000-1B00-000006000000}">
      <formula1>商业临街状况</formula1>
    </dataValidation>
    <dataValidation type="list" allowBlank="1" showInputMessage="1" showErrorMessage="1" sqref="C27 E27 G27 I27" xr:uid="{00000000-0002-0000-1B00-000007000000}">
      <formula1>商业人流量</formula1>
    </dataValidation>
    <dataValidation type="list" allowBlank="1" showInputMessage="1" showErrorMessage="1" sqref="C28 E28 G28 I28" xr:uid="{00000000-0002-0000-1B00-000008000000}">
      <formula1>商业楼层</formula1>
    </dataValidation>
    <dataValidation type="list" allowBlank="1" showInputMessage="1" showErrorMessage="1" sqref="C32 E32 G32 I32" xr:uid="{00000000-0002-0000-1B00-000009000000}">
      <formula1>商业类型</formula1>
    </dataValidation>
    <dataValidation type="list" allowBlank="1" showInputMessage="1" showErrorMessage="1" sqref="C34 E34 G34 I34" xr:uid="{00000000-0002-0000-1B00-00000A000000}">
      <formula1>商业建筑结构</formula1>
    </dataValidation>
    <dataValidation type="list" allowBlank="1" showInputMessage="1" showErrorMessage="1" sqref="C35 E35 G35 I35" xr:uid="{00000000-0002-0000-1B00-00000B000000}">
      <formula1>商业公共部分装修</formula1>
    </dataValidation>
    <dataValidation type="list" allowBlank="1" showInputMessage="1" showErrorMessage="1" sqref="C37 E37 G37 I37" xr:uid="{00000000-0002-0000-1B00-00000C000000}">
      <formula1>商业基础设施水平</formula1>
    </dataValidation>
    <dataValidation type="list" allowBlank="1" showInputMessage="1" showErrorMessage="1" sqref="C41 E41 G41 I41" xr:uid="{00000000-0002-0000-1B00-00000D000000}">
      <formula1>商业进深比</formula1>
    </dataValidation>
    <dataValidation type="list" allowBlank="1" showInputMessage="1" showErrorMessage="1" sqref="C42 E42 G42 I42" xr:uid="{00000000-0002-0000-1B00-00000E000000}">
      <formula1>商业内部装修</formula1>
    </dataValidation>
    <dataValidation type="list" allowBlank="1" showInputMessage="1" showErrorMessage="1" sqref="E9 G9 I9" xr:uid="{00000000-0002-0000-1B00-00000F000000}">
      <formula1>商业用途</formula1>
    </dataValidation>
    <dataValidation type="list" allowBlank="1" showInputMessage="1" showErrorMessage="1" sqref="C38 E38 G38 I38" xr:uid="{00000000-0002-0000-1B00-000010000000}">
      <formula1>商业业态</formula1>
    </dataValidation>
    <dataValidation type="list" allowBlank="1" showInputMessage="1" showErrorMessage="1" sqref="C39 E39 G39 I39" xr:uid="{00000000-0002-0000-1B00-000011000000}">
      <formula1>商业层高</formula1>
    </dataValidation>
    <dataValidation type="list" allowBlank="1" showInputMessage="1" showErrorMessage="1" sqref="C8 E8 G8 I8" xr:uid="{00000000-0002-0000-1B00-000012000000}">
      <formula1>商业交易情况</formula1>
    </dataValidation>
    <dataValidation type="list" allowBlank="1" showInputMessage="1" showErrorMessage="1" sqref="C16 E16 G16 I16" xr:uid="{00000000-0002-0000-1B00-000013000000}">
      <formula1>商业繁华度</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zoomScale="90" zoomScaleNormal="90" workbookViewId="0">
      <selection activeCell="F7" sqref="F7"/>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2525</v>
      </c>
      <c r="B1" s="2670" t="s">
        <v>2683</v>
      </c>
      <c r="C1" s="1619" t="s">
        <v>2527</v>
      </c>
      <c r="D1" s="1620"/>
      <c r="E1" s="1629"/>
      <c r="F1" s="2585"/>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8" t="e">
        <f ca="1">IF(C2="——",ROUND(C50*D3/10000,0),ROUND(C50*D3/10000,0)-D2)</f>
        <v>#DIV/0!</v>
      </c>
      <c r="C2" s="2587"/>
      <c r="D2" s="1365" t="e">
        <f ca="1">SUMIF(INDIRECT("'"&amp;F2&amp;"'"&amp;"!A:A"),"承租人权益价值",INDIRECT("'"&amp;F2&amp;"'"&amp;"!c:c"))</f>
        <v>#REF!</v>
      </c>
      <c r="E2" s="2588" t="s">
        <v>2325</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73003.73</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2642</v>
      </c>
      <c r="B4" s="402"/>
      <c r="C4" s="3250" t="s">
        <v>2643</v>
      </c>
      <c r="D4" s="3251"/>
      <c r="E4" s="3252" t="s">
        <v>2644</v>
      </c>
      <c r="F4" s="3253"/>
      <c r="G4" s="3250" t="s">
        <v>2645</v>
      </c>
      <c r="H4" s="3251"/>
      <c r="I4" s="3250" t="s">
        <v>2646</v>
      </c>
      <c r="J4" s="3251"/>
      <c r="K4" s="610" t="s">
        <v>2647</v>
      </c>
      <c r="L4" s="1130"/>
      <c r="M4" s="1131"/>
      <c r="N4" s="1131"/>
      <c r="O4" s="1131"/>
      <c r="P4" s="3316" t="s">
        <v>2648</v>
      </c>
      <c r="Q4" s="3317"/>
      <c r="R4" s="3311" t="s">
        <v>2644</v>
      </c>
      <c r="S4" s="3312"/>
      <c r="T4" s="3311" t="s">
        <v>2645</v>
      </c>
      <c r="U4" s="3312"/>
      <c r="V4" s="3320" t="s">
        <v>2646</v>
      </c>
      <c r="W4" s="3320"/>
      <c r="X4" s="2671"/>
      <c r="Y4" s="3311" t="s">
        <v>2648</v>
      </c>
      <c r="Z4" s="3312"/>
      <c r="AA4" s="3310" t="s">
        <v>2644</v>
      </c>
      <c r="AB4" s="3310" t="s">
        <v>2645</v>
      </c>
      <c r="AC4" s="3313" t="s">
        <v>2646</v>
      </c>
    </row>
    <row r="5" spans="1:29">
      <c r="A5" s="404"/>
      <c r="B5" s="405"/>
      <c r="C5" s="3246" t="s">
        <v>2539</v>
      </c>
      <c r="D5" s="3243"/>
      <c r="E5" s="3240" t="s">
        <v>2540</v>
      </c>
      <c r="F5" s="3241"/>
      <c r="G5" s="3246" t="s">
        <v>2541</v>
      </c>
      <c r="H5" s="3243"/>
      <c r="I5" s="3246" t="s">
        <v>2542</v>
      </c>
      <c r="J5" s="3243"/>
      <c r="K5" s="610"/>
      <c r="L5" s="1130"/>
      <c r="M5" s="1131"/>
      <c r="N5" s="1131"/>
      <c r="O5" s="1131"/>
      <c r="P5" s="3318"/>
      <c r="Q5" s="3257"/>
      <c r="R5" s="3238"/>
      <c r="S5" s="3239"/>
      <c r="T5" s="3238"/>
      <c r="U5" s="3239"/>
      <c r="V5" s="3262"/>
      <c r="W5" s="3262"/>
      <c r="X5" s="1812"/>
      <c r="Y5" s="3238"/>
      <c r="Z5" s="3239"/>
      <c r="AA5" s="3232"/>
      <c r="AB5" s="3232"/>
      <c r="AC5" s="3314"/>
    </row>
    <row r="6" spans="1:29" ht="15" thickBot="1">
      <c r="A6" s="406"/>
      <c r="B6" s="407"/>
      <c r="C6" s="3244" t="s">
        <v>2543</v>
      </c>
      <c r="D6" s="3245"/>
      <c r="E6" s="3247" t="s">
        <v>2543</v>
      </c>
      <c r="F6" s="3248"/>
      <c r="G6" s="3244" t="s">
        <v>2543</v>
      </c>
      <c r="H6" s="3245"/>
      <c r="I6" s="3244" t="s">
        <v>2543</v>
      </c>
      <c r="J6" s="3245"/>
      <c r="K6" s="610" t="s">
        <v>2544</v>
      </c>
      <c r="L6" s="1130"/>
      <c r="M6" s="1131"/>
      <c r="N6" s="1131"/>
      <c r="O6" s="1131"/>
      <c r="P6" s="3319"/>
      <c r="Q6" s="3259"/>
      <c r="R6" s="3238"/>
      <c r="S6" s="3239"/>
      <c r="T6" s="3260"/>
      <c r="U6" s="3261"/>
      <c r="V6" s="3262"/>
      <c r="W6" s="3262"/>
      <c r="X6" s="1812"/>
      <c r="Y6" s="3260"/>
      <c r="Z6" s="3261"/>
      <c r="AA6" s="3233"/>
      <c r="AB6" s="3233"/>
      <c r="AC6" s="3315"/>
    </row>
    <row r="7" spans="1:29" s="117" customFormat="1" ht="15" thickBot="1">
      <c r="A7" s="408" t="s">
        <v>2545</v>
      </c>
      <c r="B7" s="409"/>
      <c r="C7" s="410">
        <f>'数据-取费表'!B2</f>
        <v>43921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21" t="s">
        <v>2546</v>
      </c>
      <c r="Q7" s="3263"/>
      <c r="R7" s="770" t="s">
        <v>17</v>
      </c>
      <c r="S7" s="771">
        <f t="shared" ref="S7:S15" si="0">F7</f>
        <v>0</v>
      </c>
      <c r="T7" s="770" t="s">
        <v>17</v>
      </c>
      <c r="U7" s="771">
        <f t="shared" ref="U7:U15" si="1">H7</f>
        <v>0</v>
      </c>
      <c r="V7" s="770" t="s">
        <v>17</v>
      </c>
      <c r="W7" s="771">
        <f t="shared" ref="W7:W15" si="2">J7</f>
        <v>0</v>
      </c>
      <c r="X7" s="772"/>
      <c r="Y7" s="3234" t="s">
        <v>2546</v>
      </c>
      <c r="Z7" s="3235"/>
      <c r="AA7" s="773" t="e">
        <f>D7/F7</f>
        <v>#DIV/0!</v>
      </c>
      <c r="AB7" s="773" t="e">
        <f>D7/H7</f>
        <v>#DIV/0!</v>
      </c>
      <c r="AC7" s="2672" t="e">
        <f>D7/J7</f>
        <v>#DIV/0!</v>
      </c>
    </row>
    <row r="8" spans="1:29" s="117" customFormat="1" ht="1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21" t="s">
        <v>2549</v>
      </c>
      <c r="Q8" s="3235"/>
      <c r="R8" s="770" t="s">
        <v>17</v>
      </c>
      <c r="S8" s="771">
        <f t="shared" si="0"/>
        <v>0</v>
      </c>
      <c r="T8" s="770" t="s">
        <v>17</v>
      </c>
      <c r="U8" s="771">
        <f t="shared" si="1"/>
        <v>0</v>
      </c>
      <c r="V8" s="770" t="s">
        <v>17</v>
      </c>
      <c r="W8" s="771">
        <f t="shared" si="2"/>
        <v>0</v>
      </c>
      <c r="X8" s="772"/>
      <c r="Y8" s="3234" t="s">
        <v>2549</v>
      </c>
      <c r="Z8" s="3235"/>
      <c r="AA8" s="773" t="e">
        <f t="shared" ref="AA8:AA47" si="3">D8/F8</f>
        <v>#DIV/0!</v>
      </c>
      <c r="AB8" s="773" t="e">
        <f t="shared" ref="AB8:AB47" si="4">D8/H8</f>
        <v>#DIV/0!</v>
      </c>
      <c r="AC8" s="2672" t="e">
        <f t="shared" ref="AC8:AC47" si="5">D8/J8</f>
        <v>#DIV/0!</v>
      </c>
    </row>
    <row r="9" spans="1:29" s="117" customFormat="1" ht="14.4">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73" t="s">
        <v>2552</v>
      </c>
      <c r="Q9" s="1794" t="str">
        <f t="shared" ref="Q9:Q15" si="6">B9</f>
        <v>用途</v>
      </c>
      <c r="R9" s="770" t="s">
        <v>17</v>
      </c>
      <c r="S9" s="771">
        <f t="shared" si="0"/>
        <v>100</v>
      </c>
      <c r="T9" s="770" t="s">
        <v>17</v>
      </c>
      <c r="U9" s="771">
        <f t="shared" si="1"/>
        <v>100</v>
      </c>
      <c r="V9" s="770" t="s">
        <v>17</v>
      </c>
      <c r="W9" s="771">
        <f t="shared" si="2"/>
        <v>100</v>
      </c>
      <c r="X9" s="772"/>
      <c r="Y9" s="3108" t="s">
        <v>2553</v>
      </c>
      <c r="Z9" s="55" t="str">
        <f t="shared" ref="Z9:Z15" si="7">Q9</f>
        <v>用途</v>
      </c>
      <c r="AA9" s="773">
        <f t="shared" si="3"/>
        <v>1</v>
      </c>
      <c r="AB9" s="773">
        <f t="shared" si="4"/>
        <v>1</v>
      </c>
      <c r="AC9" s="2672">
        <f t="shared" si="5"/>
        <v>1</v>
      </c>
    </row>
    <row r="10" spans="1:29" s="427" customFormat="1" ht="28.8">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73"/>
      <c r="Q10" s="1794" t="str">
        <f t="shared" si="6"/>
        <v>土地使用年限（年）</v>
      </c>
      <c r="R10" s="770" t="s">
        <v>17</v>
      </c>
      <c r="S10" s="771">
        <f t="shared" si="0"/>
        <v>100</v>
      </c>
      <c r="T10" s="770" t="s">
        <v>17</v>
      </c>
      <c r="U10" s="771">
        <f t="shared" si="1"/>
        <v>100</v>
      </c>
      <c r="V10" s="770" t="s">
        <v>17</v>
      </c>
      <c r="W10" s="771">
        <f t="shared" si="2"/>
        <v>100</v>
      </c>
      <c r="X10" s="772"/>
      <c r="Y10" s="3108"/>
      <c r="Z10" s="55" t="str">
        <f t="shared" si="7"/>
        <v>土地使用年限（年）</v>
      </c>
      <c r="AA10" s="773">
        <f t="shared" si="3"/>
        <v>1</v>
      </c>
      <c r="AB10" s="773">
        <f t="shared" si="4"/>
        <v>1</v>
      </c>
      <c r="AC10" s="2672">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73"/>
      <c r="Q11" s="1794" t="str">
        <f t="shared" si="6"/>
        <v>容积率</v>
      </c>
      <c r="R11" s="770" t="s">
        <v>17</v>
      </c>
      <c r="S11" s="771" t="e">
        <f t="shared" si="0"/>
        <v>#N/A</v>
      </c>
      <c r="T11" s="770" t="s">
        <v>17</v>
      </c>
      <c r="U11" s="771" t="e">
        <f t="shared" si="1"/>
        <v>#N/A</v>
      </c>
      <c r="V11" s="770" t="s">
        <v>17</v>
      </c>
      <c r="W11" s="771" t="e">
        <f t="shared" si="2"/>
        <v>#N/A</v>
      </c>
      <c r="X11" s="772"/>
      <c r="Y11" s="3108"/>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273"/>
      <c r="Q12" s="1794">
        <f t="shared" si="6"/>
        <v>111</v>
      </c>
      <c r="R12" s="770" t="s">
        <v>17</v>
      </c>
      <c r="S12" s="771">
        <f t="shared" si="0"/>
        <v>100</v>
      </c>
      <c r="T12" s="770" t="s">
        <v>17</v>
      </c>
      <c r="U12" s="771">
        <f t="shared" si="1"/>
        <v>100</v>
      </c>
      <c r="V12" s="770" t="s">
        <v>17</v>
      </c>
      <c r="W12" s="771">
        <f t="shared" si="2"/>
        <v>100</v>
      </c>
      <c r="X12" s="772"/>
      <c r="Y12" s="3108"/>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273"/>
      <c r="Q13" s="1794">
        <f t="shared" si="6"/>
        <v>111</v>
      </c>
      <c r="R13" s="770" t="s">
        <v>17</v>
      </c>
      <c r="S13" s="771">
        <f t="shared" si="0"/>
        <v>100</v>
      </c>
      <c r="T13" s="770" t="s">
        <v>17</v>
      </c>
      <c r="U13" s="771">
        <f t="shared" si="1"/>
        <v>100</v>
      </c>
      <c r="V13" s="770" t="s">
        <v>17</v>
      </c>
      <c r="W13" s="771">
        <f t="shared" si="2"/>
        <v>100</v>
      </c>
      <c r="X13" s="772"/>
      <c r="Y13" s="3108"/>
      <c r="Z13" s="55">
        <f t="shared" si="7"/>
        <v>111</v>
      </c>
      <c r="AA13" s="773">
        <f t="shared" si="3"/>
        <v>1</v>
      </c>
      <c r="AB13" s="773">
        <f t="shared" si="4"/>
        <v>1</v>
      </c>
      <c r="AC13" s="2672">
        <f t="shared" si="5"/>
        <v>1</v>
      </c>
    </row>
    <row r="14" spans="1:29" ht="15.6"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273"/>
      <c r="Q14" s="1794">
        <f t="shared" si="6"/>
        <v>111</v>
      </c>
      <c r="R14" s="770" t="s">
        <v>17</v>
      </c>
      <c r="S14" s="771">
        <f t="shared" si="0"/>
        <v>100</v>
      </c>
      <c r="T14" s="770" t="s">
        <v>17</v>
      </c>
      <c r="U14" s="771">
        <f t="shared" si="1"/>
        <v>100</v>
      </c>
      <c r="V14" s="770" t="s">
        <v>17</v>
      </c>
      <c r="W14" s="771">
        <f t="shared" si="2"/>
        <v>100</v>
      </c>
      <c r="X14" s="772"/>
      <c r="Y14" s="3108"/>
      <c r="Z14" s="55">
        <f t="shared" si="7"/>
        <v>111</v>
      </c>
      <c r="AA14" s="773">
        <f t="shared" si="3"/>
        <v>1</v>
      </c>
      <c r="AB14" s="773">
        <f t="shared" si="4"/>
        <v>1</v>
      </c>
      <c r="AC14" s="2672">
        <f t="shared" si="5"/>
        <v>1</v>
      </c>
    </row>
    <row r="15" spans="1:29" ht="69">
      <c r="A15" s="440" t="s">
        <v>2556</v>
      </c>
      <c r="B15" s="629" t="s">
        <v>2684</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08" t="s">
        <v>2557</v>
      </c>
      <c r="Q15" s="1809" t="str">
        <f t="shared" si="6"/>
        <v>办公集聚程度</v>
      </c>
      <c r="R15" s="774" t="s">
        <v>17</v>
      </c>
      <c r="S15" s="775">
        <f t="shared" si="0"/>
        <v>100</v>
      </c>
      <c r="T15" s="774" t="s">
        <v>17</v>
      </c>
      <c r="U15" s="775">
        <f t="shared" si="1"/>
        <v>100</v>
      </c>
      <c r="V15" s="774" t="s">
        <v>17</v>
      </c>
      <c r="W15" s="775">
        <f t="shared" si="2"/>
        <v>100</v>
      </c>
      <c r="X15" s="1812"/>
      <c r="Y15" s="3264" t="s">
        <v>2557</v>
      </c>
      <c r="Z15" s="1813" t="str">
        <f t="shared" si="7"/>
        <v>办公集聚程度</v>
      </c>
      <c r="AA15" s="1810">
        <f t="shared" si="3"/>
        <v>1</v>
      </c>
      <c r="AB15" s="1810">
        <f t="shared" si="4"/>
        <v>1</v>
      </c>
      <c r="AC15" s="2675">
        <f t="shared" si="5"/>
        <v>1</v>
      </c>
    </row>
    <row r="16" spans="1:29" ht="15">
      <c r="A16" s="428"/>
      <c r="B16" s="630"/>
      <c r="C16" s="2612"/>
      <c r="D16" s="448"/>
      <c r="E16" s="447"/>
      <c r="F16" s="448"/>
      <c r="G16" s="2612"/>
      <c r="H16" s="450"/>
      <c r="I16" s="447"/>
      <c r="J16" s="448"/>
      <c r="K16" s="615"/>
      <c r="L16" s="1140"/>
      <c r="M16" s="1131"/>
      <c r="N16" s="1131"/>
      <c r="O16" s="1131"/>
      <c r="P16" s="3309"/>
      <c r="Q16" s="1809"/>
      <c r="R16" s="774"/>
      <c r="S16" s="775"/>
      <c r="T16" s="774"/>
      <c r="U16" s="775"/>
      <c r="V16" s="774"/>
      <c r="W16" s="775"/>
      <c r="X16" s="1812"/>
      <c r="Y16" s="3265"/>
      <c r="Z16" s="1813"/>
      <c r="AA16" s="1810">
        <v>1</v>
      </c>
      <c r="AB16" s="1810">
        <v>1</v>
      </c>
      <c r="AC16" s="2675">
        <v>1</v>
      </c>
    </row>
    <row r="17" spans="1:29" ht="82.8">
      <c r="A17" s="428"/>
      <c r="B17" s="631" t="s">
        <v>2092</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09"/>
      <c r="Q17" s="1809" t="str">
        <f>B17</f>
        <v>交通便捷度</v>
      </c>
      <c r="R17" s="774" t="s">
        <v>17</v>
      </c>
      <c r="S17" s="775">
        <f>F17</f>
        <v>100</v>
      </c>
      <c r="T17" s="774" t="s">
        <v>17</v>
      </c>
      <c r="U17" s="775">
        <f>H17</f>
        <v>100</v>
      </c>
      <c r="V17" s="774" t="s">
        <v>17</v>
      </c>
      <c r="W17" s="775">
        <f>J17</f>
        <v>100</v>
      </c>
      <c r="X17" s="1812"/>
      <c r="Y17" s="3265"/>
      <c r="Z17" s="1813" t="str">
        <f>Q17</f>
        <v>交通便捷度</v>
      </c>
      <c r="AA17" s="1810">
        <f t="shared" si="3"/>
        <v>1</v>
      </c>
      <c r="AB17" s="1810">
        <f t="shared" si="4"/>
        <v>1</v>
      </c>
      <c r="AC17" s="2675">
        <f t="shared" si="5"/>
        <v>1</v>
      </c>
    </row>
    <row r="18" spans="1:29" ht="15">
      <c r="A18" s="428"/>
      <c r="B18" s="632"/>
      <c r="C18" s="2677"/>
      <c r="D18" s="450"/>
      <c r="E18" s="2610"/>
      <c r="F18" s="450"/>
      <c r="G18" s="2611"/>
      <c r="H18" s="448"/>
      <c r="I18" s="2611"/>
      <c r="J18" s="448"/>
      <c r="K18" s="615"/>
      <c r="L18" s="1140"/>
      <c r="M18" s="1131"/>
      <c r="N18" s="1131"/>
      <c r="O18" s="1131"/>
      <c r="P18" s="3309"/>
      <c r="Q18" s="1809"/>
      <c r="R18" s="774"/>
      <c r="S18" s="775"/>
      <c r="T18" s="774"/>
      <c r="U18" s="775"/>
      <c r="V18" s="774"/>
      <c r="W18" s="775"/>
      <c r="X18" s="1812"/>
      <c r="Y18" s="3265"/>
      <c r="Z18" s="1813"/>
      <c r="AA18" s="1810">
        <v>1</v>
      </c>
      <c r="AB18" s="1810">
        <v>1</v>
      </c>
      <c r="AC18" s="2675">
        <v>1</v>
      </c>
    </row>
    <row r="19" spans="1:29" ht="41.4">
      <c r="A19" s="428"/>
      <c r="B19" s="631" t="s">
        <v>2685</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09"/>
      <c r="Q19" s="1809" t="str">
        <f>B19</f>
        <v>公共配套设施</v>
      </c>
      <c r="R19" s="774" t="s">
        <v>17</v>
      </c>
      <c r="S19" s="775">
        <f>F19</f>
        <v>100</v>
      </c>
      <c r="T19" s="774" t="s">
        <v>17</v>
      </c>
      <c r="U19" s="775">
        <f>H19</f>
        <v>100</v>
      </c>
      <c r="V19" s="774" t="s">
        <v>17</v>
      </c>
      <c r="W19" s="775">
        <f>J19</f>
        <v>100</v>
      </c>
      <c r="X19" s="1812"/>
      <c r="Y19" s="3265"/>
      <c r="Z19" s="1813" t="str">
        <f>Q19</f>
        <v>公共配套设施</v>
      </c>
      <c r="AA19" s="1810">
        <f t="shared" si="3"/>
        <v>1</v>
      </c>
      <c r="AB19" s="1810">
        <f t="shared" si="4"/>
        <v>1</v>
      </c>
      <c r="AC19" s="2675">
        <f t="shared" si="5"/>
        <v>1</v>
      </c>
    </row>
    <row r="20" spans="1:29" ht="15">
      <c r="A20" s="428"/>
      <c r="B20" s="632"/>
      <c r="C20" s="2612"/>
      <c r="D20" s="448"/>
      <c r="E20" s="2605"/>
      <c r="F20" s="448"/>
      <c r="G20" s="2606"/>
      <c r="H20" s="448"/>
      <c r="I20" s="2606"/>
      <c r="J20" s="448"/>
      <c r="K20" s="615"/>
      <c r="L20" s="1140"/>
      <c r="M20" s="1131"/>
      <c r="N20" s="1131"/>
      <c r="O20" s="1131"/>
      <c r="P20" s="3309"/>
      <c r="Q20" s="1809"/>
      <c r="R20" s="774"/>
      <c r="S20" s="775"/>
      <c r="T20" s="774"/>
      <c r="U20" s="775"/>
      <c r="V20" s="774"/>
      <c r="W20" s="775"/>
      <c r="X20" s="1812"/>
      <c r="Y20" s="3265"/>
      <c r="Z20" s="1813"/>
      <c r="AA20" s="1810">
        <v>1</v>
      </c>
      <c r="AB20" s="1810">
        <v>1</v>
      </c>
      <c r="AC20" s="2675">
        <v>1</v>
      </c>
    </row>
    <row r="21" spans="1:29" ht="27.6">
      <c r="A21" s="428"/>
      <c r="B21" s="633" t="s">
        <v>2686</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09"/>
      <c r="Q21" s="1809" t="str">
        <f>B21</f>
        <v>基础设施水平</v>
      </c>
      <c r="R21" s="774" t="s">
        <v>17</v>
      </c>
      <c r="S21" s="775">
        <f>F21</f>
        <v>100</v>
      </c>
      <c r="T21" s="774" t="s">
        <v>17</v>
      </c>
      <c r="U21" s="775">
        <f>H21</f>
        <v>100</v>
      </c>
      <c r="V21" s="774" t="s">
        <v>17</v>
      </c>
      <c r="W21" s="775">
        <f>J21</f>
        <v>100</v>
      </c>
      <c r="X21" s="1812"/>
      <c r="Y21" s="3265"/>
      <c r="Z21" s="1813" t="str">
        <f>Q21</f>
        <v>基础设施水平</v>
      </c>
      <c r="AA21" s="1810">
        <f t="shared" ref="AA21" si="8">D21/F21</f>
        <v>1</v>
      </c>
      <c r="AB21" s="1810">
        <f t="shared" ref="AB21" si="9">D21/H21</f>
        <v>1</v>
      </c>
      <c r="AC21" s="2675">
        <f t="shared" ref="AC21" si="10">D21/J21</f>
        <v>1</v>
      </c>
    </row>
    <row r="22" spans="1:29" ht="15">
      <c r="A22" s="428"/>
      <c r="B22" s="633"/>
      <c r="C22" s="2677"/>
      <c r="D22" s="448"/>
      <c r="E22" s="447"/>
      <c r="F22" s="448"/>
      <c r="G22" s="2612"/>
      <c r="H22" s="448"/>
      <c r="I22" s="2612"/>
      <c r="J22" s="448"/>
      <c r="K22" s="1383"/>
      <c r="L22" s="1140"/>
      <c r="M22" s="1131"/>
      <c r="N22" s="1131"/>
      <c r="O22" s="1131"/>
      <c r="P22" s="3309"/>
      <c r="Q22" s="1809"/>
      <c r="R22" s="774"/>
      <c r="S22" s="775"/>
      <c r="T22" s="774"/>
      <c r="U22" s="775"/>
      <c r="V22" s="774"/>
      <c r="W22" s="775"/>
      <c r="X22" s="1812"/>
      <c r="Y22" s="3265"/>
      <c r="Z22" s="1813"/>
      <c r="AA22" s="1810">
        <v>1</v>
      </c>
      <c r="AB22" s="1810">
        <v>1</v>
      </c>
      <c r="AC22" s="2675">
        <v>1</v>
      </c>
    </row>
    <row r="23" spans="1:29" ht="55.2">
      <c r="A23" s="428"/>
      <c r="B23" s="631" t="s">
        <v>2687</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09"/>
      <c r="Q23" s="1809" t="str">
        <f>B23</f>
        <v>环境质量</v>
      </c>
      <c r="R23" s="774" t="s">
        <v>17</v>
      </c>
      <c r="S23" s="775">
        <f>F23</f>
        <v>100</v>
      </c>
      <c r="T23" s="774" t="s">
        <v>17</v>
      </c>
      <c r="U23" s="775">
        <f>H23</f>
        <v>100</v>
      </c>
      <c r="V23" s="774" t="s">
        <v>17</v>
      </c>
      <c r="W23" s="775">
        <f>J23</f>
        <v>100</v>
      </c>
      <c r="X23" s="1812"/>
      <c r="Y23" s="3265"/>
      <c r="Z23" s="1813" t="str">
        <f>Q23</f>
        <v>环境质量</v>
      </c>
      <c r="AA23" s="1810">
        <f t="shared" si="3"/>
        <v>1</v>
      </c>
      <c r="AB23" s="1810">
        <f t="shared" si="4"/>
        <v>1</v>
      </c>
      <c r="AC23" s="2675">
        <f t="shared" si="5"/>
        <v>1</v>
      </c>
    </row>
    <row r="24" spans="1:29" ht="15">
      <c r="A24" s="428"/>
      <c r="B24" s="633"/>
      <c r="C24" s="2612"/>
      <c r="D24" s="448"/>
      <c r="E24" s="2605"/>
      <c r="F24" s="448"/>
      <c r="G24" s="2606"/>
      <c r="H24" s="448"/>
      <c r="I24" s="2606"/>
      <c r="J24" s="448"/>
      <c r="K24" s="615"/>
      <c r="L24" s="1140"/>
      <c r="M24" s="1131"/>
      <c r="N24" s="1131"/>
      <c r="O24" s="1131"/>
      <c r="P24" s="3309"/>
      <c r="Q24" s="1809"/>
      <c r="R24" s="774"/>
      <c r="S24" s="775"/>
      <c r="T24" s="774"/>
      <c r="U24" s="775"/>
      <c r="V24" s="774"/>
      <c r="W24" s="775"/>
      <c r="X24" s="1812"/>
      <c r="Y24" s="3265"/>
      <c r="Z24" s="1813"/>
      <c r="AA24" s="1810">
        <v>1</v>
      </c>
      <c r="AB24" s="1810">
        <v>1</v>
      </c>
      <c r="AC24" s="2675">
        <v>1</v>
      </c>
    </row>
    <row r="25" spans="1:29" ht="28.8">
      <c r="A25" s="404"/>
      <c r="B25" s="631" t="s">
        <v>2688</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309"/>
      <c r="Q25" s="1809" t="str">
        <f>B25</f>
        <v>毗邻道路的类型与等级</v>
      </c>
      <c r="R25" s="774" t="s">
        <v>17</v>
      </c>
      <c r="S25" s="775">
        <f>F25</f>
        <v>100</v>
      </c>
      <c r="T25" s="774" t="s">
        <v>17</v>
      </c>
      <c r="U25" s="775">
        <f>H25</f>
        <v>100</v>
      </c>
      <c r="V25" s="774" t="s">
        <v>17</v>
      </c>
      <c r="W25" s="775">
        <f>J25</f>
        <v>100</v>
      </c>
      <c r="X25" s="1812"/>
      <c r="Y25" s="3265"/>
      <c r="Z25" s="1813" t="str">
        <f>Q25</f>
        <v>毗邻道路的类型与等级</v>
      </c>
      <c r="AA25" s="1810">
        <f t="shared" si="3"/>
        <v>1</v>
      </c>
      <c r="AB25" s="1810">
        <f t="shared" si="4"/>
        <v>1</v>
      </c>
      <c r="AC25" s="2675">
        <f t="shared" si="5"/>
        <v>1</v>
      </c>
    </row>
    <row r="26" spans="1:29" ht="15">
      <c r="A26" s="404"/>
      <c r="B26" s="632"/>
      <c r="C26" s="634"/>
      <c r="D26" s="435"/>
      <c r="E26" s="616"/>
      <c r="F26" s="435"/>
      <c r="G26" s="634"/>
      <c r="H26" s="435"/>
      <c r="I26" s="616"/>
      <c r="J26" s="435"/>
      <c r="K26" s="615"/>
      <c r="L26" s="1140"/>
      <c r="M26" s="1131"/>
      <c r="N26" s="1131"/>
      <c r="O26" s="1131"/>
      <c r="P26" s="3309"/>
      <c r="Q26" s="1809"/>
      <c r="R26" s="774"/>
      <c r="S26" s="775"/>
      <c r="T26" s="774"/>
      <c r="U26" s="775"/>
      <c r="V26" s="774"/>
      <c r="W26" s="775"/>
      <c r="X26" s="1812"/>
      <c r="Y26" s="3265"/>
      <c r="Z26" s="1813"/>
      <c r="AA26" s="1810">
        <v>1</v>
      </c>
      <c r="AB26" s="1810">
        <v>1</v>
      </c>
      <c r="AC26" s="2675">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09"/>
      <c r="Q27" s="1809" t="str">
        <f t="shared" ref="Q27:Q47" si="11">B27</f>
        <v>楼层</v>
      </c>
      <c r="R27" s="774" t="s">
        <v>17</v>
      </c>
      <c r="S27" s="775">
        <f>F27</f>
        <v>100</v>
      </c>
      <c r="T27" s="774" t="s">
        <v>17</v>
      </c>
      <c r="U27" s="775">
        <f>H27</f>
        <v>100</v>
      </c>
      <c r="V27" s="774" t="s">
        <v>17</v>
      </c>
      <c r="W27" s="775">
        <f>J27</f>
        <v>100</v>
      </c>
      <c r="X27" s="1812"/>
      <c r="Y27" s="3265"/>
      <c r="Z27" s="1813" t="str">
        <f>Q27</f>
        <v>楼层</v>
      </c>
      <c r="AA27" s="1810">
        <f t="shared" si="3"/>
        <v>1</v>
      </c>
      <c r="AB27" s="1810">
        <f t="shared" si="4"/>
        <v>1</v>
      </c>
      <c r="AC27" s="2675">
        <f t="shared" si="5"/>
        <v>1</v>
      </c>
    </row>
    <row r="28" spans="1:29" s="117" customFormat="1" ht="15">
      <c r="A28" s="431"/>
      <c r="B28" s="631" t="s">
        <v>2689</v>
      </c>
      <c r="C28" s="2678"/>
      <c r="D28" s="462">
        <v>100</v>
      </c>
      <c r="E28" s="2666"/>
      <c r="F28" s="462">
        <f>SUMIF(91:91,E28,92:92)-SUMIF(91:91,C28,92:92)+100</f>
        <v>100</v>
      </c>
      <c r="G28" s="2678"/>
      <c r="H28" s="462">
        <f>SUMIF(91:91,G28,92:92)-SUMIF(91:91,C28,92:92)+100</f>
        <v>100</v>
      </c>
      <c r="I28" s="2666"/>
      <c r="J28" s="462">
        <f>SUMIF(91:91,I28,92:92)-SUMIF(91:91,C28,92:92)+100</f>
        <v>100</v>
      </c>
      <c r="K28" s="612"/>
      <c r="L28" s="1132"/>
      <c r="M28" s="1133"/>
      <c r="N28" s="1133"/>
      <c r="O28" s="1133"/>
      <c r="P28" s="3309"/>
      <c r="Q28" s="1794" t="str">
        <f t="shared" si="11"/>
        <v>朝向</v>
      </c>
      <c r="R28" s="770" t="s">
        <v>17</v>
      </c>
      <c r="S28" s="771">
        <f>F28</f>
        <v>100</v>
      </c>
      <c r="T28" s="770" t="s">
        <v>17</v>
      </c>
      <c r="U28" s="771">
        <f>H28</f>
        <v>100</v>
      </c>
      <c r="V28" s="770" t="s">
        <v>17</v>
      </c>
      <c r="W28" s="771">
        <f>J28</f>
        <v>100</v>
      </c>
      <c r="X28" s="772"/>
      <c r="Y28" s="3265"/>
      <c r="Z28" s="55" t="str">
        <f>Q28</f>
        <v>朝向</v>
      </c>
      <c r="AA28" s="1810">
        <f>D28/F28</f>
        <v>1</v>
      </c>
      <c r="AB28" s="1810">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309"/>
      <c r="Q29" s="1809">
        <f t="shared" si="11"/>
        <v>111</v>
      </c>
      <c r="R29" s="774" t="s">
        <v>17</v>
      </c>
      <c r="S29" s="775">
        <f t="shared" ref="S29:S47" si="12">F29</f>
        <v>100</v>
      </c>
      <c r="T29" s="774" t="s">
        <v>17</v>
      </c>
      <c r="U29" s="775">
        <f t="shared" ref="U29:U47" si="13">H29</f>
        <v>100</v>
      </c>
      <c r="V29" s="774" t="s">
        <v>17</v>
      </c>
      <c r="W29" s="775">
        <f t="shared" ref="W29:W47" si="14">J29</f>
        <v>100</v>
      </c>
      <c r="X29" s="1812"/>
      <c r="Y29" s="3265"/>
      <c r="Z29" s="1813">
        <f t="shared" ref="Z29:Z47" si="15">Q29</f>
        <v>111</v>
      </c>
      <c r="AA29" s="1810">
        <f t="shared" si="3"/>
        <v>1</v>
      </c>
      <c r="AB29" s="1810">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309"/>
      <c r="Q30" s="1809">
        <f t="shared" si="11"/>
        <v>111</v>
      </c>
      <c r="R30" s="774" t="s">
        <v>17</v>
      </c>
      <c r="S30" s="775">
        <f t="shared" si="12"/>
        <v>100</v>
      </c>
      <c r="T30" s="774" t="s">
        <v>17</v>
      </c>
      <c r="U30" s="775">
        <f t="shared" si="13"/>
        <v>100</v>
      </c>
      <c r="V30" s="774" t="s">
        <v>17</v>
      </c>
      <c r="W30" s="775">
        <f t="shared" si="14"/>
        <v>100</v>
      </c>
      <c r="X30" s="1812"/>
      <c r="Y30" s="3265"/>
      <c r="Z30" s="1813">
        <f t="shared" si="15"/>
        <v>111</v>
      </c>
      <c r="AA30" s="1810">
        <f t="shared" si="3"/>
        <v>1</v>
      </c>
      <c r="AB30" s="1810">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309"/>
      <c r="Q31" s="1809">
        <f t="shared" si="11"/>
        <v>111</v>
      </c>
      <c r="R31" s="774" t="s">
        <v>17</v>
      </c>
      <c r="S31" s="775">
        <f t="shared" si="12"/>
        <v>100</v>
      </c>
      <c r="T31" s="774" t="s">
        <v>17</v>
      </c>
      <c r="U31" s="775">
        <f t="shared" si="13"/>
        <v>100</v>
      </c>
      <c r="V31" s="774" t="s">
        <v>17</v>
      </c>
      <c r="W31" s="775">
        <f t="shared" si="14"/>
        <v>100</v>
      </c>
      <c r="X31" s="1812"/>
      <c r="Y31" s="3265"/>
      <c r="Z31" s="1813">
        <f t="shared" si="15"/>
        <v>111</v>
      </c>
      <c r="AA31" s="1810">
        <f t="shared" si="3"/>
        <v>1</v>
      </c>
      <c r="AB31" s="1810">
        <f t="shared" si="4"/>
        <v>1</v>
      </c>
      <c r="AC31" s="2675">
        <f t="shared" si="5"/>
        <v>1</v>
      </c>
    </row>
    <row r="32" spans="1:29" ht="15.6"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309"/>
      <c r="Q32" s="1809">
        <f t="shared" si="11"/>
        <v>111</v>
      </c>
      <c r="R32" s="774" t="s">
        <v>17</v>
      </c>
      <c r="S32" s="775">
        <f t="shared" si="12"/>
        <v>100</v>
      </c>
      <c r="T32" s="774" t="s">
        <v>17</v>
      </c>
      <c r="U32" s="775">
        <f t="shared" si="13"/>
        <v>100</v>
      </c>
      <c r="V32" s="774" t="s">
        <v>17</v>
      </c>
      <c r="W32" s="775">
        <f t="shared" si="14"/>
        <v>100</v>
      </c>
      <c r="X32" s="1812"/>
      <c r="Y32" s="3265"/>
      <c r="Z32" s="1813">
        <f t="shared" si="15"/>
        <v>111</v>
      </c>
      <c r="AA32" s="1810">
        <f t="shared" si="3"/>
        <v>1</v>
      </c>
      <c r="AB32" s="1810">
        <f t="shared" si="4"/>
        <v>1</v>
      </c>
      <c r="AC32" s="2675">
        <f t="shared" si="5"/>
        <v>1</v>
      </c>
    </row>
    <row r="33" spans="1:29" ht="15">
      <c r="A33" s="440" t="s">
        <v>2560</v>
      </c>
      <c r="B33" s="71" t="s">
        <v>2690</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0"/>
      <c r="M33" s="1131"/>
      <c r="N33" s="1131"/>
      <c r="O33" s="1131"/>
      <c r="P33" s="3304" t="s">
        <v>2562</v>
      </c>
      <c r="Q33" s="1809" t="str">
        <f t="shared" si="11"/>
        <v>建筑类型</v>
      </c>
      <c r="R33" s="774" t="s">
        <v>17</v>
      </c>
      <c r="S33" s="775">
        <f t="shared" si="12"/>
        <v>100</v>
      </c>
      <c r="T33" s="774" t="s">
        <v>17</v>
      </c>
      <c r="U33" s="775">
        <f t="shared" si="13"/>
        <v>100</v>
      </c>
      <c r="V33" s="774" t="s">
        <v>17</v>
      </c>
      <c r="W33" s="775">
        <f t="shared" si="14"/>
        <v>100</v>
      </c>
      <c r="X33" s="1812"/>
      <c r="Y33" s="3267" t="s">
        <v>2562</v>
      </c>
      <c r="Z33" s="1813" t="str">
        <f t="shared" si="15"/>
        <v>建筑类型</v>
      </c>
      <c r="AA33" s="1810">
        <f t="shared" si="3"/>
        <v>1</v>
      </c>
      <c r="AB33" s="1810">
        <f t="shared" si="4"/>
        <v>1</v>
      </c>
      <c r="AC33" s="2675">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05"/>
      <c r="Q34" s="776" t="str">
        <f t="shared" si="11"/>
        <v>项目建筑规模</v>
      </c>
      <c r="R34" s="777" t="s">
        <v>17</v>
      </c>
      <c r="S34" s="778" t="e">
        <f t="shared" si="12"/>
        <v>#N/A</v>
      </c>
      <c r="T34" s="777" t="s">
        <v>17</v>
      </c>
      <c r="U34" s="778" t="e">
        <f t="shared" si="13"/>
        <v>#N/A</v>
      </c>
      <c r="V34" s="777" t="s">
        <v>17</v>
      </c>
      <c r="W34" s="778" t="e">
        <f t="shared" si="14"/>
        <v>#N/A</v>
      </c>
      <c r="X34" s="779"/>
      <c r="Y34" s="3267"/>
      <c r="Z34" s="780" t="str">
        <f t="shared" si="15"/>
        <v>项目建筑规模</v>
      </c>
      <c r="AA34" s="1810" t="e">
        <f t="shared" si="3"/>
        <v>#N/A</v>
      </c>
      <c r="AB34" s="1810" t="e">
        <f t="shared" si="4"/>
        <v>#N/A</v>
      </c>
      <c r="AC34" s="2675"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05"/>
      <c r="Q35" s="1809" t="str">
        <f t="shared" si="11"/>
        <v>建筑结构</v>
      </c>
      <c r="R35" s="774" t="s">
        <v>17</v>
      </c>
      <c r="S35" s="775">
        <f t="shared" si="12"/>
        <v>100</v>
      </c>
      <c r="T35" s="774" t="s">
        <v>17</v>
      </c>
      <c r="U35" s="775">
        <f t="shared" si="13"/>
        <v>100</v>
      </c>
      <c r="V35" s="774" t="s">
        <v>17</v>
      </c>
      <c r="W35" s="775">
        <f t="shared" si="14"/>
        <v>100</v>
      </c>
      <c r="X35" s="1812"/>
      <c r="Y35" s="3267"/>
      <c r="Z35" s="1813" t="str">
        <f t="shared" si="15"/>
        <v>建筑结构</v>
      </c>
      <c r="AA35" s="1810">
        <f t="shared" si="3"/>
        <v>1</v>
      </c>
      <c r="AB35" s="1810">
        <f t="shared" si="4"/>
        <v>1</v>
      </c>
      <c r="AC35" s="2675">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05"/>
      <c r="Q36" s="1809" t="str">
        <f t="shared" si="11"/>
        <v>公共部分装修</v>
      </c>
      <c r="R36" s="774" t="s">
        <v>17</v>
      </c>
      <c r="S36" s="775">
        <f t="shared" si="12"/>
        <v>100</v>
      </c>
      <c r="T36" s="774" t="s">
        <v>17</v>
      </c>
      <c r="U36" s="775">
        <f t="shared" si="13"/>
        <v>100</v>
      </c>
      <c r="V36" s="774" t="s">
        <v>17</v>
      </c>
      <c r="W36" s="775">
        <f t="shared" si="14"/>
        <v>100</v>
      </c>
      <c r="X36" s="1812"/>
      <c r="Y36" s="3267"/>
      <c r="Z36" s="1813" t="str">
        <f t="shared" si="15"/>
        <v>公共部分装修</v>
      </c>
      <c r="AA36" s="1810">
        <f t="shared" si="3"/>
        <v>1</v>
      </c>
      <c r="AB36" s="1810">
        <f t="shared" si="4"/>
        <v>1</v>
      </c>
      <c r="AC36" s="2675">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05"/>
      <c r="Q37" s="1809" t="str">
        <f t="shared" si="11"/>
        <v>成新度</v>
      </c>
      <c r="R37" s="774" t="s">
        <v>17</v>
      </c>
      <c r="S37" s="775" t="e">
        <f t="shared" si="12"/>
        <v>#N/A</v>
      </c>
      <c r="T37" s="774" t="s">
        <v>17</v>
      </c>
      <c r="U37" s="775" t="e">
        <f t="shared" si="13"/>
        <v>#N/A</v>
      </c>
      <c r="V37" s="774" t="s">
        <v>17</v>
      </c>
      <c r="W37" s="775" t="e">
        <f t="shared" si="14"/>
        <v>#N/A</v>
      </c>
      <c r="X37" s="1812"/>
      <c r="Y37" s="3267"/>
      <c r="Z37" s="1813" t="str">
        <f t="shared" si="15"/>
        <v>成新度</v>
      </c>
      <c r="AA37" s="1810" t="e">
        <f t="shared" si="3"/>
        <v>#N/A</v>
      </c>
      <c r="AB37" s="1810" t="e">
        <f t="shared" si="4"/>
        <v>#N/A</v>
      </c>
      <c r="AC37" s="2675"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05"/>
      <c r="Q38" s="1794" t="str">
        <f t="shared" si="11"/>
        <v>写字楼等级</v>
      </c>
      <c r="R38" s="770" t="s">
        <v>17</v>
      </c>
      <c r="S38" s="771">
        <f t="shared" si="12"/>
        <v>100</v>
      </c>
      <c r="T38" s="770" t="s">
        <v>17</v>
      </c>
      <c r="U38" s="771">
        <f t="shared" si="13"/>
        <v>100</v>
      </c>
      <c r="V38" s="770" t="s">
        <v>17</v>
      </c>
      <c r="W38" s="771">
        <f t="shared" si="14"/>
        <v>100</v>
      </c>
      <c r="X38" s="772"/>
      <c r="Y38" s="3267"/>
      <c r="Z38" s="55" t="str">
        <f t="shared" si="15"/>
        <v>写字楼等级</v>
      </c>
      <c r="AA38" s="773">
        <f t="shared" si="3"/>
        <v>1</v>
      </c>
      <c r="AB38" s="773">
        <f t="shared" si="4"/>
        <v>1</v>
      </c>
      <c r="AC38" s="2672">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05" t="s">
        <v>2562</v>
      </c>
      <c r="Q39" s="1809" t="str">
        <f t="shared" si="11"/>
        <v>物业管理</v>
      </c>
      <c r="R39" s="774" t="s">
        <v>17</v>
      </c>
      <c r="S39" s="775">
        <f t="shared" si="12"/>
        <v>100</v>
      </c>
      <c r="T39" s="774" t="s">
        <v>17</v>
      </c>
      <c r="U39" s="775">
        <f t="shared" si="13"/>
        <v>100</v>
      </c>
      <c r="V39" s="774" t="s">
        <v>17</v>
      </c>
      <c r="W39" s="775">
        <f t="shared" si="14"/>
        <v>100</v>
      </c>
      <c r="X39" s="1812"/>
      <c r="Y39" s="3267" t="s">
        <v>2562</v>
      </c>
      <c r="Z39" s="1813" t="str">
        <f t="shared" si="15"/>
        <v>物业管理</v>
      </c>
      <c r="AA39" s="1810">
        <f t="shared" si="3"/>
        <v>1</v>
      </c>
      <c r="AB39" s="1810">
        <f t="shared" si="4"/>
        <v>1</v>
      </c>
      <c r="AC39" s="2675">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05"/>
      <c r="Q40" s="1809" t="str">
        <f t="shared" si="11"/>
        <v>市政基础设施</v>
      </c>
      <c r="R40" s="774" t="s">
        <v>17</v>
      </c>
      <c r="S40" s="775">
        <f t="shared" si="12"/>
        <v>100</v>
      </c>
      <c r="T40" s="774" t="s">
        <v>17</v>
      </c>
      <c r="U40" s="775">
        <f t="shared" si="13"/>
        <v>100</v>
      </c>
      <c r="V40" s="774" t="s">
        <v>17</v>
      </c>
      <c r="W40" s="775">
        <f t="shared" si="14"/>
        <v>100</v>
      </c>
      <c r="X40" s="1812"/>
      <c r="Y40" s="3267"/>
      <c r="Z40" s="1813" t="str">
        <f t="shared" si="15"/>
        <v>市政基础设施</v>
      </c>
      <c r="AA40" s="1810">
        <f t="shared" si="3"/>
        <v>1</v>
      </c>
      <c r="AB40" s="1810">
        <f t="shared" si="4"/>
        <v>1</v>
      </c>
      <c r="AC40" s="2675">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05"/>
      <c r="Q41" s="1809" t="str">
        <f t="shared" si="11"/>
        <v>层高</v>
      </c>
      <c r="R41" s="774" t="s">
        <v>17</v>
      </c>
      <c r="S41" s="775">
        <f t="shared" si="12"/>
        <v>100</v>
      </c>
      <c r="T41" s="774" t="s">
        <v>17</v>
      </c>
      <c r="U41" s="775">
        <f t="shared" si="13"/>
        <v>100</v>
      </c>
      <c r="V41" s="774" t="s">
        <v>17</v>
      </c>
      <c r="W41" s="775">
        <f t="shared" si="14"/>
        <v>100</v>
      </c>
      <c r="X41" s="1812"/>
      <c r="Y41" s="3267"/>
      <c r="Z41" s="1813" t="str">
        <f t="shared" si="15"/>
        <v>层高</v>
      </c>
      <c r="AA41" s="1810">
        <f t="shared" si="3"/>
        <v>1</v>
      </c>
      <c r="AB41" s="1810">
        <f t="shared" si="4"/>
        <v>1</v>
      </c>
      <c r="AC41" s="2675">
        <f t="shared" si="5"/>
        <v>1</v>
      </c>
    </row>
    <row r="42" spans="1:29" s="471" customFormat="1" ht="15">
      <c r="A42" s="468"/>
      <c r="B42" s="1811"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05"/>
      <c r="Q42" s="776" t="str">
        <f t="shared" si="11"/>
        <v>单套建筑面积</v>
      </c>
      <c r="R42" s="777" t="s">
        <v>17</v>
      </c>
      <c r="S42" s="778">
        <f t="shared" si="12"/>
        <v>100</v>
      </c>
      <c r="T42" s="777" t="s">
        <v>17</v>
      </c>
      <c r="U42" s="778">
        <f t="shared" si="13"/>
        <v>100</v>
      </c>
      <c r="V42" s="777" t="s">
        <v>17</v>
      </c>
      <c r="W42" s="778">
        <f t="shared" si="14"/>
        <v>100</v>
      </c>
      <c r="X42" s="779"/>
      <c r="Y42" s="3267"/>
      <c r="Z42" s="780" t="str">
        <f t="shared" si="15"/>
        <v>单套建筑面积</v>
      </c>
      <c r="AA42" s="1810">
        <f t="shared" si="3"/>
        <v>1</v>
      </c>
      <c r="AB42" s="1810">
        <f t="shared" si="4"/>
        <v>1</v>
      </c>
      <c r="AC42" s="2675">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05"/>
      <c r="Q43" s="1809" t="str">
        <f t="shared" si="11"/>
        <v>内部装修</v>
      </c>
      <c r="R43" s="774" t="s">
        <v>17</v>
      </c>
      <c r="S43" s="775">
        <f t="shared" si="12"/>
        <v>100</v>
      </c>
      <c r="T43" s="774" t="s">
        <v>17</v>
      </c>
      <c r="U43" s="775">
        <f t="shared" si="13"/>
        <v>100</v>
      </c>
      <c r="V43" s="774" t="s">
        <v>17</v>
      </c>
      <c r="W43" s="775">
        <f t="shared" si="14"/>
        <v>100</v>
      </c>
      <c r="X43" s="1812"/>
      <c r="Y43" s="3267"/>
      <c r="Z43" s="1813" t="str">
        <f t="shared" si="15"/>
        <v>内部装修</v>
      </c>
      <c r="AA43" s="1810">
        <f t="shared" si="3"/>
        <v>1</v>
      </c>
      <c r="AB43" s="1810">
        <f t="shared" si="4"/>
        <v>1</v>
      </c>
      <c r="AC43" s="2675">
        <f t="shared" si="5"/>
        <v>1</v>
      </c>
    </row>
    <row r="44" spans="1:29" ht="28.8">
      <c r="A44" s="472"/>
      <c r="B44" s="422" t="s">
        <v>2573</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305"/>
      <c r="Q44" s="1809" t="str">
        <f t="shared" si="11"/>
        <v>内部装修维护情况</v>
      </c>
      <c r="R44" s="774" t="s">
        <v>17</v>
      </c>
      <c r="S44" s="775">
        <f t="shared" si="12"/>
        <v>100</v>
      </c>
      <c r="T44" s="774" t="s">
        <v>17</v>
      </c>
      <c r="U44" s="775">
        <f t="shared" si="13"/>
        <v>100</v>
      </c>
      <c r="V44" s="774" t="s">
        <v>17</v>
      </c>
      <c r="W44" s="775">
        <f t="shared" si="14"/>
        <v>100</v>
      </c>
      <c r="X44" s="1812"/>
      <c r="Y44" s="3267"/>
      <c r="Z44" s="1813" t="str">
        <f t="shared" si="15"/>
        <v>内部装修维护情况</v>
      </c>
      <c r="AA44" s="1810">
        <f t="shared" si="3"/>
        <v>1</v>
      </c>
      <c r="AB44" s="1810">
        <f t="shared" si="4"/>
        <v>1</v>
      </c>
      <c r="AC44" s="2675">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05"/>
      <c r="Q45" s="1794">
        <f t="shared" si="11"/>
        <v>111</v>
      </c>
      <c r="R45" s="770" t="s">
        <v>17</v>
      </c>
      <c r="S45" s="771">
        <f t="shared" si="12"/>
        <v>100</v>
      </c>
      <c r="T45" s="770" t="s">
        <v>17</v>
      </c>
      <c r="U45" s="771">
        <f t="shared" si="13"/>
        <v>100</v>
      </c>
      <c r="V45" s="770" t="s">
        <v>17</v>
      </c>
      <c r="W45" s="771">
        <f t="shared" si="14"/>
        <v>100</v>
      </c>
      <c r="X45" s="772"/>
      <c r="Y45" s="3267"/>
      <c r="Z45" s="55">
        <f t="shared" si="15"/>
        <v>111</v>
      </c>
      <c r="AA45" s="773">
        <f t="shared" si="3"/>
        <v>1</v>
      </c>
      <c r="AB45" s="773">
        <f t="shared" si="4"/>
        <v>1</v>
      </c>
      <c r="AC45" s="2672">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05"/>
      <c r="Q46" s="1809">
        <f t="shared" si="11"/>
        <v>111</v>
      </c>
      <c r="R46" s="774" t="s">
        <v>17</v>
      </c>
      <c r="S46" s="775">
        <f t="shared" si="12"/>
        <v>100</v>
      </c>
      <c r="T46" s="774" t="s">
        <v>17</v>
      </c>
      <c r="U46" s="775">
        <f t="shared" si="13"/>
        <v>100</v>
      </c>
      <c r="V46" s="774" t="s">
        <v>17</v>
      </c>
      <c r="W46" s="775">
        <f t="shared" si="14"/>
        <v>100</v>
      </c>
      <c r="X46" s="1812"/>
      <c r="Y46" s="3267"/>
      <c r="Z46" s="1813">
        <f t="shared" si="15"/>
        <v>111</v>
      </c>
      <c r="AA46" s="1810">
        <f t="shared" si="3"/>
        <v>1</v>
      </c>
      <c r="AB46" s="1810">
        <f t="shared" si="4"/>
        <v>1</v>
      </c>
      <c r="AC46" s="2675">
        <f t="shared" si="5"/>
        <v>1</v>
      </c>
    </row>
    <row r="47" spans="1:29" ht="15.6"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06"/>
      <c r="Q47" s="1809">
        <f t="shared" si="11"/>
        <v>111</v>
      </c>
      <c r="R47" s="774" t="s">
        <v>17</v>
      </c>
      <c r="S47" s="775">
        <f t="shared" si="12"/>
        <v>100</v>
      </c>
      <c r="T47" s="774" t="s">
        <v>17</v>
      </c>
      <c r="U47" s="775">
        <f t="shared" si="13"/>
        <v>100</v>
      </c>
      <c r="V47" s="774" t="s">
        <v>17</v>
      </c>
      <c r="W47" s="775">
        <f t="shared" si="14"/>
        <v>100</v>
      </c>
      <c r="X47" s="1812"/>
      <c r="Y47" s="3307"/>
      <c r="Z47" s="1813">
        <f t="shared" si="15"/>
        <v>111</v>
      </c>
      <c r="AA47" s="1810">
        <f t="shared" si="3"/>
        <v>1</v>
      </c>
      <c r="AB47" s="1810">
        <f t="shared" si="4"/>
        <v>1</v>
      </c>
      <c r="AC47" s="2675">
        <f t="shared" si="5"/>
        <v>1</v>
      </c>
    </row>
    <row r="48" spans="1:29" ht="14.4">
      <c r="A48" s="479" t="s">
        <v>2574</v>
      </c>
      <c r="B48" s="480"/>
      <c r="C48" s="1407" t="s">
        <v>1</v>
      </c>
      <c r="D48" s="1408"/>
      <c r="E48" s="1409"/>
      <c r="F48" s="1410"/>
      <c r="G48" s="1411"/>
      <c r="H48" s="1412"/>
      <c r="I48" s="1409"/>
      <c r="J48" s="485"/>
      <c r="K48" s="783"/>
      <c r="L48" s="1143"/>
      <c r="M48" s="1131"/>
      <c r="N48" s="1131"/>
      <c r="O48" s="1131"/>
      <c r="P48" s="3273" t="str">
        <f>A48</f>
        <v>成交单价（元/平方米）</v>
      </c>
      <c r="Q48" s="3249"/>
      <c r="R48" s="3303">
        <f>E48</f>
        <v>0</v>
      </c>
      <c r="S48" s="3303"/>
      <c r="T48" s="3303">
        <f>G48</f>
        <v>0</v>
      </c>
      <c r="U48" s="3303"/>
      <c r="V48" s="3303">
        <f>I48</f>
        <v>0</v>
      </c>
      <c r="W48" s="3303"/>
      <c r="X48" s="446"/>
      <c r="Y48" s="781"/>
      <c r="Z48" s="446"/>
      <c r="AA48" s="446"/>
      <c r="AB48" s="446"/>
      <c r="AC48" s="630"/>
    </row>
    <row r="49" spans="1:29" ht="1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273" t="str">
        <f>A49</f>
        <v>比较价值（元/平方米）</v>
      </c>
      <c r="Q49" s="3249"/>
      <c r="R49" s="3303" t="e">
        <f>IF(F1="售价",ROUND(PRODUCT(R48,AA7:AA47),0),ROUND(PRODUCT(R48,AA7:AA47),1))</f>
        <v>#DIV/0!</v>
      </c>
      <c r="S49" s="3303"/>
      <c r="T49" s="3303" t="e">
        <f>IF(F1="售价",ROUND(PRODUCT(T48,AB7:AB47),0),ROUND(PRODUCT(T48,AB7:AB47),1))</f>
        <v>#DIV/0!</v>
      </c>
      <c r="U49" s="3303"/>
      <c r="V49" s="3303" t="e">
        <f>IF(F1="售价",ROUND(PRODUCT(V48,AC7:AC47),0),ROUND(PRODUCT(V48,AC7:AC47),1))</f>
        <v>#DIV/0!</v>
      </c>
      <c r="W49" s="3303"/>
      <c r="X49" s="446"/>
      <c r="Y49" s="446"/>
      <c r="Z49" s="446"/>
      <c r="AA49" s="446"/>
      <c r="AB49" s="446"/>
      <c r="AC49" s="630"/>
    </row>
    <row r="50" spans="1:29" ht="15" thickBot="1">
      <c r="A50" s="492" t="s">
        <v>2667</v>
      </c>
      <c r="B50" s="493"/>
      <c r="C50" s="1417" t="e">
        <f>R50</f>
        <v>#DIV/0!</v>
      </c>
      <c r="D50" s="1417"/>
      <c r="E50" s="1417"/>
      <c r="F50" s="1417"/>
      <c r="G50" s="1417"/>
      <c r="H50" s="1417"/>
      <c r="I50" s="1417"/>
      <c r="J50" s="494"/>
      <c r="K50" s="785"/>
      <c r="L50" s="1143"/>
      <c r="M50" s="1131"/>
      <c r="N50" s="1131"/>
      <c r="O50" s="1131"/>
      <c r="P50" s="3322" t="str">
        <f>A50</f>
        <v>估价对象XX用房的比较价值（楼面单价，元/平方米）</v>
      </c>
      <c r="Q50" s="3323"/>
      <c r="R50" s="3324" t="e">
        <f>IF(F1="售价",ROUND(AVERAGE(R49:V49),0),ROUND(AVERAGE(R49:V49),1))</f>
        <v>#DIV/0!</v>
      </c>
      <c r="S50" s="3324"/>
      <c r="T50" s="3324"/>
      <c r="U50" s="3324"/>
      <c r="V50" s="3324"/>
      <c r="W50" s="3324"/>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2.2" thickBot="1">
      <c r="A58" s="763" t="s">
        <v>2671</v>
      </c>
      <c r="B58" s="759"/>
      <c r="C58" s="764"/>
      <c r="D58" s="764"/>
      <c r="E58" s="764"/>
      <c r="F58" s="765"/>
      <c r="G58" s="765"/>
      <c r="H58" s="764"/>
      <c r="I58" s="764"/>
      <c r="J58" s="764"/>
      <c r="K58" s="766"/>
      <c r="L58" s="1161"/>
      <c r="M58" s="1159"/>
      <c r="N58" s="1159"/>
      <c r="O58" s="1159"/>
      <c r="P58" s="2682"/>
      <c r="Q58" s="504"/>
    </row>
    <row r="59" spans="1:29" s="508" customFormat="1" ht="14.4">
      <c r="A59" s="505" t="s">
        <v>2545</v>
      </c>
      <c r="B59" s="506"/>
      <c r="C59" s="1573" t="str">
        <f>YEAR(C7)&amp;"-"&amp;MONTH(C7)</f>
        <v>2020-3</v>
      </c>
      <c r="D59" s="1574">
        <f>EDATE(C59,-1)</f>
        <v>43862</v>
      </c>
      <c r="E59" s="1574">
        <f>EDATE(D59,-1)</f>
        <v>43831</v>
      </c>
      <c r="F59" s="1574">
        <f t="shared" ref="F59:O59" si="16">EDATE(E59,-1)</f>
        <v>43800</v>
      </c>
      <c r="G59" s="1574">
        <f t="shared" si="16"/>
        <v>43770</v>
      </c>
      <c r="H59" s="1574">
        <f t="shared" si="16"/>
        <v>43739</v>
      </c>
      <c r="I59" s="1574">
        <f t="shared" si="16"/>
        <v>43709</v>
      </c>
      <c r="J59" s="1574">
        <f t="shared" si="16"/>
        <v>43678</v>
      </c>
      <c r="K59" s="1574">
        <f t="shared" si="16"/>
        <v>43647</v>
      </c>
      <c r="L59" s="1574">
        <f t="shared" si="16"/>
        <v>43617</v>
      </c>
      <c r="M59" s="1574">
        <f t="shared" si="16"/>
        <v>43586</v>
      </c>
      <c r="N59" s="1574">
        <f t="shared" si="16"/>
        <v>43556</v>
      </c>
      <c r="O59" s="1574">
        <f t="shared" si="16"/>
        <v>43525</v>
      </c>
      <c r="P59" s="1570"/>
    </row>
    <row r="60" spans="1:29" s="117" customFormat="1">
      <c r="A60" s="509"/>
      <c r="B60" s="510"/>
      <c r="C60" s="1572">
        <v>100</v>
      </c>
      <c r="D60" s="512"/>
      <c r="E60" s="512"/>
      <c r="F60" s="512"/>
      <c r="G60" s="512"/>
      <c r="H60" s="512"/>
      <c r="I60" s="512"/>
      <c r="J60" s="512"/>
      <c r="K60" s="512"/>
      <c r="L60" s="512"/>
      <c r="M60" s="513"/>
      <c r="N60" s="512"/>
      <c r="O60" s="513"/>
      <c r="P60" s="2683"/>
    </row>
    <row r="61" spans="1:29" s="117" customFormat="1" ht="15" thickBot="1">
      <c r="A61" s="515" t="s">
        <v>2582</v>
      </c>
      <c r="B61" s="516"/>
      <c r="C61" s="517"/>
      <c r="D61" s="518"/>
      <c r="E61" s="518"/>
      <c r="F61" s="518"/>
      <c r="G61" s="518"/>
      <c r="H61" s="518"/>
      <c r="I61" s="518"/>
      <c r="J61" s="518"/>
      <c r="K61" s="518"/>
      <c r="L61" s="518"/>
      <c r="M61" s="519"/>
      <c r="N61" s="518"/>
      <c r="O61" s="519"/>
      <c r="P61" s="2683"/>
      <c r="Q61" s="504"/>
    </row>
    <row r="62" spans="1:29" s="117" customFormat="1" ht="14.4">
      <c r="A62" s="521" t="s">
        <v>2547</v>
      </c>
      <c r="B62" s="510"/>
      <c r="C62" s="522" t="s">
        <v>2649</v>
      </c>
      <c r="D62" s="523"/>
      <c r="E62" s="523"/>
      <c r="F62" s="523"/>
      <c r="G62" s="523"/>
      <c r="H62" s="523"/>
      <c r="I62" s="523"/>
      <c r="J62" s="523"/>
      <c r="K62" s="523"/>
      <c r="L62" s="524"/>
      <c r="M62" s="525"/>
      <c r="N62" s="1151"/>
      <c r="O62" s="1151"/>
      <c r="P62" s="2684"/>
      <c r="Q62" s="504"/>
    </row>
    <row r="63" spans="1:29" s="117" customFormat="1" ht="14.4" thickBot="1">
      <c r="A63" s="521"/>
      <c r="B63" s="510"/>
      <c r="C63" s="511">
        <v>100</v>
      </c>
      <c r="D63" s="512"/>
      <c r="E63" s="512"/>
      <c r="F63" s="512"/>
      <c r="G63" s="512"/>
      <c r="H63" s="512"/>
      <c r="I63" s="512"/>
      <c r="J63" s="512"/>
      <c r="K63" s="512"/>
      <c r="L63" s="512"/>
      <c r="M63" s="514"/>
      <c r="N63" s="1151"/>
      <c r="O63" s="1151"/>
      <c r="P63" s="2683"/>
      <c r="Q63" s="504"/>
    </row>
    <row r="64" spans="1:29" ht="14.4">
      <c r="A64" s="527" t="s">
        <v>2585</v>
      </c>
      <c r="B64" s="528" t="s">
        <v>2551</v>
      </c>
      <c r="C64" s="529">
        <f>C9</f>
        <v>0</v>
      </c>
      <c r="D64" s="530"/>
      <c r="E64" s="530"/>
      <c r="F64" s="530"/>
      <c r="G64" s="530"/>
      <c r="H64" s="530"/>
      <c r="I64" s="530"/>
      <c r="J64" s="530"/>
      <c r="K64" s="531"/>
      <c r="L64" s="532"/>
      <c r="M64" s="533"/>
      <c r="N64" s="1152"/>
      <c r="O64" s="1152"/>
      <c r="P64" s="2685"/>
      <c r="Q64" s="504"/>
    </row>
    <row r="65" spans="1:17" ht="14.4" thickBot="1">
      <c r="A65" s="534"/>
      <c r="B65" s="535"/>
      <c r="C65" s="536">
        <v>100</v>
      </c>
      <c r="D65" s="536"/>
      <c r="E65" s="536"/>
      <c r="F65" s="536"/>
      <c r="G65" s="536"/>
      <c r="H65" s="536"/>
      <c r="I65" s="536"/>
      <c r="J65" s="536"/>
      <c r="K65" s="536"/>
      <c r="L65" s="536"/>
      <c r="M65" s="537"/>
      <c r="N65" s="1153"/>
      <c r="O65" s="1153"/>
      <c r="P65" s="2685"/>
      <c r="Q65" s="504"/>
    </row>
    <row r="66" spans="1:17" ht="29.4"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5"/>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5"/>
      <c r="Q67" s="504"/>
    </row>
    <row r="68" spans="1:17" ht="1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c r="A69" s="534"/>
      <c r="B69" s="548"/>
      <c r="C69" s="549"/>
      <c r="D69" s="549"/>
      <c r="E69" s="549"/>
      <c r="F69" s="549"/>
      <c r="G69" s="549"/>
      <c r="H69" s="549"/>
      <c r="I69" s="549"/>
      <c r="J69" s="549"/>
      <c r="K69" s="550"/>
      <c r="L69" s="551"/>
      <c r="M69" s="552"/>
      <c r="N69" s="1152"/>
      <c r="O69" s="1152"/>
      <c r="P69" s="2685"/>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4.4" thickTop="1">
      <c r="A71" s="553"/>
      <c r="B71" s="538">
        <f>B12</f>
        <v>111</v>
      </c>
      <c r="C71" s="554"/>
      <c r="D71" s="554"/>
      <c r="E71" s="554"/>
      <c r="F71" s="554"/>
      <c r="G71" s="554"/>
      <c r="H71" s="555"/>
      <c r="I71" s="555"/>
      <c r="J71" s="555"/>
      <c r="K71" s="555"/>
      <c r="L71" s="556"/>
      <c r="M71" s="557"/>
      <c r="N71" s="1154"/>
      <c r="O71" s="1154"/>
      <c r="P71" s="2686"/>
      <c r="Q71" s="559"/>
    </row>
    <row r="72" spans="1:17" s="471" customFormat="1" ht="14.4" thickBot="1">
      <c r="A72" s="553"/>
      <c r="B72" s="543"/>
      <c r="C72" s="560"/>
      <c r="D72" s="536"/>
      <c r="E72" s="536"/>
      <c r="F72" s="536"/>
      <c r="G72" s="536"/>
      <c r="H72" s="536"/>
      <c r="I72" s="536"/>
      <c r="J72" s="536"/>
      <c r="K72" s="536"/>
      <c r="L72" s="536"/>
      <c r="M72" s="537"/>
      <c r="N72" s="1153"/>
      <c r="O72" s="1153"/>
      <c r="P72" s="2686"/>
      <c r="Q72" s="559"/>
    </row>
    <row r="73" spans="1:17" s="471" customFormat="1" ht="14.4" thickTop="1">
      <c r="A73" s="553"/>
      <c r="B73" s="538">
        <f>B13</f>
        <v>111</v>
      </c>
      <c r="C73" s="554"/>
      <c r="D73" s="554"/>
      <c r="E73" s="554"/>
      <c r="F73" s="554"/>
      <c r="G73" s="554"/>
      <c r="H73" s="555"/>
      <c r="I73" s="555"/>
      <c r="J73" s="555"/>
      <c r="K73" s="555"/>
      <c r="L73" s="556"/>
      <c r="M73" s="557"/>
      <c r="N73" s="1154"/>
      <c r="O73" s="1154"/>
      <c r="P73" s="2687"/>
      <c r="Q73" s="561"/>
    </row>
    <row r="74" spans="1:17" s="471" customFormat="1" ht="14.4" thickBot="1">
      <c r="A74" s="553"/>
      <c r="B74" s="543"/>
      <c r="C74" s="560"/>
      <c r="D74" s="560"/>
      <c r="E74" s="560"/>
      <c r="F74" s="560"/>
      <c r="G74" s="560"/>
      <c r="H74" s="562"/>
      <c r="I74" s="562"/>
      <c r="J74" s="562"/>
      <c r="K74" s="562"/>
      <c r="L74" s="562"/>
      <c r="M74" s="563"/>
      <c r="N74" s="1154"/>
      <c r="O74" s="1154"/>
      <c r="P74" s="2686"/>
      <c r="Q74" s="559"/>
    </row>
    <row r="75" spans="1:17" s="471" customFormat="1" ht="14.4" thickTop="1">
      <c r="A75" s="553"/>
      <c r="B75" s="546">
        <f>B14</f>
        <v>111</v>
      </c>
      <c r="C75" s="523"/>
      <c r="D75" s="523"/>
      <c r="E75" s="523"/>
      <c r="F75" s="523"/>
      <c r="G75" s="523"/>
      <c r="H75" s="564"/>
      <c r="I75" s="564"/>
      <c r="J75" s="564"/>
      <c r="K75" s="564"/>
      <c r="L75" s="565"/>
      <c r="M75" s="566"/>
      <c r="N75" s="1154"/>
      <c r="O75" s="1154"/>
      <c r="P75" s="2688"/>
      <c r="Q75" s="559"/>
    </row>
    <row r="76" spans="1:17" s="471" customFormat="1" ht="14.4" thickBot="1">
      <c r="A76" s="568"/>
      <c r="B76" s="569"/>
      <c r="C76" s="570"/>
      <c r="D76" s="570"/>
      <c r="E76" s="570"/>
      <c r="F76" s="570"/>
      <c r="G76" s="570"/>
      <c r="H76" s="571"/>
      <c r="I76" s="571"/>
      <c r="J76" s="571"/>
      <c r="K76" s="571"/>
      <c r="L76" s="571"/>
      <c r="M76" s="572"/>
      <c r="N76" s="1154"/>
      <c r="O76" s="1154"/>
      <c r="P76" s="2686"/>
      <c r="Q76" s="559"/>
    </row>
    <row r="77" spans="1:17" ht="14.4">
      <c r="A77" s="527" t="s">
        <v>2556</v>
      </c>
      <c r="B77" s="528" t="s">
        <v>2694</v>
      </c>
      <c r="C77" s="573" t="s">
        <v>2594</v>
      </c>
      <c r="D77" s="573" t="s">
        <v>2595</v>
      </c>
      <c r="E77" s="573" t="s">
        <v>2596</v>
      </c>
      <c r="F77" s="573" t="s">
        <v>2597</v>
      </c>
      <c r="G77" s="573" t="s">
        <v>2598</v>
      </c>
      <c r="H77" s="529"/>
      <c r="I77" s="529"/>
      <c r="J77" s="529"/>
      <c r="K77" s="574"/>
      <c r="L77" s="575"/>
      <c r="M77" s="576"/>
      <c r="N77" s="1152"/>
      <c r="O77" s="1152"/>
      <c r="P77" s="2689"/>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5"/>
      <c r="Q78" s="504"/>
    </row>
    <row r="79" spans="1:17" ht="15" thickTop="1">
      <c r="A79" s="534"/>
      <c r="B79" s="538" t="s">
        <v>2599</v>
      </c>
      <c r="C79" s="578" t="s">
        <v>2594</v>
      </c>
      <c r="D79" s="578" t="s">
        <v>2595</v>
      </c>
      <c r="E79" s="578" t="s">
        <v>2596</v>
      </c>
      <c r="F79" s="578" t="s">
        <v>2597</v>
      </c>
      <c r="G79" s="578" t="s">
        <v>2598</v>
      </c>
      <c r="H79" s="539"/>
      <c r="I79" s="539"/>
      <c r="J79" s="539"/>
      <c r="K79" s="540"/>
      <c r="L79" s="541"/>
      <c r="M79" s="542"/>
      <c r="N79" s="1152"/>
      <c r="O79" s="1152"/>
      <c r="P79" s="2685"/>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5"/>
      <c r="Q80" s="504"/>
    </row>
    <row r="81" spans="1:17" ht="15" thickTop="1">
      <c r="A81" s="534"/>
      <c r="B81" s="538" t="s">
        <v>2600</v>
      </c>
      <c r="C81" s="578" t="s">
        <v>2594</v>
      </c>
      <c r="D81" s="578" t="s">
        <v>2595</v>
      </c>
      <c r="E81" s="578" t="s">
        <v>2596</v>
      </c>
      <c r="F81" s="578" t="s">
        <v>2597</v>
      </c>
      <c r="G81" s="578" t="s">
        <v>2598</v>
      </c>
      <c r="H81" s="539"/>
      <c r="I81" s="539"/>
      <c r="J81" s="539"/>
      <c r="K81" s="540"/>
      <c r="L81" s="541"/>
      <c r="M81" s="542"/>
      <c r="N81" s="1152"/>
      <c r="O81" s="1152"/>
      <c r="P81" s="2685"/>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5"/>
      <c r="Q82" s="504"/>
    </row>
    <row r="83" spans="1:17" ht="15" thickTop="1">
      <c r="A83" s="534"/>
      <c r="B83" s="546" t="s">
        <v>2686</v>
      </c>
      <c r="C83" s="660" t="s">
        <v>2672</v>
      </c>
      <c r="D83" s="660" t="s">
        <v>2673</v>
      </c>
      <c r="E83" s="660" t="s">
        <v>2674</v>
      </c>
      <c r="F83" s="660" t="s">
        <v>2675</v>
      </c>
      <c r="G83" s="660" t="s">
        <v>2676</v>
      </c>
      <c r="H83" s="539"/>
      <c r="I83" s="539"/>
      <c r="J83" s="539"/>
      <c r="K83" s="539"/>
      <c r="L83" s="539"/>
      <c r="M83" s="1382"/>
      <c r="N83" s="1153"/>
      <c r="O83" s="1153"/>
      <c r="P83" s="2685"/>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5"/>
      <c r="Q84" s="504"/>
    </row>
    <row r="85" spans="1:17" ht="15" thickTop="1">
      <c r="A85" s="534"/>
      <c r="B85" s="538" t="s">
        <v>2695</v>
      </c>
      <c r="C85" s="578" t="s">
        <v>2594</v>
      </c>
      <c r="D85" s="578" t="s">
        <v>2595</v>
      </c>
      <c r="E85" s="578" t="s">
        <v>2596</v>
      </c>
      <c r="F85" s="578" t="s">
        <v>2597</v>
      </c>
      <c r="G85" s="578" t="s">
        <v>2598</v>
      </c>
      <c r="H85" s="539"/>
      <c r="I85" s="539"/>
      <c r="J85" s="539"/>
      <c r="K85" s="540"/>
      <c r="L85" s="541"/>
      <c r="M85" s="542"/>
      <c r="N85" s="1152"/>
      <c r="O85" s="1152"/>
      <c r="P85" s="2685"/>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5"/>
      <c r="Q86" s="504"/>
    </row>
    <row r="87" spans="1:17" s="117" customFormat="1" ht="29.4" thickTop="1">
      <c r="A87" s="579"/>
      <c r="B87" s="538" t="s">
        <v>2696</v>
      </c>
      <c r="C87" s="554"/>
      <c r="D87" s="554"/>
      <c r="E87" s="554"/>
      <c r="F87" s="554"/>
      <c r="G87" s="554"/>
      <c r="H87" s="554"/>
      <c r="I87" s="554"/>
      <c r="J87" s="554"/>
      <c r="K87" s="554"/>
      <c r="L87" s="580"/>
      <c r="M87" s="581"/>
      <c r="N87" s="1151"/>
      <c r="O87" s="1151"/>
      <c r="P87" s="2685"/>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5"/>
      <c r="Q88" s="504"/>
    </row>
    <row r="89" spans="1:17" s="117" customFormat="1" ht="14.4" thickTop="1">
      <c r="A89" s="579"/>
      <c r="B89" s="538" t="str">
        <f>B27</f>
        <v>楼层</v>
      </c>
      <c r="C89" s="554"/>
      <c r="D89" s="554"/>
      <c r="E89" s="554"/>
      <c r="F89" s="2636"/>
      <c r="G89" s="554"/>
      <c r="H89" s="554"/>
      <c r="I89" s="554"/>
      <c r="J89" s="554"/>
      <c r="K89" s="554"/>
      <c r="L89" s="554"/>
      <c r="M89" s="581"/>
      <c r="N89" s="1151"/>
      <c r="O89" s="1151"/>
      <c r="P89" s="2685"/>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5"/>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4.4" thickTop="1">
      <c r="A93" s="534"/>
      <c r="B93" s="538">
        <f>B29</f>
        <v>111</v>
      </c>
      <c r="C93" s="554"/>
      <c r="D93" s="554"/>
      <c r="E93" s="554"/>
      <c r="F93" s="554"/>
      <c r="G93" s="554"/>
      <c r="H93" s="554"/>
      <c r="I93" s="554"/>
      <c r="J93" s="554"/>
      <c r="K93" s="554"/>
      <c r="L93" s="580"/>
      <c r="M93" s="581"/>
      <c r="N93" s="1152"/>
      <c r="O93" s="1152"/>
      <c r="P93" s="2685"/>
      <c r="Q93" s="504"/>
    </row>
    <row r="94" spans="1:17" ht="14.4" thickBot="1">
      <c r="A94" s="534"/>
      <c r="B94" s="543"/>
      <c r="C94" s="560"/>
      <c r="D94" s="536"/>
      <c r="E94" s="536"/>
      <c r="F94" s="536"/>
      <c r="G94" s="536"/>
      <c r="H94" s="536"/>
      <c r="I94" s="536"/>
      <c r="J94" s="536"/>
      <c r="K94" s="536"/>
      <c r="L94" s="536"/>
      <c r="M94" s="537"/>
      <c r="N94" s="1153"/>
      <c r="O94" s="1153"/>
      <c r="P94" s="2685"/>
      <c r="Q94" s="504"/>
    </row>
    <row r="95" spans="1:17" ht="14.4" thickTop="1">
      <c r="A95" s="534"/>
      <c r="B95" s="538">
        <f>B30</f>
        <v>111</v>
      </c>
      <c r="C95" s="554"/>
      <c r="D95" s="554"/>
      <c r="E95" s="554"/>
      <c r="F95" s="554"/>
      <c r="G95" s="583"/>
      <c r="H95" s="583"/>
      <c r="I95" s="583"/>
      <c r="J95" s="583"/>
      <c r="K95" s="584"/>
      <c r="L95" s="585"/>
      <c r="M95" s="586"/>
      <c r="N95" s="1152"/>
      <c r="O95" s="1152"/>
      <c r="P95" s="2685"/>
      <c r="Q95" s="504"/>
    </row>
    <row r="96" spans="1:17" ht="14.4" thickBot="1">
      <c r="A96" s="534"/>
      <c r="B96" s="543"/>
      <c r="C96" s="560"/>
      <c r="D96" s="560"/>
      <c r="E96" s="560"/>
      <c r="F96" s="560"/>
      <c r="G96" s="536"/>
      <c r="H96" s="536"/>
      <c r="I96" s="536"/>
      <c r="J96" s="536"/>
      <c r="K96" s="536"/>
      <c r="L96" s="536"/>
      <c r="M96" s="537"/>
      <c r="N96" s="1153"/>
      <c r="O96" s="1153"/>
      <c r="P96" s="2685"/>
      <c r="Q96" s="504"/>
    </row>
    <row r="97" spans="1:17" ht="14.4" thickTop="1">
      <c r="A97" s="534"/>
      <c r="B97" s="538">
        <f>B31</f>
        <v>111</v>
      </c>
      <c r="C97" s="554"/>
      <c r="D97" s="554"/>
      <c r="E97" s="554"/>
      <c r="F97" s="554"/>
      <c r="G97" s="583"/>
      <c r="H97" s="583"/>
      <c r="I97" s="583"/>
      <c r="J97" s="583"/>
      <c r="K97" s="584"/>
      <c r="L97" s="585"/>
      <c r="M97" s="586"/>
      <c r="N97" s="1152"/>
      <c r="O97" s="1152"/>
      <c r="P97" s="2685"/>
      <c r="Q97" s="504"/>
    </row>
    <row r="98" spans="1:17" ht="14.4" thickBot="1">
      <c r="A98" s="534"/>
      <c r="B98" s="543"/>
      <c r="C98" s="560"/>
      <c r="D98" s="536"/>
      <c r="E98" s="536"/>
      <c r="F98" s="536"/>
      <c r="G98" s="536"/>
      <c r="H98" s="536"/>
      <c r="I98" s="536"/>
      <c r="J98" s="536"/>
      <c r="K98" s="536"/>
      <c r="L98" s="536"/>
      <c r="M98" s="537"/>
      <c r="N98" s="1153"/>
      <c r="O98" s="1153"/>
      <c r="P98" s="2685"/>
      <c r="Q98" s="504"/>
    </row>
    <row r="99" spans="1:17" ht="14.4" thickTop="1">
      <c r="A99" s="534"/>
      <c r="B99" s="546">
        <f>B32</f>
        <v>111</v>
      </c>
      <c r="C99" s="523"/>
      <c r="D99" s="523"/>
      <c r="E99" s="523"/>
      <c r="F99" s="523"/>
      <c r="G99" s="587"/>
      <c r="H99" s="587"/>
      <c r="I99" s="587"/>
      <c r="J99" s="587"/>
      <c r="K99" s="588"/>
      <c r="L99" s="589"/>
      <c r="M99" s="590"/>
      <c r="N99" s="1152"/>
      <c r="O99" s="1152"/>
      <c r="P99" s="2685"/>
      <c r="Q99" s="504"/>
    </row>
    <row r="100" spans="1:17" ht="14.4" thickBot="1">
      <c r="A100" s="2637"/>
      <c r="B100" s="569"/>
      <c r="C100" s="570"/>
      <c r="D100" s="570"/>
      <c r="E100" s="570"/>
      <c r="F100" s="570"/>
      <c r="G100" s="591"/>
      <c r="H100" s="591"/>
      <c r="I100" s="591"/>
      <c r="J100" s="591"/>
      <c r="K100" s="591"/>
      <c r="L100" s="591"/>
      <c r="M100" s="592"/>
      <c r="N100" s="1153"/>
      <c r="O100" s="1153"/>
      <c r="P100" s="2685"/>
      <c r="Q100" s="504"/>
    </row>
    <row r="101" spans="1:17" ht="14.4">
      <c r="A101" s="527" t="s">
        <v>2560</v>
      </c>
      <c r="B101" s="528" t="s">
        <v>2609</v>
      </c>
      <c r="C101" s="530"/>
      <c r="D101" s="530"/>
      <c r="E101" s="530"/>
      <c r="F101" s="530"/>
      <c r="G101" s="530"/>
      <c r="H101" s="530"/>
      <c r="I101" s="530"/>
      <c r="J101" s="530"/>
      <c r="K101" s="531"/>
      <c r="L101" s="532"/>
      <c r="M101" s="533"/>
      <c r="N101" s="1152"/>
      <c r="O101" s="1152"/>
      <c r="P101" s="2685"/>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5"/>
      <c r="Q102" s="504"/>
    </row>
    <row r="103" spans="1:17" ht="1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c r="D104" s="595"/>
      <c r="E104" s="595"/>
      <c r="F104" s="595"/>
      <c r="G104" s="595"/>
      <c r="H104" s="595"/>
      <c r="I104" s="595"/>
      <c r="J104" s="596"/>
      <c r="K104" s="596"/>
      <c r="L104" s="597"/>
      <c r="M104" s="598"/>
      <c r="N104" s="1154"/>
      <c r="O104" s="1154"/>
      <c r="P104" s="2686"/>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6"/>
      <c r="Q105" s="559"/>
    </row>
    <row r="106" spans="1:17" ht="15" thickTop="1">
      <c r="A106" s="599"/>
      <c r="B106" s="538" t="s">
        <v>2611</v>
      </c>
      <c r="C106" s="554"/>
      <c r="D106" s="554"/>
      <c r="E106" s="583"/>
      <c r="F106" s="583"/>
      <c r="G106" s="583"/>
      <c r="H106" s="583"/>
      <c r="I106" s="583"/>
      <c r="J106" s="583"/>
      <c r="K106" s="584"/>
      <c r="L106" s="585"/>
      <c r="M106" s="586"/>
      <c r="N106" s="1152"/>
      <c r="O106" s="1152"/>
      <c r="P106" s="2685"/>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5"/>
      <c r="Q107" s="504"/>
    </row>
    <row r="108" spans="1:17" ht="15" thickTop="1">
      <c r="A108" s="599"/>
      <c r="B108" s="538" t="s">
        <v>2613</v>
      </c>
      <c r="C108" s="554"/>
      <c r="D108" s="554"/>
      <c r="E108" s="554"/>
      <c r="F108" s="583"/>
      <c r="G108" s="583"/>
      <c r="H108" s="583"/>
      <c r="I108" s="583"/>
      <c r="J108" s="583"/>
      <c r="K108" s="584"/>
      <c r="L108" s="585"/>
      <c r="M108" s="586"/>
      <c r="N108" s="1152"/>
      <c r="O108" s="1152"/>
      <c r="P108" s="2685"/>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5"/>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5"/>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6"/>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6"/>
      <c r="Q114" s="559"/>
    </row>
    <row r="115" spans="1:17" ht="15" thickTop="1">
      <c r="A115" s="599"/>
      <c r="B115" s="538" t="s">
        <v>2614</v>
      </c>
      <c r="C115" s="554"/>
      <c r="D115" s="554"/>
      <c r="E115" s="583"/>
      <c r="F115" s="583"/>
      <c r="G115" s="583"/>
      <c r="H115" s="583"/>
      <c r="I115" s="583"/>
      <c r="J115" s="583"/>
      <c r="K115" s="584"/>
      <c r="L115" s="585"/>
      <c r="M115" s="586"/>
      <c r="N115" s="1152"/>
      <c r="O115" s="1152"/>
      <c r="P115" s="2685"/>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5"/>
      <c r="Q116" s="504"/>
    </row>
    <row r="117" spans="1:17" ht="15" thickTop="1">
      <c r="A117" s="599"/>
      <c r="B117" s="538" t="s">
        <v>2615</v>
      </c>
      <c r="C117" s="554"/>
      <c r="D117" s="554"/>
      <c r="E117" s="554"/>
      <c r="F117" s="554"/>
      <c r="G117" s="554"/>
      <c r="H117" s="583"/>
      <c r="I117" s="583"/>
      <c r="J117" s="583"/>
      <c r="K117" s="584"/>
      <c r="L117" s="585"/>
      <c r="M117" s="586"/>
      <c r="N117" s="1152"/>
      <c r="O117" s="1152"/>
      <c r="P117" s="2685"/>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5"/>
      <c r="Q118" s="504"/>
    </row>
    <row r="119" spans="1:17" ht="15" thickTop="1">
      <c r="A119" s="599"/>
      <c r="B119" s="636" t="s">
        <v>2698</v>
      </c>
      <c r="C119" s="583"/>
      <c r="D119" s="583"/>
      <c r="E119" s="583"/>
      <c r="F119" s="583"/>
      <c r="G119" s="583"/>
      <c r="H119" s="583"/>
      <c r="I119" s="583"/>
      <c r="J119" s="583"/>
      <c r="K119" s="583"/>
      <c r="L119" s="2690"/>
      <c r="M119" s="2691"/>
      <c r="N119" s="1153"/>
      <c r="O119" s="1153"/>
      <c r="P119" s="2692"/>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5"/>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6"/>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2617</v>
      </c>
      <c r="C123" s="554"/>
      <c r="D123" s="554"/>
      <c r="E123" s="554"/>
      <c r="F123" s="583"/>
      <c r="G123" s="583"/>
      <c r="H123" s="583"/>
      <c r="I123" s="583"/>
      <c r="J123" s="583"/>
      <c r="K123" s="584"/>
      <c r="L123" s="585"/>
      <c r="M123" s="586"/>
      <c r="N123" s="1152"/>
      <c r="O123" s="1152"/>
      <c r="P123" s="2685"/>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5"/>
      <c r="Q124" s="504"/>
    </row>
    <row r="125" spans="1:17" ht="29.4"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6"/>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5"/>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6"/>
      <c r="Q128" s="559"/>
    </row>
    <row r="129" spans="1:17" ht="14.4" thickTop="1">
      <c r="A129" s="599"/>
      <c r="B129" s="538">
        <f>B46</f>
        <v>111</v>
      </c>
      <c r="C129" s="554"/>
      <c r="D129" s="554"/>
      <c r="E129" s="554"/>
      <c r="F129" s="554"/>
      <c r="G129" s="583"/>
      <c r="H129" s="583"/>
      <c r="I129" s="583"/>
      <c r="J129" s="583"/>
      <c r="K129" s="584"/>
      <c r="L129" s="585"/>
      <c r="M129" s="586"/>
      <c r="N129" s="1152"/>
      <c r="O129" s="1152"/>
      <c r="P129" s="2685"/>
      <c r="Q129" s="504"/>
    </row>
    <row r="130" spans="1:17" ht="14.4" thickBot="1">
      <c r="A130" s="534"/>
      <c r="B130" s="543"/>
      <c r="C130" s="560"/>
      <c r="D130" s="560"/>
      <c r="E130" s="560"/>
      <c r="F130" s="560"/>
      <c r="G130" s="536"/>
      <c r="H130" s="536"/>
      <c r="I130" s="536"/>
      <c r="J130" s="536"/>
      <c r="K130" s="536"/>
      <c r="L130" s="536"/>
      <c r="M130" s="537"/>
      <c r="N130" s="1153"/>
      <c r="O130" s="1153"/>
      <c r="P130" s="2685"/>
      <c r="Q130" s="504"/>
    </row>
    <row r="131" spans="1:17" ht="14.4" thickTop="1">
      <c r="A131" s="599"/>
      <c r="B131" s="546">
        <f>B47</f>
        <v>111</v>
      </c>
      <c r="C131" s="523"/>
      <c r="D131" s="523"/>
      <c r="E131" s="523"/>
      <c r="F131" s="523"/>
      <c r="G131" s="587"/>
      <c r="H131" s="587"/>
      <c r="I131" s="587"/>
      <c r="J131" s="587"/>
      <c r="K131" s="523"/>
      <c r="L131" s="524"/>
      <c r="M131" s="590"/>
      <c r="N131" s="1152"/>
      <c r="O131" s="1152"/>
      <c r="P131" s="2685"/>
      <c r="Q131" s="504"/>
    </row>
    <row r="132" spans="1:17" ht="14.4" thickBot="1">
      <c r="A132" s="2637"/>
      <c r="B132" s="569"/>
      <c r="C132" s="570"/>
      <c r="D132" s="570"/>
      <c r="E132" s="570"/>
      <c r="F132" s="570"/>
      <c r="G132" s="591"/>
      <c r="H132" s="591"/>
      <c r="I132" s="591"/>
      <c r="J132" s="591"/>
      <c r="K132" s="591"/>
      <c r="L132" s="591"/>
      <c r="M132" s="592"/>
      <c r="N132" s="1153"/>
      <c r="O132" s="1153"/>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23" priority="16" stopIfTrue="1" operator="containsText" text="超过">
      <formula>NOT(ISERROR(SEARCH("超过",F53)))</formula>
    </cfRule>
  </conditionalFormatting>
  <conditionalFormatting sqref="H55">
    <cfRule type="containsText" dxfId="122" priority="15" stopIfTrue="1" operator="containsText" text="超过">
      <formula>NOT(ISERROR(SEARCH("超过",H55)))</formula>
    </cfRule>
  </conditionalFormatting>
  <conditionalFormatting sqref="F55">
    <cfRule type="containsText" dxfId="121" priority="14" stopIfTrue="1" operator="containsText" text="超过">
      <formula>NOT(ISERROR(SEARCH("超过",F55)))</formula>
    </cfRule>
  </conditionalFormatting>
  <conditionalFormatting sqref="F54 H54">
    <cfRule type="containsText" dxfId="120" priority="13" stopIfTrue="1" operator="containsText" text="超过">
      <formula>NOT(ISERROR(SEARCH("超过",F54)))</formula>
    </cfRule>
  </conditionalFormatting>
  <conditionalFormatting sqref="E53">
    <cfRule type="expression" dxfId="119" priority="12" stopIfTrue="1">
      <formula>$F$53="超过30%"</formula>
    </cfRule>
  </conditionalFormatting>
  <conditionalFormatting sqref="E54">
    <cfRule type="expression" dxfId="118" priority="11" stopIfTrue="1">
      <formula>$F$54="超过20%"</formula>
    </cfRule>
  </conditionalFormatting>
  <conditionalFormatting sqref="E55">
    <cfRule type="expression" dxfId="117" priority="10" stopIfTrue="1">
      <formula>$F$55="超过30%"</formula>
    </cfRule>
  </conditionalFormatting>
  <conditionalFormatting sqref="G55">
    <cfRule type="expression" dxfId="116" priority="9" stopIfTrue="1">
      <formula>$H$55="超过30%"</formula>
    </cfRule>
  </conditionalFormatting>
  <conditionalFormatting sqref="G53">
    <cfRule type="expression" dxfId="115" priority="8" stopIfTrue="1">
      <formula>$H$53="超过30%"</formula>
    </cfRule>
  </conditionalFormatting>
  <conditionalFormatting sqref="G54">
    <cfRule type="expression" dxfId="114" priority="7" stopIfTrue="1">
      <formula>$H$54="超过20%"</formula>
    </cfRule>
  </conditionalFormatting>
  <conditionalFormatting sqref="J53">
    <cfRule type="containsText" dxfId="113" priority="6" stopIfTrue="1" operator="containsText" text="超过">
      <formula>NOT(ISERROR(SEARCH("超过",J53)))</formula>
    </cfRule>
  </conditionalFormatting>
  <conditionalFormatting sqref="J55">
    <cfRule type="containsText" dxfId="112" priority="5" stopIfTrue="1" operator="containsText" text="超过">
      <formula>NOT(ISERROR(SEARCH("超过",J55)))</formula>
    </cfRule>
  </conditionalFormatting>
  <conditionalFormatting sqref="J54">
    <cfRule type="containsText" dxfId="111" priority="4" stopIfTrue="1" operator="containsText" text="超过">
      <formula>NOT(ISERROR(SEARCH("超过",J54)))</formula>
    </cfRule>
  </conditionalFormatting>
  <conditionalFormatting sqref="I53">
    <cfRule type="expression" dxfId="110" priority="3" stopIfTrue="1">
      <formula>$J$53="超过30%"</formula>
    </cfRule>
  </conditionalFormatting>
  <conditionalFormatting sqref="I54">
    <cfRule type="expression" dxfId="109" priority="2" stopIfTrue="1">
      <formula>$J$53+$J$54="超过20%"</formula>
    </cfRule>
  </conditionalFormatting>
  <conditionalFormatting sqref="I55">
    <cfRule type="expression" dxfId="108" priority="1" stopIfTrue="1">
      <formula>$J$55="超过30%"</formula>
    </cfRule>
  </conditionalFormatting>
  <dataValidations count="24">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C10 E10 G10 I10" xr:uid="{00000000-0002-0000-1C00-000006000000}">
      <formula1>土地年限区间</formula1>
    </dataValidation>
    <dataValidation type="list" allowBlank="1" showInputMessage="1" showErrorMessage="1" sqref="E9 G9 I9" xr:uid="{00000000-0002-0000-1C00-000007000000}">
      <formula1>办公用途</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G26 C26 E26 I26" xr:uid="{00000000-0002-0000-1C00-000009000000}">
      <formula1>办公道路级别</formula1>
    </dataValidation>
    <dataValidation type="list" allowBlank="1" showInputMessage="1" showErrorMessage="1" sqref="C28 E28 G28 I28" xr:uid="{00000000-0002-0000-1C00-00000A000000}">
      <formula1>办公朝向</formula1>
    </dataValidation>
    <dataValidation type="list" allowBlank="1" showInputMessage="1" showErrorMessage="1" sqref="C27 E27 G27 I27" xr:uid="{00000000-0002-0000-1C00-00000B000000}">
      <formula1>办公楼层</formula1>
    </dataValidation>
    <dataValidation type="list" allowBlank="1" showInputMessage="1" showErrorMessage="1" sqref="C33 E33 G33 I33" xr:uid="{00000000-0002-0000-1C00-00000C000000}">
      <formula1>办公建筑类型</formula1>
    </dataValidation>
    <dataValidation type="list" allowBlank="1" showInputMessage="1" showErrorMessage="1" sqref="C36 E36 G36 I36" xr:uid="{00000000-0002-0000-1C00-00000D000000}">
      <formula1>办公公共部分装修</formula1>
    </dataValidation>
    <dataValidation type="list" allowBlank="1" showInputMessage="1" showErrorMessage="1" sqref="C38 E38 G38 I38" xr:uid="{00000000-0002-0000-1C00-00000E000000}">
      <formula1>写字楼等级</formula1>
    </dataValidation>
    <dataValidation type="list" allowBlank="1" showInputMessage="1" showErrorMessage="1" sqref="C39 E39 G39 I39" xr:uid="{00000000-0002-0000-1C00-00000F000000}">
      <formula1>办公物业管理</formula1>
    </dataValidation>
    <dataValidation type="list" allowBlank="1" showInputMessage="1" showErrorMessage="1" sqref="C40 E40 G40 I40" xr:uid="{00000000-0002-0000-1C00-000010000000}">
      <formula1>办公基础设施水平</formula1>
    </dataValidation>
    <dataValidation type="list" allowBlank="1" showInputMessage="1" showErrorMessage="1" sqref="C41 E41 G41 I41" xr:uid="{00000000-0002-0000-1C00-000011000000}">
      <formula1>办公层高</formula1>
    </dataValidation>
    <dataValidation type="list" allowBlank="1" showInputMessage="1" showErrorMessage="1" sqref="C43 E43 G43 I43" xr:uid="{00000000-0002-0000-1C00-000012000000}">
      <formula1>办公内部装修</formula1>
    </dataValidation>
    <dataValidation type="list" allowBlank="1" showInputMessage="1" showErrorMessage="1" sqref="C8 E8 G8 I8" xr:uid="{00000000-0002-0000-1C00-000013000000}">
      <formula1>办公交易情况</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1605</v>
      </c>
    </row>
    <row r="2" spans="1:1">
      <c r="A2" s="1944"/>
    </row>
    <row r="3" spans="1:1" ht="17.399999999999999">
      <c r="A3" s="1945" t="str">
        <f>项目基本情况!B5&amp;"："</f>
        <v>：</v>
      </c>
    </row>
    <row r="4" spans="1:1" ht="34.799999999999997">
      <c r="A4" s="1946" t="str">
        <f>"受贵公司委托，我公司对"&amp;项目基本情况!S1&amp;"进行了预评估。"</f>
        <v>受贵公司委托，我公司对出让国有建设用地使用权及在建建筑物房地产抵押价值进行了预评估。</v>
      </c>
    </row>
    <row r="5" spans="1:1" ht="17.399999999999999">
      <c r="A5" s="1947" t="s">
        <v>1606</v>
      </c>
    </row>
    <row r="6" spans="1:1" ht="17.399999999999999">
      <c r="A6" s="1948" t="s">
        <v>1607</v>
      </c>
    </row>
    <row r="7" spans="1:1" ht="52.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估价对象为出让国有建设用地使用权及在建建筑物房地产，为所有。根据《国有土地使用证》[]，估价对象（分摊）出让国有建设用地使用权面积为0平方米，建筑面积为73003.73平方米。</v>
      </c>
    </row>
    <row r="8" spans="1:1" ht="54.6">
      <c r="A8" s="1949" t="s">
        <v>1608</v>
      </c>
    </row>
    <row r="9" spans="1:1" ht="17.399999999999999">
      <c r="A9" s="1948" t="s">
        <v>1609</v>
      </c>
    </row>
    <row r="10" spans="1:1" ht="69.59999999999999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商业项目，该项目尚在开发建设中。根据《国有土地使用证》[]，估价对象（分摊）出让国有建设用地使用权面积为0平方米，规划建筑面积为73003.73平方米。</v>
      </c>
    </row>
    <row r="11" spans="1:1" ht="72">
      <c r="A11" s="1949" t="s">
        <v>1610</v>
      </c>
    </row>
    <row r="12" spans="1:1" ht="17.399999999999999">
      <c r="A12" s="1947" t="s">
        <v>1611</v>
      </c>
    </row>
    <row r="13" spans="1:1" ht="38.25" customHeight="1">
      <c r="A13" s="1950"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1" t="s">
        <v>1612</v>
      </c>
    </row>
    <row r="15" spans="1:1" ht="17.399999999999999">
      <c r="A15" s="1952" t="str">
        <f>TEXT(项目基本情况!D3,"yyyy年m月d日;;")&amp;IF(项目基本情况!D3=项目基本情况!B3,"（评估专业人员实地查勘之日）","")</f>
        <v>2020年3月31日</v>
      </c>
    </row>
    <row r="16" spans="1:1" ht="17.399999999999999">
      <c r="A16" s="1951" t="s">
        <v>1613</v>
      </c>
    </row>
    <row r="17" spans="1:1" ht="69.599999999999994">
      <c r="A17" s="1946" t="s">
        <v>1614</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31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1" t="s">
        <v>1603</v>
      </c>
    </row>
    <row r="24" spans="1:1" ht="17.399999999999999">
      <c r="A24" s="1953" t="str">
        <f>"本次评估采用的主估价方法为"&amp;结果表!K4&amp;"和"&amp;结果表!L4&amp;"。"</f>
        <v>本次评估采用的主估价方法为成本法和收益法。</v>
      </c>
    </row>
    <row r="25" spans="1:1" ht="17.399999999999999">
      <c r="A25" s="1953"/>
    </row>
    <row r="26" spans="1:1" ht="17.399999999999999">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zoomScale="90" zoomScaleNormal="90" workbookViewId="0">
      <selection activeCell="F7" sqref="F7"/>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2525</v>
      </c>
      <c r="B1" s="2670" t="s">
        <v>2699</v>
      </c>
      <c r="C1" s="1619" t="s">
        <v>2527</v>
      </c>
      <c r="D1" s="1620"/>
      <c r="E1" s="1629"/>
      <c r="F1" s="2585"/>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8" t="e">
        <f ca="1">IF(C2="——",ROUND(C43*D3/10000,0),ROUND(C43*D3/10000,0)-D2)</f>
        <v>#DIV/0!</v>
      </c>
      <c r="C2" s="2587"/>
      <c r="D2" s="1124" t="e">
        <f ca="1">SUMIF(INDIRECT("'"&amp;F2&amp;"'"&amp;"!A:A"),"承租人权益价值",INDIRECT("'"&amp;F2&amp;"'"&amp;"!c:c"))</f>
        <v>#REF!</v>
      </c>
      <c r="E2" s="2588" t="s">
        <v>2325</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73003.73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2642</v>
      </c>
      <c r="B4" s="402"/>
      <c r="C4" s="3250" t="s">
        <v>2643</v>
      </c>
      <c r="D4" s="3251"/>
      <c r="E4" s="3252" t="s">
        <v>2644</v>
      </c>
      <c r="F4" s="3253"/>
      <c r="G4" s="3250" t="s">
        <v>2645</v>
      </c>
      <c r="H4" s="3251"/>
      <c r="I4" s="3250" t="s">
        <v>2646</v>
      </c>
      <c r="J4" s="3251"/>
      <c r="K4" s="610" t="s">
        <v>2647</v>
      </c>
      <c r="L4" s="1130"/>
      <c r="M4" s="1131"/>
      <c r="N4" s="1131"/>
      <c r="O4" s="1131"/>
      <c r="P4" s="3254" t="s">
        <v>2648</v>
      </c>
      <c r="Q4" s="3255"/>
      <c r="R4" s="3236" t="s">
        <v>2644</v>
      </c>
      <c r="S4" s="3237"/>
      <c r="T4" s="3236" t="s">
        <v>2645</v>
      </c>
      <c r="U4" s="3237"/>
      <c r="V4" s="3262" t="s">
        <v>2646</v>
      </c>
      <c r="W4" s="3262"/>
      <c r="X4" s="1812"/>
      <c r="Y4" s="3236" t="s">
        <v>2648</v>
      </c>
      <c r="Z4" s="3237"/>
      <c r="AA4" s="3231" t="s">
        <v>2644</v>
      </c>
      <c r="AB4" s="3232" t="s">
        <v>2645</v>
      </c>
      <c r="AC4" s="3231" t="s">
        <v>2646</v>
      </c>
    </row>
    <row r="5" spans="1:29">
      <c r="A5" s="404"/>
      <c r="B5" s="405"/>
      <c r="C5" s="3246" t="s">
        <v>2539</v>
      </c>
      <c r="D5" s="3243"/>
      <c r="E5" s="3240" t="s">
        <v>2540</v>
      </c>
      <c r="F5" s="3241"/>
      <c r="G5" s="3246" t="s">
        <v>2541</v>
      </c>
      <c r="H5" s="3243"/>
      <c r="I5" s="3246" t="s">
        <v>2542</v>
      </c>
      <c r="J5" s="3243"/>
      <c r="K5" s="610"/>
      <c r="L5" s="1130"/>
      <c r="M5" s="1131"/>
      <c r="N5" s="1131"/>
      <c r="O5" s="1131"/>
      <c r="P5" s="3256"/>
      <c r="Q5" s="3257"/>
      <c r="R5" s="3238"/>
      <c r="S5" s="3239"/>
      <c r="T5" s="3238"/>
      <c r="U5" s="3239"/>
      <c r="V5" s="3262"/>
      <c r="W5" s="3262"/>
      <c r="X5" s="1812"/>
      <c r="Y5" s="3238"/>
      <c r="Z5" s="3239"/>
      <c r="AA5" s="3232"/>
      <c r="AB5" s="3232"/>
      <c r="AC5" s="3232"/>
    </row>
    <row r="6" spans="1:29" ht="15" thickBot="1">
      <c r="A6" s="406"/>
      <c r="B6" s="407"/>
      <c r="C6" s="3244" t="s">
        <v>2543</v>
      </c>
      <c r="D6" s="3245"/>
      <c r="E6" s="3247" t="s">
        <v>2543</v>
      </c>
      <c r="F6" s="3248"/>
      <c r="G6" s="3244" t="s">
        <v>2543</v>
      </c>
      <c r="H6" s="3245"/>
      <c r="I6" s="3244" t="s">
        <v>2543</v>
      </c>
      <c r="J6" s="3245"/>
      <c r="K6" s="610" t="s">
        <v>2544</v>
      </c>
      <c r="L6" s="1130"/>
      <c r="M6" s="1131"/>
      <c r="N6" s="1131"/>
      <c r="O6" s="1131"/>
      <c r="P6" s="3258"/>
      <c r="Q6" s="3259"/>
      <c r="R6" s="3238"/>
      <c r="S6" s="3239"/>
      <c r="T6" s="3260"/>
      <c r="U6" s="3261"/>
      <c r="V6" s="3262"/>
      <c r="W6" s="3262"/>
      <c r="X6" s="1812"/>
      <c r="Y6" s="3260"/>
      <c r="Z6" s="3261"/>
      <c r="AA6" s="3233"/>
      <c r="AB6" s="3233"/>
      <c r="AC6" s="3233"/>
    </row>
    <row r="7" spans="1:29" s="117" customFormat="1" ht="15" thickBot="1">
      <c r="A7" s="408" t="s">
        <v>2545</v>
      </c>
      <c r="B7" s="409"/>
      <c r="C7" s="410">
        <f>'数据-取费表'!B2</f>
        <v>43921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4" t="s">
        <v>2546</v>
      </c>
      <c r="Q7" s="3263"/>
      <c r="R7" s="770" t="s">
        <v>17</v>
      </c>
      <c r="S7" s="771">
        <f t="shared" ref="S7:S15" si="0">F7</f>
        <v>0</v>
      </c>
      <c r="T7" s="770" t="s">
        <v>17</v>
      </c>
      <c r="U7" s="771">
        <f t="shared" ref="U7:U15" si="1">H7</f>
        <v>0</v>
      </c>
      <c r="V7" s="770" t="s">
        <v>17</v>
      </c>
      <c r="W7" s="771">
        <f t="shared" ref="W7:W15" si="2">J7</f>
        <v>0</v>
      </c>
      <c r="X7" s="772"/>
      <c r="Y7" s="3234" t="s">
        <v>2546</v>
      </c>
      <c r="Z7" s="3235"/>
      <c r="AA7" s="773" t="e">
        <f>D7/F7</f>
        <v>#DIV/0!</v>
      </c>
      <c r="AB7" s="773" t="e">
        <f>D7/H7</f>
        <v>#DIV/0!</v>
      </c>
      <c r="AC7" s="773" t="e">
        <f>D7/J7</f>
        <v>#DIV/0!</v>
      </c>
    </row>
    <row r="8" spans="1:29" s="117" customFormat="1" ht="1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4" t="s">
        <v>2549</v>
      </c>
      <c r="Q8" s="3235"/>
      <c r="R8" s="770" t="s">
        <v>17</v>
      </c>
      <c r="S8" s="771">
        <f t="shared" si="0"/>
        <v>0</v>
      </c>
      <c r="T8" s="770" t="s">
        <v>17</v>
      </c>
      <c r="U8" s="771">
        <f t="shared" si="1"/>
        <v>0</v>
      </c>
      <c r="V8" s="770" t="s">
        <v>17</v>
      </c>
      <c r="W8" s="771">
        <f t="shared" si="2"/>
        <v>0</v>
      </c>
      <c r="X8" s="772"/>
      <c r="Y8" s="3234" t="s">
        <v>2549</v>
      </c>
      <c r="Z8" s="3235"/>
      <c r="AA8" s="773" t="e">
        <f t="shared" ref="AA8:AA40" si="3">D8/F8</f>
        <v>#DIV/0!</v>
      </c>
      <c r="AB8" s="773" t="e">
        <f t="shared" ref="AB8:AB40" si="4">D8/H8</f>
        <v>#DIV/0!</v>
      </c>
      <c r="AC8" s="773" t="e">
        <f t="shared" ref="AC8:AC40" si="5">D8/J8</f>
        <v>#DIV/0!</v>
      </c>
    </row>
    <row r="9" spans="1:29" s="117" customFormat="1" ht="14.4">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49" t="s">
        <v>2552</v>
      </c>
      <c r="Q9" s="1794" t="str">
        <f t="shared" ref="Q9:Q15" si="6">B9</f>
        <v>用途</v>
      </c>
      <c r="R9" s="770" t="s">
        <v>17</v>
      </c>
      <c r="S9" s="771">
        <f t="shared" si="0"/>
        <v>100</v>
      </c>
      <c r="T9" s="770" t="s">
        <v>17</v>
      </c>
      <c r="U9" s="771">
        <f t="shared" si="1"/>
        <v>100</v>
      </c>
      <c r="V9" s="770" t="s">
        <v>17</v>
      </c>
      <c r="W9" s="771">
        <f t="shared" si="2"/>
        <v>100</v>
      </c>
      <c r="X9" s="772"/>
      <c r="Y9" s="3108" t="s">
        <v>2553</v>
      </c>
      <c r="Z9" s="55" t="str">
        <f t="shared" ref="Z9:Z15" si="7">Q9</f>
        <v>用途</v>
      </c>
      <c r="AA9" s="773">
        <f t="shared" si="3"/>
        <v>1</v>
      </c>
      <c r="AB9" s="773">
        <f t="shared" si="4"/>
        <v>1</v>
      </c>
      <c r="AC9" s="773">
        <f t="shared" si="5"/>
        <v>1</v>
      </c>
    </row>
    <row r="10" spans="1:29" s="427" customFormat="1" ht="28.8">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49"/>
      <c r="Q10" s="1794" t="str">
        <f t="shared" si="6"/>
        <v>土地使用年限（年）</v>
      </c>
      <c r="R10" s="770" t="s">
        <v>17</v>
      </c>
      <c r="S10" s="771">
        <f t="shared" si="0"/>
        <v>100</v>
      </c>
      <c r="T10" s="770" t="s">
        <v>17</v>
      </c>
      <c r="U10" s="771">
        <f t="shared" si="1"/>
        <v>100</v>
      </c>
      <c r="V10" s="770" t="s">
        <v>17</v>
      </c>
      <c r="W10" s="771">
        <f t="shared" si="2"/>
        <v>100</v>
      </c>
      <c r="X10" s="772"/>
      <c r="Y10" s="3108"/>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49"/>
      <c r="Q11" s="1794" t="str">
        <f t="shared" si="6"/>
        <v>容积率</v>
      </c>
      <c r="R11" s="770" t="s">
        <v>17</v>
      </c>
      <c r="S11" s="771" t="e">
        <f t="shared" si="0"/>
        <v>#N/A</v>
      </c>
      <c r="T11" s="770" t="s">
        <v>17</v>
      </c>
      <c r="U11" s="771" t="e">
        <f t="shared" si="1"/>
        <v>#N/A</v>
      </c>
      <c r="V11" s="770" t="s">
        <v>17</v>
      </c>
      <c r="W11" s="771" t="e">
        <f t="shared" si="2"/>
        <v>#N/A</v>
      </c>
      <c r="X11" s="772"/>
      <c r="Y11" s="3108"/>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2"/>
      <c r="M12" s="1133"/>
      <c r="N12" s="1133"/>
      <c r="O12" s="1134"/>
      <c r="P12" s="3249"/>
      <c r="Q12" s="1794">
        <f t="shared" si="6"/>
        <v>111</v>
      </c>
      <c r="R12" s="770" t="s">
        <v>17</v>
      </c>
      <c r="S12" s="771">
        <f t="shared" si="0"/>
        <v>100</v>
      </c>
      <c r="T12" s="770" t="s">
        <v>17</v>
      </c>
      <c r="U12" s="771">
        <f t="shared" si="1"/>
        <v>100</v>
      </c>
      <c r="V12" s="770" t="s">
        <v>17</v>
      </c>
      <c r="W12" s="771">
        <f t="shared" si="2"/>
        <v>100</v>
      </c>
      <c r="X12" s="772"/>
      <c r="Y12" s="3108"/>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0"/>
      <c r="M13" s="1131"/>
      <c r="N13" s="1131"/>
      <c r="O13" s="1139"/>
      <c r="P13" s="3249"/>
      <c r="Q13" s="1794">
        <f t="shared" si="6"/>
        <v>111</v>
      </c>
      <c r="R13" s="770" t="s">
        <v>17</v>
      </c>
      <c r="S13" s="771">
        <f t="shared" si="0"/>
        <v>100</v>
      </c>
      <c r="T13" s="770" t="s">
        <v>17</v>
      </c>
      <c r="U13" s="771">
        <f t="shared" si="1"/>
        <v>100</v>
      </c>
      <c r="V13" s="770" t="s">
        <v>17</v>
      </c>
      <c r="W13" s="771">
        <f t="shared" si="2"/>
        <v>100</v>
      </c>
      <c r="X13" s="772"/>
      <c r="Y13" s="3108"/>
      <c r="Z13" s="55">
        <f t="shared" si="7"/>
        <v>111</v>
      </c>
      <c r="AA13" s="773">
        <f t="shared" si="3"/>
        <v>1</v>
      </c>
      <c r="AB13" s="773">
        <f t="shared" si="4"/>
        <v>1</v>
      </c>
      <c r="AC13" s="773">
        <f t="shared" si="5"/>
        <v>1</v>
      </c>
    </row>
    <row r="14" spans="1:29" ht="15.6"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0"/>
      <c r="M14" s="1131"/>
      <c r="N14" s="1131"/>
      <c r="O14" s="1139"/>
      <c r="P14" s="3249"/>
      <c r="Q14" s="1794">
        <f t="shared" si="6"/>
        <v>111</v>
      </c>
      <c r="R14" s="770" t="s">
        <v>17</v>
      </c>
      <c r="S14" s="771">
        <f t="shared" si="0"/>
        <v>100</v>
      </c>
      <c r="T14" s="770" t="s">
        <v>17</v>
      </c>
      <c r="U14" s="771">
        <f t="shared" si="1"/>
        <v>100</v>
      </c>
      <c r="V14" s="770" t="s">
        <v>17</v>
      </c>
      <c r="W14" s="771">
        <f t="shared" si="2"/>
        <v>100</v>
      </c>
      <c r="X14" s="772"/>
      <c r="Y14" s="3108"/>
      <c r="Z14" s="55">
        <f t="shared" si="7"/>
        <v>111</v>
      </c>
      <c r="AA14" s="773">
        <f t="shared" si="3"/>
        <v>1</v>
      </c>
      <c r="AB14" s="773">
        <f t="shared" si="4"/>
        <v>1</v>
      </c>
      <c r="AC14" s="773">
        <f t="shared" si="5"/>
        <v>1</v>
      </c>
    </row>
    <row r="15" spans="1:29" ht="69">
      <c r="A15" s="440" t="s">
        <v>2556</v>
      </c>
      <c r="B15" s="69" t="s">
        <v>2700</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64" t="s">
        <v>2557</v>
      </c>
      <c r="Q15" s="1809" t="str">
        <f t="shared" si="6"/>
        <v>产业集聚程度</v>
      </c>
      <c r="R15" s="774" t="s">
        <v>17</v>
      </c>
      <c r="S15" s="775">
        <f t="shared" si="0"/>
        <v>100</v>
      </c>
      <c r="T15" s="774" t="s">
        <v>17</v>
      </c>
      <c r="U15" s="775">
        <f t="shared" si="1"/>
        <v>100</v>
      </c>
      <c r="V15" s="774" t="s">
        <v>17</v>
      </c>
      <c r="W15" s="775">
        <f t="shared" si="2"/>
        <v>100</v>
      </c>
      <c r="X15" s="1812"/>
      <c r="Y15" s="3264" t="s">
        <v>2557</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65"/>
      <c r="Q16" s="1809"/>
      <c r="R16" s="774"/>
      <c r="S16" s="775"/>
      <c r="T16" s="774"/>
      <c r="U16" s="775"/>
      <c r="V16" s="774"/>
      <c r="W16" s="775"/>
      <c r="X16" s="1812"/>
      <c r="Y16" s="3265"/>
      <c r="Z16" s="1813"/>
      <c r="AA16" s="1810">
        <v>1</v>
      </c>
      <c r="AB16" s="1810">
        <v>1</v>
      </c>
      <c r="AC16" s="1810">
        <v>1</v>
      </c>
    </row>
    <row r="17" spans="1:29" ht="96.6">
      <c r="A17" s="428"/>
      <c r="B17" s="451" t="s">
        <v>2092</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65"/>
      <c r="Q17" s="1809" t="str">
        <f>B17</f>
        <v>交通便捷度</v>
      </c>
      <c r="R17" s="774" t="s">
        <v>17</v>
      </c>
      <c r="S17" s="775">
        <f>F17</f>
        <v>100</v>
      </c>
      <c r="T17" s="774" t="s">
        <v>17</v>
      </c>
      <c r="U17" s="775">
        <f>H17</f>
        <v>100</v>
      </c>
      <c r="V17" s="774" t="s">
        <v>17</v>
      </c>
      <c r="W17" s="775">
        <f>J17</f>
        <v>100</v>
      </c>
      <c r="X17" s="1812"/>
      <c r="Y17" s="3265"/>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9"/>
      <c r="P18" s="3265"/>
      <c r="Q18" s="1809"/>
      <c r="R18" s="774"/>
      <c r="S18" s="775"/>
      <c r="T18" s="774"/>
      <c r="U18" s="775"/>
      <c r="V18" s="774"/>
      <c r="W18" s="775"/>
      <c r="X18" s="1812"/>
      <c r="Y18" s="3265"/>
      <c r="Z18" s="1813"/>
      <c r="AA18" s="1810">
        <v>1</v>
      </c>
      <c r="AB18" s="1810">
        <v>1</v>
      </c>
      <c r="AC18" s="1810">
        <v>1</v>
      </c>
    </row>
    <row r="19" spans="1:29" ht="41.4">
      <c r="A19" s="428"/>
      <c r="B19" s="451" t="s">
        <v>2685</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65"/>
      <c r="Q19" s="1809" t="str">
        <f>B19</f>
        <v>公共配套设施</v>
      </c>
      <c r="R19" s="774" t="s">
        <v>17</v>
      </c>
      <c r="S19" s="775">
        <f>F19</f>
        <v>100</v>
      </c>
      <c r="T19" s="774" t="s">
        <v>17</v>
      </c>
      <c r="U19" s="775">
        <f>H19</f>
        <v>100</v>
      </c>
      <c r="V19" s="774" t="s">
        <v>17</v>
      </c>
      <c r="W19" s="775">
        <f>J19</f>
        <v>100</v>
      </c>
      <c r="X19" s="1812"/>
      <c r="Y19" s="3265"/>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9"/>
      <c r="P20" s="3265"/>
      <c r="Q20" s="1809"/>
      <c r="R20" s="774"/>
      <c r="S20" s="775"/>
      <c r="T20" s="774"/>
      <c r="U20" s="775"/>
      <c r="V20" s="774"/>
      <c r="W20" s="775"/>
      <c r="X20" s="1812"/>
      <c r="Y20" s="3265"/>
      <c r="Z20" s="1813"/>
      <c r="AA20" s="1810">
        <v>1</v>
      </c>
      <c r="AB20" s="1810">
        <v>1</v>
      </c>
      <c r="AC20" s="1810">
        <v>1</v>
      </c>
    </row>
    <row r="21" spans="1:29" ht="41.4">
      <c r="A21" s="428"/>
      <c r="B21" s="1384" t="s">
        <v>2686</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65"/>
      <c r="Q21" s="1809" t="str">
        <f>B21</f>
        <v>基础设施水平</v>
      </c>
      <c r="R21" s="774" t="s">
        <v>17</v>
      </c>
      <c r="S21" s="775">
        <f>F21</f>
        <v>100</v>
      </c>
      <c r="T21" s="774" t="s">
        <v>17</v>
      </c>
      <c r="U21" s="775">
        <f>H21</f>
        <v>100</v>
      </c>
      <c r="V21" s="774" t="s">
        <v>17</v>
      </c>
      <c r="W21" s="775">
        <f>J21</f>
        <v>100</v>
      </c>
      <c r="X21" s="1812"/>
      <c r="Y21" s="3265"/>
      <c r="Z21" s="1813" t="str">
        <f>Q21</f>
        <v>基础设施水平</v>
      </c>
      <c r="AA21" s="1810">
        <f t="shared" ref="AA21" si="8">D21/F21</f>
        <v>1</v>
      </c>
      <c r="AB21" s="1810">
        <f t="shared" ref="AB21" si="9">D21/H21</f>
        <v>1</v>
      </c>
      <c r="AC21" s="1810">
        <f t="shared" ref="AC21" si="10">D21/J21</f>
        <v>1</v>
      </c>
    </row>
    <row r="22" spans="1:29" ht="15">
      <c r="A22" s="428"/>
      <c r="B22" s="1384"/>
      <c r="C22" s="2609"/>
      <c r="D22" s="448"/>
      <c r="E22" s="447"/>
      <c r="F22" s="449"/>
      <c r="G22" s="447"/>
      <c r="H22" s="448"/>
      <c r="I22" s="447"/>
      <c r="J22" s="448"/>
      <c r="K22" s="1383"/>
      <c r="L22" s="1140"/>
      <c r="M22" s="1131"/>
      <c r="N22" s="1131"/>
      <c r="O22" s="1139"/>
      <c r="P22" s="3265"/>
      <c r="Q22" s="1809"/>
      <c r="R22" s="774"/>
      <c r="S22" s="775"/>
      <c r="T22" s="774"/>
      <c r="U22" s="775"/>
      <c r="V22" s="774"/>
      <c r="W22" s="775"/>
      <c r="X22" s="1812"/>
      <c r="Y22" s="3265"/>
      <c r="Z22" s="1813"/>
      <c r="AA22" s="1810">
        <v>1</v>
      </c>
      <c r="AB22" s="1810">
        <v>1</v>
      </c>
      <c r="AC22" s="1810">
        <v>1</v>
      </c>
    </row>
    <row r="23" spans="1:29" ht="82.8">
      <c r="A23" s="428"/>
      <c r="B23" s="451" t="s">
        <v>2687</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65"/>
      <c r="Q23" s="1809" t="str">
        <f>B23</f>
        <v>环境质量</v>
      </c>
      <c r="R23" s="774" t="s">
        <v>17</v>
      </c>
      <c r="S23" s="775">
        <f>F23</f>
        <v>100</v>
      </c>
      <c r="T23" s="774" t="s">
        <v>17</v>
      </c>
      <c r="U23" s="775">
        <f>H23</f>
        <v>100</v>
      </c>
      <c r="V23" s="774" t="s">
        <v>17</v>
      </c>
      <c r="W23" s="775">
        <f>J23</f>
        <v>100</v>
      </c>
      <c r="X23" s="1812"/>
      <c r="Y23" s="3265"/>
      <c r="Z23" s="1813" t="str">
        <f>Q23</f>
        <v>环境质量</v>
      </c>
      <c r="AA23" s="1810">
        <f t="shared" si="3"/>
        <v>1</v>
      </c>
      <c r="AB23" s="1810">
        <f t="shared" si="4"/>
        <v>1</v>
      </c>
      <c r="AC23" s="1810">
        <f t="shared" si="5"/>
        <v>1</v>
      </c>
    </row>
    <row r="24" spans="1:29" ht="15">
      <c r="A24" s="428"/>
      <c r="B24" s="1384"/>
      <c r="C24" s="447"/>
      <c r="D24" s="448"/>
      <c r="E24" s="2606"/>
      <c r="F24" s="449"/>
      <c r="G24" s="2605"/>
      <c r="H24" s="448"/>
      <c r="I24" s="2606"/>
      <c r="J24" s="448"/>
      <c r="K24" s="615"/>
      <c r="L24" s="1140"/>
      <c r="M24" s="1131"/>
      <c r="N24" s="1131"/>
      <c r="O24" s="1139"/>
      <c r="P24" s="3265"/>
      <c r="Q24" s="1809"/>
      <c r="R24" s="774"/>
      <c r="S24" s="775"/>
      <c r="T24" s="774"/>
      <c r="U24" s="775"/>
      <c r="V24" s="774"/>
      <c r="W24" s="775"/>
      <c r="X24" s="1812"/>
      <c r="Y24" s="3265"/>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65"/>
      <c r="Q25" s="1809">
        <f>B25</f>
        <v>111</v>
      </c>
      <c r="R25" s="774" t="s">
        <v>17</v>
      </c>
      <c r="S25" s="775">
        <f>F25</f>
        <v>100</v>
      </c>
      <c r="T25" s="774" t="s">
        <v>17</v>
      </c>
      <c r="U25" s="775">
        <f>H25</f>
        <v>100</v>
      </c>
      <c r="V25" s="774" t="s">
        <v>17</v>
      </c>
      <c r="W25" s="775">
        <f>J25</f>
        <v>100</v>
      </c>
      <c r="X25" s="1812"/>
      <c r="Y25" s="3265"/>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65"/>
      <c r="Q26" s="1809">
        <f t="shared" ref="Q26:Q40" si="11">B26</f>
        <v>111</v>
      </c>
      <c r="R26" s="774" t="s">
        <v>17</v>
      </c>
      <c r="S26" s="775">
        <f>F26</f>
        <v>100</v>
      </c>
      <c r="T26" s="774" t="s">
        <v>17</v>
      </c>
      <c r="U26" s="775">
        <f>H26</f>
        <v>100</v>
      </c>
      <c r="V26" s="774" t="s">
        <v>17</v>
      </c>
      <c r="W26" s="775">
        <f>J26</f>
        <v>100</v>
      </c>
      <c r="X26" s="1812"/>
      <c r="Y26" s="3265"/>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65"/>
      <c r="Q27" s="1794">
        <f t="shared" si="11"/>
        <v>111</v>
      </c>
      <c r="R27" s="770" t="s">
        <v>17</v>
      </c>
      <c r="S27" s="771">
        <f>F27</f>
        <v>100</v>
      </c>
      <c r="T27" s="770" t="s">
        <v>17</v>
      </c>
      <c r="U27" s="771">
        <f>H27</f>
        <v>100</v>
      </c>
      <c r="V27" s="770" t="s">
        <v>17</v>
      </c>
      <c r="W27" s="771">
        <f>J27</f>
        <v>100</v>
      </c>
      <c r="X27" s="772"/>
      <c r="Y27" s="3265"/>
      <c r="Z27" s="55">
        <f>Q27</f>
        <v>111</v>
      </c>
      <c r="AA27" s="1810">
        <f>D27/F27</f>
        <v>1</v>
      </c>
      <c r="AB27" s="1810">
        <f>D27/H27</f>
        <v>1</v>
      </c>
      <c r="AC27" s="1810">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65"/>
      <c r="Q28" s="1809">
        <f t="shared" si="11"/>
        <v>111</v>
      </c>
      <c r="R28" s="774" t="s">
        <v>17</v>
      </c>
      <c r="S28" s="775">
        <f t="shared" ref="S28:S40" si="12">F28</f>
        <v>100</v>
      </c>
      <c r="T28" s="774" t="s">
        <v>17</v>
      </c>
      <c r="U28" s="775">
        <f t="shared" ref="U28:U40" si="13">H28</f>
        <v>100</v>
      </c>
      <c r="V28" s="774" t="s">
        <v>17</v>
      </c>
      <c r="W28" s="775">
        <f t="shared" ref="W28:W40" si="14">J28</f>
        <v>100</v>
      </c>
      <c r="X28" s="1812"/>
      <c r="Y28" s="3265"/>
      <c r="Z28" s="1813">
        <f t="shared" ref="Z28:Z40" si="15">Q28</f>
        <v>111</v>
      </c>
      <c r="AA28" s="1810">
        <f t="shared" si="3"/>
        <v>1</v>
      </c>
      <c r="AB28" s="1810">
        <f t="shared" si="4"/>
        <v>1</v>
      </c>
      <c r="AC28" s="1810">
        <f t="shared" si="5"/>
        <v>1</v>
      </c>
    </row>
    <row r="29" spans="1:29" ht="30">
      <c r="A29" s="466" t="s">
        <v>2560</v>
      </c>
      <c r="B29" s="71" t="s">
        <v>2690</v>
      </c>
      <c r="C29" s="2680"/>
      <c r="D29" s="467">
        <v>100</v>
      </c>
      <c r="E29" s="2680"/>
      <c r="F29" s="461">
        <f>SUMIF(88:88,E29,89:89)-SUMIF(88:88,C29,89:89)+100</f>
        <v>100</v>
      </c>
      <c r="G29" s="2680"/>
      <c r="H29" s="435">
        <f>SUMIF(88:88,G29,89:89)-SUMIF(88:88,C29,89:89)+100</f>
        <v>100</v>
      </c>
      <c r="I29" s="2680"/>
      <c r="J29" s="467">
        <f>SUMIF(88:88,I29,89:89)-SUMIF(88:88,C29,89:89)+100</f>
        <v>100</v>
      </c>
      <c r="K29" s="612"/>
      <c r="L29" s="1140"/>
      <c r="M29" s="1131"/>
      <c r="N29" s="1131"/>
      <c r="O29" s="1139"/>
      <c r="P29" s="3266" t="s">
        <v>2562</v>
      </c>
      <c r="Q29" s="1809" t="str">
        <f t="shared" si="11"/>
        <v>建筑类型</v>
      </c>
      <c r="R29" s="774" t="s">
        <v>17</v>
      </c>
      <c r="S29" s="775">
        <f t="shared" si="12"/>
        <v>100</v>
      </c>
      <c r="T29" s="774" t="s">
        <v>17</v>
      </c>
      <c r="U29" s="775">
        <f t="shared" si="13"/>
        <v>100</v>
      </c>
      <c r="V29" s="774" t="s">
        <v>17</v>
      </c>
      <c r="W29" s="775">
        <f t="shared" si="14"/>
        <v>100</v>
      </c>
      <c r="X29" s="1812"/>
      <c r="Y29" s="3267" t="s">
        <v>2562</v>
      </c>
      <c r="Z29" s="1813" t="str">
        <f t="shared" si="15"/>
        <v>建筑类型</v>
      </c>
      <c r="AA29" s="1810">
        <f t="shared" si="3"/>
        <v>1</v>
      </c>
      <c r="AB29" s="1810">
        <f t="shared" si="4"/>
        <v>1</v>
      </c>
      <c r="AC29" s="1810">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67"/>
      <c r="Q30" s="776" t="str">
        <f t="shared" si="11"/>
        <v>项目建筑规模</v>
      </c>
      <c r="R30" s="777" t="s">
        <v>17</v>
      </c>
      <c r="S30" s="778" t="e">
        <f t="shared" si="12"/>
        <v>#N/A</v>
      </c>
      <c r="T30" s="777" t="s">
        <v>17</v>
      </c>
      <c r="U30" s="778" t="e">
        <f t="shared" si="13"/>
        <v>#N/A</v>
      </c>
      <c r="V30" s="777" t="s">
        <v>17</v>
      </c>
      <c r="W30" s="778" t="e">
        <f t="shared" si="14"/>
        <v>#N/A</v>
      </c>
      <c r="X30" s="779"/>
      <c r="Y30" s="3267"/>
      <c r="Z30" s="780" t="str">
        <f t="shared" si="15"/>
        <v>项目建筑规模</v>
      </c>
      <c r="AA30" s="1810" t="e">
        <f t="shared" si="3"/>
        <v>#N/A</v>
      </c>
      <c r="AB30" s="1810" t="e">
        <f t="shared" si="4"/>
        <v>#N/A</v>
      </c>
      <c r="AC30" s="1810"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67"/>
      <c r="Q31" s="1809" t="str">
        <f t="shared" si="11"/>
        <v>建筑结构</v>
      </c>
      <c r="R31" s="774" t="s">
        <v>17</v>
      </c>
      <c r="S31" s="775">
        <f t="shared" si="12"/>
        <v>100</v>
      </c>
      <c r="T31" s="774" t="s">
        <v>17</v>
      </c>
      <c r="U31" s="775">
        <f t="shared" si="13"/>
        <v>100</v>
      </c>
      <c r="V31" s="774" t="s">
        <v>17</v>
      </c>
      <c r="W31" s="775">
        <f t="shared" si="14"/>
        <v>100</v>
      </c>
      <c r="X31" s="1812"/>
      <c r="Y31" s="3267"/>
      <c r="Z31" s="1813" t="str">
        <f t="shared" si="15"/>
        <v>建筑结构</v>
      </c>
      <c r="AA31" s="1810">
        <f t="shared" si="3"/>
        <v>1</v>
      </c>
      <c r="AB31" s="1810">
        <f t="shared" si="4"/>
        <v>1</v>
      </c>
      <c r="AC31" s="1810">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67"/>
      <c r="Q32" s="1809" t="str">
        <f t="shared" si="11"/>
        <v>公共部分装修</v>
      </c>
      <c r="R32" s="774" t="s">
        <v>17</v>
      </c>
      <c r="S32" s="775">
        <f t="shared" si="12"/>
        <v>100</v>
      </c>
      <c r="T32" s="774" t="s">
        <v>17</v>
      </c>
      <c r="U32" s="775">
        <f t="shared" si="13"/>
        <v>100</v>
      </c>
      <c r="V32" s="774" t="s">
        <v>17</v>
      </c>
      <c r="W32" s="775">
        <f t="shared" si="14"/>
        <v>100</v>
      </c>
      <c r="X32" s="1812"/>
      <c r="Y32" s="3267"/>
      <c r="Z32" s="1813" t="str">
        <f t="shared" si="15"/>
        <v>公共部分装修</v>
      </c>
      <c r="AA32" s="1810">
        <f t="shared" si="3"/>
        <v>1</v>
      </c>
      <c r="AB32" s="1810">
        <f t="shared" si="4"/>
        <v>1</v>
      </c>
      <c r="AC32" s="1810">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67"/>
      <c r="Q33" s="1809" t="str">
        <f t="shared" si="11"/>
        <v>成新度</v>
      </c>
      <c r="R33" s="774" t="s">
        <v>17</v>
      </c>
      <c r="S33" s="775" t="e">
        <f t="shared" si="12"/>
        <v>#N/A</v>
      </c>
      <c r="T33" s="774" t="s">
        <v>17</v>
      </c>
      <c r="U33" s="775" t="e">
        <f t="shared" si="13"/>
        <v>#N/A</v>
      </c>
      <c r="V33" s="774" t="s">
        <v>17</v>
      </c>
      <c r="W33" s="775" t="e">
        <f t="shared" si="14"/>
        <v>#N/A</v>
      </c>
      <c r="X33" s="1812"/>
      <c r="Y33" s="3267"/>
      <c r="Z33" s="1813" t="str">
        <f t="shared" si="15"/>
        <v>成新度</v>
      </c>
      <c r="AA33" s="1810" t="e">
        <f t="shared" si="3"/>
        <v>#N/A</v>
      </c>
      <c r="AB33" s="1810" t="e">
        <f t="shared" si="4"/>
        <v>#N/A</v>
      </c>
      <c r="AC33" s="1810"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67"/>
      <c r="Q34" s="1794" t="str">
        <f t="shared" si="11"/>
        <v>物业管理</v>
      </c>
      <c r="R34" s="770" t="s">
        <v>17</v>
      </c>
      <c r="S34" s="771">
        <f t="shared" si="12"/>
        <v>100</v>
      </c>
      <c r="T34" s="770" t="s">
        <v>17</v>
      </c>
      <c r="U34" s="771">
        <f t="shared" si="13"/>
        <v>100</v>
      </c>
      <c r="V34" s="770" t="s">
        <v>17</v>
      </c>
      <c r="W34" s="771">
        <f t="shared" si="14"/>
        <v>100</v>
      </c>
      <c r="X34" s="772"/>
      <c r="Y34" s="3267"/>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67" t="s">
        <v>2562</v>
      </c>
      <c r="Q35" s="1809" t="str">
        <f t="shared" si="11"/>
        <v>市政基础设施</v>
      </c>
      <c r="R35" s="774" t="s">
        <v>17</v>
      </c>
      <c r="S35" s="775">
        <f t="shared" si="12"/>
        <v>100</v>
      </c>
      <c r="T35" s="774" t="s">
        <v>17</v>
      </c>
      <c r="U35" s="775">
        <f t="shared" si="13"/>
        <v>100</v>
      </c>
      <c r="V35" s="774" t="s">
        <v>17</v>
      </c>
      <c r="W35" s="775">
        <f t="shared" si="14"/>
        <v>100</v>
      </c>
      <c r="X35" s="1812"/>
      <c r="Y35" s="3267" t="s">
        <v>2562</v>
      </c>
      <c r="Z35" s="1813" t="str">
        <f t="shared" si="15"/>
        <v>市政基础设施</v>
      </c>
      <c r="AA35" s="1810">
        <f t="shared" si="3"/>
        <v>1</v>
      </c>
      <c r="AB35" s="1810">
        <f t="shared" si="4"/>
        <v>1</v>
      </c>
      <c r="AC35" s="1810">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67"/>
      <c r="Q36" s="1809" t="str">
        <f t="shared" si="11"/>
        <v>内部装修</v>
      </c>
      <c r="R36" s="774" t="s">
        <v>17</v>
      </c>
      <c r="S36" s="775">
        <f t="shared" si="12"/>
        <v>100</v>
      </c>
      <c r="T36" s="774" t="s">
        <v>17</v>
      </c>
      <c r="U36" s="775">
        <f t="shared" si="13"/>
        <v>100</v>
      </c>
      <c r="V36" s="774" t="s">
        <v>17</v>
      </c>
      <c r="W36" s="775">
        <f t="shared" si="14"/>
        <v>100</v>
      </c>
      <c r="X36" s="1812"/>
      <c r="Y36" s="3267"/>
      <c r="Z36" s="1813" t="str">
        <f t="shared" si="15"/>
        <v>内部装修</v>
      </c>
      <c r="AA36" s="1810">
        <f t="shared" si="3"/>
        <v>1</v>
      </c>
      <c r="AB36" s="1810">
        <f t="shared" si="4"/>
        <v>1</v>
      </c>
      <c r="AC36" s="1810">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67"/>
      <c r="Q37" s="1809" t="str">
        <f t="shared" si="11"/>
        <v>内部装修状况</v>
      </c>
      <c r="R37" s="774" t="s">
        <v>17</v>
      </c>
      <c r="S37" s="775">
        <f t="shared" si="12"/>
        <v>100</v>
      </c>
      <c r="T37" s="774" t="s">
        <v>17</v>
      </c>
      <c r="U37" s="775">
        <f t="shared" si="13"/>
        <v>100</v>
      </c>
      <c r="V37" s="774" t="s">
        <v>17</v>
      </c>
      <c r="W37" s="775">
        <f t="shared" si="14"/>
        <v>100</v>
      </c>
      <c r="X37" s="1812"/>
      <c r="Y37" s="3267"/>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67"/>
      <c r="Q38" s="776">
        <f t="shared" si="11"/>
        <v>111</v>
      </c>
      <c r="R38" s="777" t="s">
        <v>17</v>
      </c>
      <c r="S38" s="778">
        <f t="shared" si="12"/>
        <v>100</v>
      </c>
      <c r="T38" s="777" t="s">
        <v>17</v>
      </c>
      <c r="U38" s="778">
        <f t="shared" si="13"/>
        <v>100</v>
      </c>
      <c r="V38" s="777" t="s">
        <v>17</v>
      </c>
      <c r="W38" s="778">
        <f t="shared" si="14"/>
        <v>100</v>
      </c>
      <c r="X38" s="779"/>
      <c r="Y38" s="3267"/>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67"/>
      <c r="Q39" s="1809">
        <f t="shared" si="11"/>
        <v>111</v>
      </c>
      <c r="R39" s="774" t="s">
        <v>17</v>
      </c>
      <c r="S39" s="775">
        <f t="shared" si="12"/>
        <v>100</v>
      </c>
      <c r="T39" s="774" t="s">
        <v>17</v>
      </c>
      <c r="U39" s="775">
        <f t="shared" si="13"/>
        <v>100</v>
      </c>
      <c r="V39" s="774" t="s">
        <v>17</v>
      </c>
      <c r="W39" s="775">
        <f t="shared" si="14"/>
        <v>100</v>
      </c>
      <c r="X39" s="1812"/>
      <c r="Y39" s="3267"/>
      <c r="Z39" s="1813">
        <f t="shared" si="15"/>
        <v>111</v>
      </c>
      <c r="AA39" s="1810">
        <f t="shared" si="3"/>
        <v>1</v>
      </c>
      <c r="AB39" s="1810">
        <f t="shared" si="4"/>
        <v>1</v>
      </c>
      <c r="AC39" s="1810">
        <f t="shared" si="5"/>
        <v>1</v>
      </c>
    </row>
    <row r="40" spans="1:29" ht="15.6"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07"/>
      <c r="Q40" s="1809">
        <f t="shared" si="11"/>
        <v>111</v>
      </c>
      <c r="R40" s="774" t="s">
        <v>17</v>
      </c>
      <c r="S40" s="775">
        <f t="shared" si="12"/>
        <v>100</v>
      </c>
      <c r="T40" s="774" t="s">
        <v>17</v>
      </c>
      <c r="U40" s="775">
        <f t="shared" si="13"/>
        <v>100</v>
      </c>
      <c r="V40" s="774" t="s">
        <v>17</v>
      </c>
      <c r="W40" s="775">
        <f t="shared" si="14"/>
        <v>100</v>
      </c>
      <c r="X40" s="1812"/>
      <c r="Y40" s="3307"/>
      <c r="Z40" s="1813">
        <f t="shared" si="15"/>
        <v>111</v>
      </c>
      <c r="AA40" s="1810">
        <f t="shared" si="3"/>
        <v>1</v>
      </c>
      <c r="AB40" s="1810">
        <f t="shared" si="4"/>
        <v>1</v>
      </c>
      <c r="AC40" s="1810">
        <f t="shared" si="5"/>
        <v>1</v>
      </c>
    </row>
    <row r="41" spans="1:29" ht="14.4">
      <c r="A41" s="479" t="s">
        <v>2574</v>
      </c>
      <c r="B41" s="480"/>
      <c r="C41" s="1407" t="s">
        <v>1</v>
      </c>
      <c r="D41" s="1408"/>
      <c r="E41" s="1409"/>
      <c r="F41" s="1410"/>
      <c r="G41" s="1411"/>
      <c r="H41" s="1412"/>
      <c r="I41" s="1409"/>
      <c r="J41" s="1412"/>
      <c r="K41" s="783"/>
      <c r="L41" s="1143"/>
      <c r="M41" s="1144"/>
      <c r="N41" s="1131"/>
      <c r="O41" s="1144"/>
      <c r="P41" s="3249" t="str">
        <f>A41</f>
        <v>成交单价（元/平方米）</v>
      </c>
      <c r="Q41" s="3249"/>
      <c r="R41" s="3303">
        <f>E41</f>
        <v>0</v>
      </c>
      <c r="S41" s="3303"/>
      <c r="T41" s="3303">
        <f>G41</f>
        <v>0</v>
      </c>
      <c r="U41" s="3303"/>
      <c r="V41" s="3303">
        <f>I41</f>
        <v>0</v>
      </c>
      <c r="W41" s="3303"/>
      <c r="X41" s="759"/>
      <c r="Y41" s="781"/>
      <c r="Z41" s="759"/>
      <c r="AA41" s="759"/>
      <c r="AB41" s="759"/>
      <c r="AC41" s="759"/>
    </row>
    <row r="42" spans="1:29" ht="1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249" t="str">
        <f>A42</f>
        <v>比较价值（元/平方米）</v>
      </c>
      <c r="Q42" s="3249"/>
      <c r="R42" s="3303" t="e">
        <f>IF(F1="售价",ROUND(PRODUCT(R41,AA7:AA40),0),ROUND(PRODUCT(R41,AA7:AA40),1))</f>
        <v>#DIV/0!</v>
      </c>
      <c r="S42" s="3303"/>
      <c r="T42" s="3303" t="e">
        <f>IF(F1="售价",ROUND(PRODUCT(T41,AB7:AB40),0),ROUND(PRODUCT(T41,AB7:AB40),1))</f>
        <v>#DIV/0!</v>
      </c>
      <c r="U42" s="3303"/>
      <c r="V42" s="3303" t="e">
        <f>IF(F1="售价",ROUND(PRODUCT(V41,AC7:AC40),0),ROUND(PRODUCT(V41,AC7:AC40),1))</f>
        <v>#DIV/0!</v>
      </c>
      <c r="W42" s="3303"/>
      <c r="X42" s="759"/>
      <c r="Y42" s="759"/>
      <c r="Z42" s="759"/>
      <c r="AA42" s="759"/>
      <c r="AB42" s="759"/>
      <c r="AC42" s="759"/>
    </row>
    <row r="43" spans="1:29" ht="15" thickBot="1">
      <c r="A43" s="492" t="s">
        <v>2667</v>
      </c>
      <c r="B43" s="493"/>
      <c r="C43" s="1417" t="e">
        <f>R43</f>
        <v>#DIV/0!</v>
      </c>
      <c r="D43" s="1417"/>
      <c r="E43" s="1417"/>
      <c r="F43" s="1417"/>
      <c r="G43" s="1417"/>
      <c r="H43" s="1417"/>
      <c r="I43" s="1417"/>
      <c r="J43" s="1417"/>
      <c r="K43" s="785"/>
      <c r="L43" s="1143"/>
      <c r="M43" s="1144"/>
      <c r="N43" s="1144"/>
      <c r="O43" s="1144"/>
      <c r="P43" s="3269" t="str">
        <f>A43</f>
        <v>估价对象XX用房的比较价值（楼面单价，元/平方米）</v>
      </c>
      <c r="Q43" s="3270"/>
      <c r="R43" s="3302" t="e">
        <f>IF(F1="售价",ROUND(AVERAGE(R42:V42),0),ROUND(AVERAGE(R42:V42),1))</f>
        <v>#DIV/0!</v>
      </c>
      <c r="S43" s="3302"/>
      <c r="T43" s="3302"/>
      <c r="U43" s="3302"/>
      <c r="V43" s="3302"/>
      <c r="W43" s="330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2671</v>
      </c>
      <c r="B51" s="759"/>
      <c r="C51" s="764"/>
      <c r="D51" s="764"/>
      <c r="E51" s="764"/>
      <c r="F51" s="765"/>
      <c r="G51" s="765"/>
      <c r="H51" s="764"/>
      <c r="I51" s="764"/>
      <c r="J51" s="764"/>
      <c r="K51" s="1160"/>
      <c r="L51" s="1161"/>
      <c r="M51" s="1159"/>
      <c r="N51" s="1159"/>
      <c r="O51" s="1159"/>
      <c r="P51" s="503"/>
      <c r="Q51" s="504"/>
    </row>
    <row r="52" spans="1:17" s="508" customFormat="1" ht="14.4">
      <c r="A52" s="505" t="s">
        <v>2545</v>
      </c>
      <c r="B52" s="506"/>
      <c r="C52" s="1573" t="str">
        <f>YEAR(C7)&amp;"-"&amp;MONTH(C7)</f>
        <v>2020-3</v>
      </c>
      <c r="D52" s="1574">
        <f>EDATE(C52,-1)</f>
        <v>43862</v>
      </c>
      <c r="E52" s="1574">
        <f t="shared" ref="E52:O52" si="16">EDATE(D52,-1)</f>
        <v>43831</v>
      </c>
      <c r="F52" s="1574">
        <f t="shared" si="16"/>
        <v>43800</v>
      </c>
      <c r="G52" s="1574">
        <f t="shared" si="16"/>
        <v>43770</v>
      </c>
      <c r="H52" s="1574">
        <f t="shared" si="16"/>
        <v>43739</v>
      </c>
      <c r="I52" s="1574">
        <f t="shared" si="16"/>
        <v>43709</v>
      </c>
      <c r="J52" s="1574">
        <f t="shared" si="16"/>
        <v>43678</v>
      </c>
      <c r="K52" s="1574">
        <f t="shared" si="16"/>
        <v>43647</v>
      </c>
      <c r="L52" s="1574">
        <f t="shared" si="16"/>
        <v>43617</v>
      </c>
      <c r="M52" s="1574">
        <f t="shared" si="16"/>
        <v>43586</v>
      </c>
      <c r="N52" s="1574">
        <f t="shared" si="16"/>
        <v>43556</v>
      </c>
      <c r="O52" s="1574">
        <f t="shared" si="16"/>
        <v>43525</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2582</v>
      </c>
      <c r="B54" s="516"/>
      <c r="C54" s="517"/>
      <c r="D54" s="518"/>
      <c r="E54" s="518"/>
      <c r="F54" s="518"/>
      <c r="G54" s="518"/>
      <c r="H54" s="518"/>
      <c r="I54" s="518"/>
      <c r="J54" s="518"/>
      <c r="K54" s="518"/>
      <c r="L54" s="518"/>
      <c r="M54" s="519"/>
      <c r="N54" s="518"/>
      <c r="O54" s="520"/>
      <c r="P54" s="504"/>
      <c r="Q54" s="504"/>
    </row>
    <row r="55" spans="1:17" s="117" customFormat="1" ht="14.4">
      <c r="A55" s="521" t="s">
        <v>2547</v>
      </c>
      <c r="B55" s="510"/>
      <c r="C55" s="522" t="s">
        <v>2649</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2585</v>
      </c>
      <c r="B57" s="528" t="s">
        <v>2551</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7"/>
      <c r="B87" s="569"/>
      <c r="C87" s="570"/>
      <c r="D87" s="570"/>
      <c r="E87" s="570"/>
      <c r="F87" s="570"/>
      <c r="G87" s="591"/>
      <c r="H87" s="591"/>
      <c r="I87" s="591"/>
      <c r="J87" s="591"/>
      <c r="K87" s="591"/>
      <c r="L87" s="591"/>
      <c r="M87" s="592"/>
      <c r="N87" s="1153"/>
      <c r="O87" s="1153"/>
      <c r="P87" s="45"/>
      <c r="Q87" s="504"/>
    </row>
    <row r="88" spans="1:17" ht="14.4">
      <c r="A88" s="527" t="s">
        <v>2560</v>
      </c>
      <c r="B88" s="528" t="s">
        <v>2609</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107" priority="16" stopIfTrue="1" operator="containsText" text="超过">
      <formula>NOT(ISERROR(SEARCH("超过",F46)))</formula>
    </cfRule>
  </conditionalFormatting>
  <conditionalFormatting sqref="H48">
    <cfRule type="containsText" dxfId="106" priority="15" stopIfTrue="1" operator="containsText" text="超过">
      <formula>NOT(ISERROR(SEARCH("超过",H48)))</formula>
    </cfRule>
  </conditionalFormatting>
  <conditionalFormatting sqref="F48">
    <cfRule type="containsText" dxfId="105" priority="14" stopIfTrue="1" operator="containsText" text="超过">
      <formula>NOT(ISERROR(SEARCH("超过",F48)))</formula>
    </cfRule>
  </conditionalFormatting>
  <conditionalFormatting sqref="F47 H47">
    <cfRule type="containsText" dxfId="104" priority="13" stopIfTrue="1" operator="containsText" text="超过">
      <formula>NOT(ISERROR(SEARCH("超过",F47)))</formula>
    </cfRule>
  </conditionalFormatting>
  <conditionalFormatting sqref="E46">
    <cfRule type="expression" dxfId="103" priority="12" stopIfTrue="1">
      <formula>$F$46="超过30%"</formula>
    </cfRule>
  </conditionalFormatting>
  <conditionalFormatting sqref="E47">
    <cfRule type="expression" dxfId="102" priority="11" stopIfTrue="1">
      <formula>$F$47="超过20%"</formula>
    </cfRule>
  </conditionalFormatting>
  <conditionalFormatting sqref="E48">
    <cfRule type="expression" dxfId="101" priority="10" stopIfTrue="1">
      <formula>$F$48="超过30%"</formula>
    </cfRule>
  </conditionalFormatting>
  <conditionalFormatting sqref="G48">
    <cfRule type="expression" dxfId="100" priority="9" stopIfTrue="1">
      <formula>$H$48="超过30%"</formula>
    </cfRule>
  </conditionalFormatting>
  <conditionalFormatting sqref="G46">
    <cfRule type="expression" dxfId="99" priority="8" stopIfTrue="1">
      <formula>$H$46="超过30%"</formula>
    </cfRule>
  </conditionalFormatting>
  <conditionalFormatting sqref="G47">
    <cfRule type="expression" dxfId="98" priority="7" stopIfTrue="1">
      <formula>$H$47="超过20%"</formula>
    </cfRule>
  </conditionalFormatting>
  <conditionalFormatting sqref="J46">
    <cfRule type="containsText" dxfId="97" priority="6" stopIfTrue="1" operator="containsText" text="超过">
      <formula>NOT(ISERROR(SEARCH("超过",J46)))</formula>
    </cfRule>
  </conditionalFormatting>
  <conditionalFormatting sqref="J48">
    <cfRule type="containsText" dxfId="96" priority="5" stopIfTrue="1" operator="containsText" text="超过">
      <formula>NOT(ISERROR(SEARCH("超过",J48)))</formula>
    </cfRule>
  </conditionalFormatting>
  <conditionalFormatting sqref="J47">
    <cfRule type="containsText" dxfId="95" priority="4" stopIfTrue="1" operator="containsText" text="超过">
      <formula>NOT(ISERROR(SEARCH("超过",J47)))</formula>
    </cfRule>
  </conditionalFormatting>
  <conditionalFormatting sqref="I46">
    <cfRule type="expression" dxfId="94" priority="3" stopIfTrue="1">
      <formula>$J$46="超过30%"</formula>
    </cfRule>
  </conditionalFormatting>
  <conditionalFormatting sqref="I47">
    <cfRule type="expression" dxfId="93" priority="2" stopIfTrue="1">
      <formula>$J$47="超过20%"</formula>
    </cfRule>
  </conditionalFormatting>
  <conditionalFormatting sqref="I48">
    <cfRule type="expression" dxfId="92" priority="1" stopIfTrue="1">
      <formula>$J$48="超过30%"</formula>
    </cfRule>
  </conditionalFormatting>
  <dataValidations count="19">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20 G20 E20 I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29 E29 G29 I29" xr:uid="{00000000-0002-0000-1D00-000007000000}">
      <formula1>工业建筑类型</formula1>
    </dataValidation>
    <dataValidation type="list" allowBlank="1" showInputMessage="1" showErrorMessage="1" sqref="C31 E31 G31 I31" xr:uid="{00000000-0002-0000-1D00-000008000000}">
      <formula1>工业建筑结构</formula1>
    </dataValidation>
    <dataValidation type="list" allowBlank="1" showInputMessage="1" showErrorMessage="1" sqref="C32 E32 G32 I32" xr:uid="{00000000-0002-0000-1D00-000009000000}">
      <formula1>工业公共部分装修</formula1>
    </dataValidation>
    <dataValidation type="list" allowBlank="1" showInputMessage="1" showErrorMessage="1" sqref="C34 E34 G34 I34" xr:uid="{00000000-0002-0000-1D00-00000A000000}">
      <formula1>工业物业管理</formula1>
    </dataValidation>
    <dataValidation type="list" allowBlank="1" showInputMessage="1" showErrorMessage="1" sqref="C35 E35 G35 I35" xr:uid="{00000000-0002-0000-1D00-00000B000000}">
      <formula1>工业基础设施水平</formula1>
    </dataValidation>
    <dataValidation type="list" allowBlank="1" showInputMessage="1" showErrorMessage="1" sqref="C36 E36 G36 I36" xr:uid="{00000000-0002-0000-1D00-00000C000000}">
      <formula1>工业内部装修</formula1>
    </dataValidation>
    <dataValidation type="list" allowBlank="1" showInputMessage="1" showErrorMessage="1" sqref="C37 E37 G37 I37" xr:uid="{00000000-0002-0000-1D00-00000D000000}">
      <formula1>内部装修维护情况</formula1>
    </dataValidation>
    <dataValidation type="list" allowBlank="1" showInputMessage="1" showErrorMessage="1" sqref="C16 E16 G16 I16" xr:uid="{00000000-0002-0000-1D00-00000E000000}">
      <formula1>产业集聚程度</formula1>
    </dataValidation>
    <dataValidation type="list" allowBlank="1" showInputMessage="1" showErrorMessage="1" sqref="C22 E22 G22 I22"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zoomScale="93" zoomScaleNormal="93" workbookViewId="0">
      <selection activeCell="F7" sqref="F7"/>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2704</v>
      </c>
      <c r="B1" s="1618"/>
      <c r="C1" s="1619" t="s">
        <v>2527</v>
      </c>
      <c r="D1" s="1620"/>
      <c r="E1" s="1621"/>
      <c r="F1" s="2585"/>
      <c r="G1" s="1622" t="s">
        <v>2640</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2324</v>
      </c>
      <c r="B2" s="1418" t="e">
        <f ca="1">IF(C2="——",IF(B37="元/平方米",ROUND(C39*D3/10000,0),ROUND(F3*C39/10000,0)),IF(B37="元/平方米",ROUND(C39*D3/10000,0),ROUND(F3*C39/10000,0))-D2)</f>
        <v>#DIV/0!</v>
      </c>
      <c r="C2" s="2587"/>
      <c r="D2" s="1124" t="e">
        <f ca="1">SUMIF(INDIRECT("'"&amp;F2&amp;"'"&amp;"!A:A"),"承租人权益价值",INDIRECT("'"&amp;F2&amp;"'"&amp;"!c:c"))</f>
        <v>#REF!</v>
      </c>
      <c r="E2" s="2588" t="s">
        <v>2325</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2642</v>
      </c>
      <c r="B4" s="402"/>
      <c r="C4" s="3250" t="s">
        <v>2643</v>
      </c>
      <c r="D4" s="3251"/>
      <c r="E4" s="3252" t="s">
        <v>2644</v>
      </c>
      <c r="F4" s="3253"/>
      <c r="G4" s="3250" t="s">
        <v>2645</v>
      </c>
      <c r="H4" s="3251"/>
      <c r="I4" s="3250" t="s">
        <v>2646</v>
      </c>
      <c r="J4" s="3251"/>
      <c r="K4" s="610" t="s">
        <v>2647</v>
      </c>
      <c r="L4" s="1130"/>
      <c r="M4" s="1131"/>
      <c r="N4" s="1131"/>
      <c r="O4" s="1131"/>
      <c r="P4" s="3254" t="s">
        <v>2648</v>
      </c>
      <c r="Q4" s="3255"/>
      <c r="R4" s="3236" t="s">
        <v>2644</v>
      </c>
      <c r="S4" s="3237"/>
      <c r="T4" s="3236" t="s">
        <v>2645</v>
      </c>
      <c r="U4" s="3237"/>
      <c r="V4" s="3262" t="s">
        <v>2646</v>
      </c>
      <c r="W4" s="3262"/>
      <c r="X4" s="1812"/>
      <c r="Y4" s="3236" t="s">
        <v>2648</v>
      </c>
      <c r="Z4" s="3237"/>
      <c r="AA4" s="3231" t="s">
        <v>2644</v>
      </c>
      <c r="AB4" s="3232" t="s">
        <v>2645</v>
      </c>
      <c r="AC4" s="3231" t="s">
        <v>2646</v>
      </c>
    </row>
    <row r="5" spans="1:29">
      <c r="A5" s="404"/>
      <c r="B5" s="405"/>
      <c r="C5" s="3246" t="s">
        <v>2539</v>
      </c>
      <c r="D5" s="3243"/>
      <c r="E5" s="3240" t="s">
        <v>2540</v>
      </c>
      <c r="F5" s="3241"/>
      <c r="G5" s="3246" t="s">
        <v>2541</v>
      </c>
      <c r="H5" s="3243"/>
      <c r="I5" s="3246" t="s">
        <v>2542</v>
      </c>
      <c r="J5" s="3243"/>
      <c r="K5" s="610"/>
      <c r="L5" s="1130"/>
      <c r="M5" s="1131"/>
      <c r="N5" s="1131"/>
      <c r="O5" s="1131"/>
      <c r="P5" s="3256"/>
      <c r="Q5" s="3257"/>
      <c r="R5" s="3238"/>
      <c r="S5" s="3239"/>
      <c r="T5" s="3238"/>
      <c r="U5" s="3239"/>
      <c r="V5" s="3262"/>
      <c r="W5" s="3262"/>
      <c r="X5" s="1812"/>
      <c r="Y5" s="3238"/>
      <c r="Z5" s="3239"/>
      <c r="AA5" s="3232"/>
      <c r="AB5" s="3232"/>
      <c r="AC5" s="3232"/>
    </row>
    <row r="6" spans="1:29" ht="15" thickBot="1">
      <c r="A6" s="406"/>
      <c r="B6" s="407"/>
      <c r="C6" s="3244" t="s">
        <v>2543</v>
      </c>
      <c r="D6" s="3245"/>
      <c r="E6" s="3247" t="s">
        <v>2543</v>
      </c>
      <c r="F6" s="3248"/>
      <c r="G6" s="3244" t="s">
        <v>2543</v>
      </c>
      <c r="H6" s="3245"/>
      <c r="I6" s="3244" t="s">
        <v>2543</v>
      </c>
      <c r="J6" s="3245"/>
      <c r="K6" s="610" t="s">
        <v>2544</v>
      </c>
      <c r="L6" s="1130"/>
      <c r="M6" s="1131"/>
      <c r="N6" s="1131"/>
      <c r="O6" s="1131"/>
      <c r="P6" s="3258"/>
      <c r="Q6" s="3259"/>
      <c r="R6" s="3238"/>
      <c r="S6" s="3239"/>
      <c r="T6" s="3260"/>
      <c r="U6" s="3261"/>
      <c r="V6" s="3262"/>
      <c r="W6" s="3262"/>
      <c r="X6" s="1812"/>
      <c r="Y6" s="3260"/>
      <c r="Z6" s="3261"/>
      <c r="AA6" s="3233"/>
      <c r="AB6" s="3233"/>
      <c r="AC6" s="3233"/>
    </row>
    <row r="7" spans="1:29" s="117" customFormat="1" ht="15" thickBot="1">
      <c r="A7" s="408" t="s">
        <v>2545</v>
      </c>
      <c r="B7" s="409"/>
      <c r="C7" s="410">
        <f>'数据-取费表'!B2</f>
        <v>43921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4" t="s">
        <v>2546</v>
      </c>
      <c r="Q7" s="3263"/>
      <c r="R7" s="770" t="s">
        <v>17</v>
      </c>
      <c r="S7" s="771">
        <f t="shared" ref="S7:S14" si="0">F7</f>
        <v>0</v>
      </c>
      <c r="T7" s="770" t="s">
        <v>17</v>
      </c>
      <c r="U7" s="771">
        <f t="shared" ref="U7:U14" si="1">H7</f>
        <v>0</v>
      </c>
      <c r="V7" s="770" t="s">
        <v>17</v>
      </c>
      <c r="W7" s="771">
        <f t="shared" ref="W7:W14" si="2">J7</f>
        <v>0</v>
      </c>
      <c r="X7" s="772"/>
      <c r="Y7" s="3234" t="s">
        <v>2546</v>
      </c>
      <c r="Z7" s="3235"/>
      <c r="AA7" s="773" t="e">
        <f>D7/F7</f>
        <v>#DIV/0!</v>
      </c>
      <c r="AB7" s="773" t="e">
        <f>D7/H7</f>
        <v>#DIV/0!</v>
      </c>
      <c r="AC7" s="773" t="e">
        <f>D7/J7</f>
        <v>#DIV/0!</v>
      </c>
    </row>
    <row r="8" spans="1:29" s="117" customFormat="1" ht="1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4" t="s">
        <v>2549</v>
      </c>
      <c r="Q8" s="3235"/>
      <c r="R8" s="770" t="s">
        <v>17</v>
      </c>
      <c r="S8" s="771">
        <f t="shared" si="0"/>
        <v>0</v>
      </c>
      <c r="T8" s="770" t="s">
        <v>17</v>
      </c>
      <c r="U8" s="771">
        <f t="shared" si="1"/>
        <v>0</v>
      </c>
      <c r="V8" s="770" t="s">
        <v>17</v>
      </c>
      <c r="W8" s="771">
        <f t="shared" si="2"/>
        <v>0</v>
      </c>
      <c r="X8" s="772"/>
      <c r="Y8" s="3234" t="s">
        <v>2549</v>
      </c>
      <c r="Z8" s="3235"/>
      <c r="AA8" s="773" t="e">
        <f t="shared" ref="AA8:AA36" si="3">D8/F8</f>
        <v>#DIV/0!</v>
      </c>
      <c r="AB8" s="773" t="e">
        <f t="shared" ref="AB8:AB36" si="4">D8/H8</f>
        <v>#DIV/0!</v>
      </c>
      <c r="AC8" s="773" t="e">
        <f t="shared" ref="AC8:AC36" si="5">D8/J8</f>
        <v>#DIV/0!</v>
      </c>
    </row>
    <row r="9" spans="1:29" s="117" customFormat="1" ht="14.4">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49" t="s">
        <v>2552</v>
      </c>
      <c r="Q9" s="1794" t="str">
        <f t="shared" ref="Q9:Q14" si="6">B9</f>
        <v>用途</v>
      </c>
      <c r="R9" s="770" t="s">
        <v>17</v>
      </c>
      <c r="S9" s="771">
        <f t="shared" si="0"/>
        <v>100</v>
      </c>
      <c r="T9" s="770" t="s">
        <v>17</v>
      </c>
      <c r="U9" s="771">
        <f t="shared" si="1"/>
        <v>100</v>
      </c>
      <c r="V9" s="770" t="s">
        <v>17</v>
      </c>
      <c r="W9" s="771">
        <f t="shared" si="2"/>
        <v>100</v>
      </c>
      <c r="X9" s="772"/>
      <c r="Y9" s="3108" t="s">
        <v>2553</v>
      </c>
      <c r="Z9" s="55" t="str">
        <f t="shared" ref="Z9:Z14" si="7">Q9</f>
        <v>用途</v>
      </c>
      <c r="AA9" s="773">
        <f t="shared" si="3"/>
        <v>1</v>
      </c>
      <c r="AB9" s="773">
        <f t="shared" si="4"/>
        <v>1</v>
      </c>
      <c r="AC9" s="773">
        <f t="shared" si="5"/>
        <v>1</v>
      </c>
    </row>
    <row r="10" spans="1:29" s="427" customFormat="1" ht="28.8">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49"/>
      <c r="Q10" s="1794" t="str">
        <f t="shared" si="6"/>
        <v>土地使用年限（年）</v>
      </c>
      <c r="R10" s="770" t="s">
        <v>17</v>
      </c>
      <c r="S10" s="771">
        <f t="shared" si="0"/>
        <v>100</v>
      </c>
      <c r="T10" s="770" t="s">
        <v>17</v>
      </c>
      <c r="U10" s="771">
        <f t="shared" si="1"/>
        <v>100</v>
      </c>
      <c r="V10" s="770" t="s">
        <v>17</v>
      </c>
      <c r="W10" s="771">
        <f t="shared" si="2"/>
        <v>100</v>
      </c>
      <c r="X10" s="772"/>
      <c r="Y10" s="310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49"/>
      <c r="Q11" s="1794">
        <f t="shared" si="6"/>
        <v>111</v>
      </c>
      <c r="R11" s="770" t="s">
        <v>17</v>
      </c>
      <c r="S11" s="771">
        <f t="shared" si="0"/>
        <v>100</v>
      </c>
      <c r="T11" s="770" t="s">
        <v>17</v>
      </c>
      <c r="U11" s="771">
        <f t="shared" si="1"/>
        <v>100</v>
      </c>
      <c r="V11" s="770" t="s">
        <v>17</v>
      </c>
      <c r="W11" s="771">
        <f t="shared" si="2"/>
        <v>100</v>
      </c>
      <c r="X11" s="772"/>
      <c r="Y11" s="310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49"/>
      <c r="Q12" s="1794">
        <f t="shared" si="6"/>
        <v>111</v>
      </c>
      <c r="R12" s="770" t="s">
        <v>17</v>
      </c>
      <c r="S12" s="771">
        <f t="shared" si="0"/>
        <v>100</v>
      </c>
      <c r="T12" s="770" t="s">
        <v>17</v>
      </c>
      <c r="U12" s="771">
        <f t="shared" si="1"/>
        <v>100</v>
      </c>
      <c r="V12" s="770" t="s">
        <v>17</v>
      </c>
      <c r="W12" s="771">
        <f t="shared" si="2"/>
        <v>100</v>
      </c>
      <c r="X12" s="772"/>
      <c r="Y12" s="3108"/>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49"/>
      <c r="Q13" s="1794">
        <f t="shared" si="6"/>
        <v>111</v>
      </c>
      <c r="R13" s="770" t="s">
        <v>17</v>
      </c>
      <c r="S13" s="771">
        <f t="shared" si="0"/>
        <v>100</v>
      </c>
      <c r="T13" s="770" t="s">
        <v>17</v>
      </c>
      <c r="U13" s="771">
        <f t="shared" si="1"/>
        <v>100</v>
      </c>
      <c r="V13" s="770" t="s">
        <v>17</v>
      </c>
      <c r="W13" s="771">
        <f t="shared" si="2"/>
        <v>100</v>
      </c>
      <c r="X13" s="772"/>
      <c r="Y13" s="3108"/>
      <c r="Z13" s="55">
        <f t="shared" si="7"/>
        <v>111</v>
      </c>
      <c r="AA13" s="773">
        <f t="shared" si="3"/>
        <v>1</v>
      </c>
      <c r="AB13" s="773">
        <f t="shared" si="4"/>
        <v>1</v>
      </c>
      <c r="AC13" s="773">
        <f t="shared" si="5"/>
        <v>1</v>
      </c>
    </row>
    <row r="14" spans="1:29" ht="96.6">
      <c r="A14" s="401" t="s">
        <v>2556</v>
      </c>
      <c r="B14" s="629" t="s">
        <v>2706</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64" t="s">
        <v>2557</v>
      </c>
      <c r="Q14" s="1809" t="str">
        <f t="shared" si="6"/>
        <v>交通便捷度</v>
      </c>
      <c r="R14" s="774" t="s">
        <v>17</v>
      </c>
      <c r="S14" s="775">
        <f t="shared" si="0"/>
        <v>100</v>
      </c>
      <c r="T14" s="774" t="s">
        <v>17</v>
      </c>
      <c r="U14" s="775">
        <f t="shared" si="1"/>
        <v>100</v>
      </c>
      <c r="V14" s="774" t="s">
        <v>17</v>
      </c>
      <c r="W14" s="775">
        <f t="shared" si="2"/>
        <v>100</v>
      </c>
      <c r="X14" s="1812"/>
      <c r="Y14" s="3264" t="s">
        <v>2557</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65"/>
      <c r="Q15" s="1809"/>
      <c r="R15" s="774"/>
      <c r="S15" s="775"/>
      <c r="T15" s="774"/>
      <c r="U15" s="775"/>
      <c r="V15" s="774"/>
      <c r="W15" s="775"/>
      <c r="X15" s="1812"/>
      <c r="Y15" s="3265"/>
      <c r="Z15" s="1813"/>
      <c r="AA15" s="1810">
        <v>1</v>
      </c>
      <c r="AB15" s="1810">
        <v>1</v>
      </c>
      <c r="AC15" s="1810">
        <v>1</v>
      </c>
    </row>
    <row r="16" spans="1:29" ht="41.4">
      <c r="A16" s="404"/>
      <c r="B16" s="631" t="s">
        <v>2685</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65"/>
      <c r="Q16" s="1809" t="str">
        <f>B16</f>
        <v>公共配套设施</v>
      </c>
      <c r="R16" s="774" t="s">
        <v>17</v>
      </c>
      <c r="S16" s="775">
        <f>F16</f>
        <v>100</v>
      </c>
      <c r="T16" s="774" t="s">
        <v>17</v>
      </c>
      <c r="U16" s="775">
        <f>H16</f>
        <v>100</v>
      </c>
      <c r="V16" s="774" t="s">
        <v>17</v>
      </c>
      <c r="W16" s="775">
        <f>J16</f>
        <v>100</v>
      </c>
      <c r="X16" s="1812"/>
      <c r="Y16" s="3265"/>
      <c r="Z16" s="1813" t="str">
        <f>Q16</f>
        <v>公共配套设施</v>
      </c>
      <c r="AA16" s="1810">
        <f t="shared" si="3"/>
        <v>1</v>
      </c>
      <c r="AB16" s="1810">
        <f t="shared" si="4"/>
        <v>1</v>
      </c>
      <c r="AC16" s="1810">
        <f t="shared" si="5"/>
        <v>1</v>
      </c>
    </row>
    <row r="17" spans="1:29" ht="15">
      <c r="A17" s="404"/>
      <c r="B17" s="632"/>
      <c r="C17" s="2609"/>
      <c r="D17" s="448"/>
      <c r="E17" s="447"/>
      <c r="F17" s="449"/>
      <c r="G17" s="447"/>
      <c r="H17" s="448"/>
      <c r="I17" s="447"/>
      <c r="J17" s="448"/>
      <c r="K17" s="615"/>
      <c r="L17" s="1140"/>
      <c r="M17" s="1131"/>
      <c r="N17" s="1131"/>
      <c r="O17" s="1131"/>
      <c r="P17" s="3265"/>
      <c r="Q17" s="1809"/>
      <c r="R17" s="774"/>
      <c r="S17" s="775"/>
      <c r="T17" s="774"/>
      <c r="U17" s="775"/>
      <c r="V17" s="774"/>
      <c r="W17" s="775"/>
      <c r="X17" s="1812"/>
      <c r="Y17" s="3265"/>
      <c r="Z17" s="1813"/>
      <c r="AA17" s="1810">
        <v>1</v>
      </c>
      <c r="AB17" s="1810">
        <v>1</v>
      </c>
      <c r="AC17" s="1810">
        <v>1</v>
      </c>
    </row>
    <row r="18" spans="1:29" ht="41.4">
      <c r="A18" s="404"/>
      <c r="B18" s="633" t="s">
        <v>2686</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65"/>
      <c r="Q18" s="1809" t="str">
        <f>B18</f>
        <v>基础设施水平</v>
      </c>
      <c r="R18" s="774" t="s">
        <v>17</v>
      </c>
      <c r="S18" s="775">
        <f>F18</f>
        <v>100</v>
      </c>
      <c r="T18" s="774" t="s">
        <v>17</v>
      </c>
      <c r="U18" s="775">
        <f>H18</f>
        <v>100</v>
      </c>
      <c r="V18" s="774" t="s">
        <v>17</v>
      </c>
      <c r="W18" s="775">
        <f>J18</f>
        <v>100</v>
      </c>
      <c r="X18" s="1812"/>
      <c r="Y18" s="3265"/>
      <c r="Z18" s="1813" t="str">
        <f>Q18</f>
        <v>基础设施水平</v>
      </c>
      <c r="AA18" s="1810">
        <f t="shared" ref="AA18" si="8">D18/F18</f>
        <v>1</v>
      </c>
      <c r="AB18" s="1810">
        <f t="shared" ref="AB18" si="9">D18/H18</f>
        <v>1</v>
      </c>
      <c r="AC18" s="1810">
        <f t="shared" ref="AC18" si="10">D18/J18</f>
        <v>1</v>
      </c>
    </row>
    <row r="19" spans="1:29" ht="15">
      <c r="A19" s="404"/>
      <c r="B19" s="633"/>
      <c r="C19" s="2609"/>
      <c r="D19" s="450"/>
      <c r="E19" s="2609"/>
      <c r="F19" s="453"/>
      <c r="G19" s="2609"/>
      <c r="H19" s="448"/>
      <c r="I19" s="447"/>
      <c r="J19" s="448"/>
      <c r="K19" s="1383"/>
      <c r="L19" s="1140"/>
      <c r="M19" s="1131"/>
      <c r="N19" s="1131"/>
      <c r="O19" s="1131"/>
      <c r="P19" s="3265"/>
      <c r="Q19" s="1809"/>
      <c r="R19" s="774"/>
      <c r="S19" s="775"/>
      <c r="T19" s="774"/>
      <c r="U19" s="775"/>
      <c r="V19" s="774"/>
      <c r="W19" s="775"/>
      <c r="X19" s="1812"/>
      <c r="Y19" s="3265"/>
      <c r="Z19" s="1813"/>
      <c r="AA19" s="1810">
        <v>1</v>
      </c>
      <c r="AB19" s="1810">
        <v>1</v>
      </c>
      <c r="AC19" s="1810">
        <v>1</v>
      </c>
    </row>
    <row r="20" spans="1:29" ht="55.2">
      <c r="A20" s="404"/>
      <c r="B20" s="631" t="s">
        <v>2707</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65"/>
      <c r="Q20" s="1809" t="str">
        <f>B20</f>
        <v>自然及人文环境</v>
      </c>
      <c r="R20" s="774" t="s">
        <v>17</v>
      </c>
      <c r="S20" s="775">
        <f>F20</f>
        <v>100</v>
      </c>
      <c r="T20" s="774" t="s">
        <v>17</v>
      </c>
      <c r="U20" s="775">
        <f>H20</f>
        <v>100</v>
      </c>
      <c r="V20" s="774" t="s">
        <v>17</v>
      </c>
      <c r="W20" s="775">
        <f>J20</f>
        <v>100</v>
      </c>
      <c r="X20" s="1812"/>
      <c r="Y20" s="3265"/>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65"/>
      <c r="Q21" s="1809"/>
      <c r="R21" s="774"/>
      <c r="S21" s="775"/>
      <c r="T21" s="774"/>
      <c r="U21" s="775"/>
      <c r="V21" s="774"/>
      <c r="W21" s="775"/>
      <c r="X21" s="1812"/>
      <c r="Y21" s="3265"/>
      <c r="Z21" s="1813"/>
      <c r="AA21" s="1810">
        <v>1</v>
      </c>
      <c r="AB21" s="1810">
        <v>1</v>
      </c>
      <c r="AC21" s="1810">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65"/>
      <c r="Q22" s="1809" t="str">
        <f>B22</f>
        <v>楼层</v>
      </c>
      <c r="R22" s="774" t="s">
        <v>17</v>
      </c>
      <c r="S22" s="775">
        <f>F22</f>
        <v>100</v>
      </c>
      <c r="T22" s="774" t="s">
        <v>17</v>
      </c>
      <c r="U22" s="775">
        <f>H22</f>
        <v>100</v>
      </c>
      <c r="V22" s="774" t="s">
        <v>17</v>
      </c>
      <c r="W22" s="775">
        <f>J22</f>
        <v>100</v>
      </c>
      <c r="X22" s="1812"/>
      <c r="Y22" s="3265"/>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65"/>
      <c r="Q23" s="1809">
        <f>B23</f>
        <v>111</v>
      </c>
      <c r="R23" s="774" t="s">
        <v>17</v>
      </c>
      <c r="S23" s="775">
        <f>F23</f>
        <v>100</v>
      </c>
      <c r="T23" s="774" t="s">
        <v>17</v>
      </c>
      <c r="U23" s="775">
        <f>H23</f>
        <v>100</v>
      </c>
      <c r="V23" s="774" t="s">
        <v>17</v>
      </c>
      <c r="W23" s="775">
        <f>J23</f>
        <v>100</v>
      </c>
      <c r="X23" s="1812"/>
      <c r="Y23" s="3265"/>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65"/>
      <c r="Q24" s="1809">
        <f t="shared" ref="Q24:Q36" si="11">B24</f>
        <v>111</v>
      </c>
      <c r="R24" s="774" t="s">
        <v>17</v>
      </c>
      <c r="S24" s="775">
        <f>F24</f>
        <v>100</v>
      </c>
      <c r="T24" s="774" t="s">
        <v>17</v>
      </c>
      <c r="U24" s="775">
        <f>H24</f>
        <v>100</v>
      </c>
      <c r="V24" s="774" t="s">
        <v>17</v>
      </c>
      <c r="W24" s="775">
        <f>J24</f>
        <v>100</v>
      </c>
      <c r="X24" s="1812"/>
      <c r="Y24" s="3265"/>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65"/>
      <c r="Q25" s="1794">
        <f t="shared" si="11"/>
        <v>111</v>
      </c>
      <c r="R25" s="770" t="s">
        <v>17</v>
      </c>
      <c r="S25" s="771">
        <f>F25</f>
        <v>100</v>
      </c>
      <c r="T25" s="770" t="s">
        <v>17</v>
      </c>
      <c r="U25" s="771">
        <f>H25</f>
        <v>100</v>
      </c>
      <c r="V25" s="770" t="s">
        <v>17</v>
      </c>
      <c r="W25" s="771">
        <f>J25</f>
        <v>100</v>
      </c>
      <c r="X25" s="772"/>
      <c r="Y25" s="3265"/>
      <c r="Z25" s="55">
        <f>Q25</f>
        <v>111</v>
      </c>
      <c r="AA25" s="1810">
        <f>D25/F25</f>
        <v>1</v>
      </c>
      <c r="AB25" s="1810">
        <f>D25/H25</f>
        <v>1</v>
      </c>
      <c r="AC25" s="1810">
        <f>D25/J25</f>
        <v>1</v>
      </c>
    </row>
    <row r="26" spans="1:29" ht="30">
      <c r="A26" s="652" t="s">
        <v>2560</v>
      </c>
      <c r="B26" s="70" t="s">
        <v>2709</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6" t="s">
        <v>2562</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67" t="s">
        <v>2562</v>
      </c>
      <c r="Z26" s="1813" t="str">
        <f t="shared" ref="Z26:Z36" si="15">Q26</f>
        <v>配套类型</v>
      </c>
      <c r="AA26" s="1810">
        <f t="shared" si="3"/>
        <v>1</v>
      </c>
      <c r="AB26" s="1810">
        <f t="shared" si="4"/>
        <v>1</v>
      </c>
      <c r="AC26" s="1810">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67"/>
      <c r="Q27" s="776" t="str">
        <f t="shared" si="11"/>
        <v>项目停车位配比</v>
      </c>
      <c r="R27" s="777" t="s">
        <v>17</v>
      </c>
      <c r="S27" s="778">
        <f t="shared" si="12"/>
        <v>100</v>
      </c>
      <c r="T27" s="777" t="s">
        <v>17</v>
      </c>
      <c r="U27" s="778">
        <f t="shared" si="13"/>
        <v>100</v>
      </c>
      <c r="V27" s="777" t="s">
        <v>17</v>
      </c>
      <c r="W27" s="778">
        <f t="shared" si="14"/>
        <v>100</v>
      </c>
      <c r="X27" s="779"/>
      <c r="Y27" s="3267"/>
      <c r="Z27" s="780" t="str">
        <f t="shared" si="15"/>
        <v>项目停车位配比</v>
      </c>
      <c r="AA27" s="1810">
        <f t="shared" si="3"/>
        <v>1</v>
      </c>
      <c r="AB27" s="1810">
        <f t="shared" si="4"/>
        <v>1</v>
      </c>
      <c r="AC27" s="1810">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67"/>
      <c r="Q28" s="1809" t="str">
        <f t="shared" si="11"/>
        <v>公共部分装修</v>
      </c>
      <c r="R28" s="774" t="s">
        <v>17</v>
      </c>
      <c r="S28" s="775">
        <f t="shared" si="12"/>
        <v>100</v>
      </c>
      <c r="T28" s="774" t="s">
        <v>17</v>
      </c>
      <c r="U28" s="775">
        <f t="shared" si="13"/>
        <v>100</v>
      </c>
      <c r="V28" s="774" t="s">
        <v>17</v>
      </c>
      <c r="W28" s="775">
        <f t="shared" si="14"/>
        <v>100</v>
      </c>
      <c r="X28" s="1812"/>
      <c r="Y28" s="3267"/>
      <c r="Z28" s="1813" t="str">
        <f t="shared" si="15"/>
        <v>公共部分装修</v>
      </c>
      <c r="AA28" s="1810">
        <f t="shared" si="3"/>
        <v>1</v>
      </c>
      <c r="AB28" s="1810">
        <f t="shared" si="4"/>
        <v>1</v>
      </c>
      <c r="AC28" s="1810">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67"/>
      <c r="Q29" s="1809" t="str">
        <f t="shared" si="11"/>
        <v>成新率</v>
      </c>
      <c r="R29" s="774" t="s">
        <v>17</v>
      </c>
      <c r="S29" s="775" t="e">
        <f t="shared" si="12"/>
        <v>#N/A</v>
      </c>
      <c r="T29" s="774" t="s">
        <v>17</v>
      </c>
      <c r="U29" s="775" t="e">
        <f t="shared" si="13"/>
        <v>#N/A</v>
      </c>
      <c r="V29" s="774" t="s">
        <v>17</v>
      </c>
      <c r="W29" s="775" t="e">
        <f t="shared" si="14"/>
        <v>#N/A</v>
      </c>
      <c r="X29" s="1812"/>
      <c r="Y29" s="3267"/>
      <c r="Z29" s="1813" t="str">
        <f t="shared" si="15"/>
        <v>成新率</v>
      </c>
      <c r="AA29" s="1810" t="e">
        <f t="shared" si="3"/>
        <v>#N/A</v>
      </c>
      <c r="AB29" s="1810" t="e">
        <f t="shared" si="4"/>
        <v>#N/A</v>
      </c>
      <c r="AC29" s="1810"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67"/>
      <c r="Q30" s="1809" t="str">
        <f t="shared" si="11"/>
        <v>物业等级</v>
      </c>
      <c r="R30" s="774" t="s">
        <v>17</v>
      </c>
      <c r="S30" s="775">
        <f t="shared" si="12"/>
        <v>100</v>
      </c>
      <c r="T30" s="774" t="s">
        <v>17</v>
      </c>
      <c r="U30" s="775">
        <f t="shared" si="13"/>
        <v>100</v>
      </c>
      <c r="V30" s="774" t="s">
        <v>17</v>
      </c>
      <c r="W30" s="775">
        <f t="shared" si="14"/>
        <v>100</v>
      </c>
      <c r="X30" s="1812"/>
      <c r="Y30" s="3267"/>
      <c r="Z30" s="1813" t="str">
        <f t="shared" si="15"/>
        <v>物业等级</v>
      </c>
      <c r="AA30" s="1810">
        <f t="shared" si="3"/>
        <v>1</v>
      </c>
      <c r="AB30" s="1810">
        <f t="shared" si="4"/>
        <v>1</v>
      </c>
      <c r="AC30" s="1810">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67"/>
      <c r="Q31" s="1794" t="str">
        <f t="shared" si="11"/>
        <v>停车位面积</v>
      </c>
      <c r="R31" s="770" t="s">
        <v>17</v>
      </c>
      <c r="S31" s="771" t="e">
        <f t="shared" si="12"/>
        <v>#N/A</v>
      </c>
      <c r="T31" s="770" t="s">
        <v>17</v>
      </c>
      <c r="U31" s="771" t="e">
        <f t="shared" si="13"/>
        <v>#N/A</v>
      </c>
      <c r="V31" s="770" t="s">
        <v>17</v>
      </c>
      <c r="W31" s="771" t="e">
        <f t="shared" si="14"/>
        <v>#N/A</v>
      </c>
      <c r="X31" s="772"/>
      <c r="Y31" s="3267"/>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67" t="s">
        <v>2562</v>
      </c>
      <c r="Q32" s="1809" t="str">
        <f t="shared" si="11"/>
        <v>车位类型</v>
      </c>
      <c r="R32" s="774" t="s">
        <v>17</v>
      </c>
      <c r="S32" s="775">
        <f t="shared" si="12"/>
        <v>100</v>
      </c>
      <c r="T32" s="774" t="s">
        <v>17</v>
      </c>
      <c r="U32" s="775">
        <f t="shared" si="13"/>
        <v>100</v>
      </c>
      <c r="V32" s="774" t="s">
        <v>17</v>
      </c>
      <c r="W32" s="775">
        <f t="shared" si="14"/>
        <v>100</v>
      </c>
      <c r="X32" s="1812"/>
      <c r="Y32" s="3267" t="s">
        <v>2562</v>
      </c>
      <c r="Z32" s="1813" t="str">
        <f t="shared" si="15"/>
        <v>车位类型</v>
      </c>
      <c r="AA32" s="1810">
        <f t="shared" si="3"/>
        <v>1</v>
      </c>
      <c r="AB32" s="1810">
        <f t="shared" si="4"/>
        <v>1</v>
      </c>
      <c r="AC32" s="1810">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67"/>
      <c r="Q33" s="1809" t="str">
        <f t="shared" si="11"/>
        <v>是否直接入户</v>
      </c>
      <c r="R33" s="774" t="s">
        <v>17</v>
      </c>
      <c r="S33" s="775">
        <f t="shared" si="12"/>
        <v>100</v>
      </c>
      <c r="T33" s="774" t="s">
        <v>17</v>
      </c>
      <c r="U33" s="775">
        <f t="shared" si="13"/>
        <v>100</v>
      </c>
      <c r="V33" s="774" t="s">
        <v>17</v>
      </c>
      <c r="W33" s="775">
        <f t="shared" si="14"/>
        <v>100</v>
      </c>
      <c r="X33" s="1812"/>
      <c r="Y33" s="3267"/>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67"/>
      <c r="Q34" s="1809">
        <f t="shared" si="11"/>
        <v>111</v>
      </c>
      <c r="R34" s="774" t="s">
        <v>17</v>
      </c>
      <c r="S34" s="775">
        <f t="shared" si="12"/>
        <v>100</v>
      </c>
      <c r="T34" s="774" t="s">
        <v>17</v>
      </c>
      <c r="U34" s="775">
        <f t="shared" si="13"/>
        <v>100</v>
      </c>
      <c r="V34" s="774" t="s">
        <v>17</v>
      </c>
      <c r="W34" s="775">
        <f t="shared" si="14"/>
        <v>100</v>
      </c>
      <c r="X34" s="1812"/>
      <c r="Y34" s="3267"/>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67"/>
      <c r="Q35" s="776">
        <f t="shared" si="11"/>
        <v>111</v>
      </c>
      <c r="R35" s="777" t="s">
        <v>17</v>
      </c>
      <c r="S35" s="778">
        <f t="shared" si="12"/>
        <v>100</v>
      </c>
      <c r="T35" s="777" t="s">
        <v>17</v>
      </c>
      <c r="U35" s="778">
        <f t="shared" si="13"/>
        <v>100</v>
      </c>
      <c r="V35" s="777" t="s">
        <v>17</v>
      </c>
      <c r="W35" s="778">
        <f t="shared" si="14"/>
        <v>100</v>
      </c>
      <c r="X35" s="779"/>
      <c r="Y35" s="3267"/>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67"/>
      <c r="Q36" s="1809">
        <f t="shared" si="11"/>
        <v>111</v>
      </c>
      <c r="R36" s="774" t="s">
        <v>17</v>
      </c>
      <c r="S36" s="775">
        <f t="shared" si="12"/>
        <v>100</v>
      </c>
      <c r="T36" s="774" t="s">
        <v>17</v>
      </c>
      <c r="U36" s="775">
        <f t="shared" si="13"/>
        <v>100</v>
      </c>
      <c r="V36" s="774" t="s">
        <v>17</v>
      </c>
      <c r="W36" s="775">
        <f t="shared" si="14"/>
        <v>100</v>
      </c>
      <c r="X36" s="1812"/>
      <c r="Y36" s="3267"/>
      <c r="Z36" s="1813">
        <f t="shared" si="15"/>
        <v>111</v>
      </c>
      <c r="AA36" s="1810">
        <f t="shared" si="3"/>
        <v>1</v>
      </c>
      <c r="AB36" s="1810">
        <f t="shared" si="4"/>
        <v>1</v>
      </c>
      <c r="AC36" s="1810">
        <f t="shared" si="5"/>
        <v>1</v>
      </c>
    </row>
    <row r="37" spans="1:29" ht="14.4">
      <c r="A37" s="479" t="s">
        <v>2717</v>
      </c>
      <c r="B37" s="2696" t="s">
        <v>2718</v>
      </c>
      <c r="C37" s="1407" t="s">
        <v>1</v>
      </c>
      <c r="D37" s="1408"/>
      <c r="E37" s="1409"/>
      <c r="F37" s="1410"/>
      <c r="G37" s="1411"/>
      <c r="H37" s="1412"/>
      <c r="I37" s="1409"/>
      <c r="J37" s="1412"/>
      <c r="K37" s="619"/>
      <c r="L37" s="1143"/>
      <c r="M37" s="1144"/>
      <c r="N37" s="1131"/>
      <c r="O37" s="1144"/>
      <c r="P37" s="3249" t="str">
        <f>A37</f>
        <v>成交单价</v>
      </c>
      <c r="Q37" s="3249"/>
      <c r="R37" s="3303">
        <f>E37</f>
        <v>0</v>
      </c>
      <c r="S37" s="3303"/>
      <c r="T37" s="3303">
        <f>G37</f>
        <v>0</v>
      </c>
      <c r="U37" s="3303"/>
      <c r="V37" s="3303">
        <f>I37</f>
        <v>0</v>
      </c>
      <c r="W37" s="3303"/>
      <c r="X37" s="759"/>
      <c r="Y37" s="781"/>
      <c r="Z37" s="759"/>
      <c r="AA37" s="759"/>
      <c r="AB37" s="759"/>
      <c r="AC37" s="759"/>
    </row>
    <row r="38" spans="1:29" ht="1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49" t="str">
        <f>A38</f>
        <v>比较价值（元/平方米）</v>
      </c>
      <c r="Q38" s="3249"/>
      <c r="R38" s="3303" t="e">
        <f>IF(F1="售价",ROUND(PRODUCT(R37,AA7:AA36),0),ROUND(PRODUCT(R37,AA7:AA36),1))</f>
        <v>#DIV/0!</v>
      </c>
      <c r="S38" s="3303"/>
      <c r="T38" s="3303" t="e">
        <f>IF(F1="售价",ROUND(PRODUCT(T37,AB7:AB36),0),ROUND(PRODUCT(T37,AB7:AB36),1))</f>
        <v>#DIV/0!</v>
      </c>
      <c r="U38" s="3303"/>
      <c r="V38" s="3303" t="e">
        <f>IF(F1="售价",ROUND(PRODUCT(V37,AC7:AC36),0),ROUND(PRODUCT(V37,AC7:AC36),1))</f>
        <v>#DIV/0!</v>
      </c>
      <c r="W38" s="3303"/>
      <c r="X38" s="759"/>
      <c r="Y38" s="759"/>
      <c r="Z38" s="759"/>
      <c r="AA38" s="759"/>
      <c r="AB38" s="759"/>
      <c r="AC38" s="759"/>
    </row>
    <row r="39" spans="1:29" ht="15" thickBot="1">
      <c r="A39" s="492" t="s">
        <v>2720</v>
      </c>
      <c r="B39" s="493"/>
      <c r="C39" s="1417" t="e">
        <f>R39</f>
        <v>#DIV/0!</v>
      </c>
      <c r="D39" s="1417"/>
      <c r="E39" s="1417"/>
      <c r="F39" s="1417"/>
      <c r="G39" s="1417"/>
      <c r="H39" s="1417"/>
      <c r="I39" s="1417"/>
      <c r="J39" s="1417"/>
      <c r="K39" s="621"/>
      <c r="L39" s="1143"/>
      <c r="M39" s="1144"/>
      <c r="N39" s="1144"/>
      <c r="O39" s="1144"/>
      <c r="P39" s="3269" t="str">
        <f>A39</f>
        <v>估价对象XX用房的比较价值（楼面单价，元/平方米）</v>
      </c>
      <c r="Q39" s="3270"/>
      <c r="R39" s="3302" t="e">
        <f>IF(F1="售价",ROUND(AVERAGE(R38:V38),0),ROUND(AVERAGE(R38:V38),1))</f>
        <v>#DIV/0!</v>
      </c>
      <c r="S39" s="3302"/>
      <c r="T39" s="3302"/>
      <c r="U39" s="3302"/>
      <c r="V39" s="3302"/>
      <c r="W39" s="330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2725</v>
      </c>
      <c r="B48" s="506"/>
      <c r="C48" s="1573" t="str">
        <f>YEAR(C7)&amp;"-"&amp;MONTH(C7)</f>
        <v>2020-3</v>
      </c>
      <c r="D48" s="1574">
        <f>EDATE(C48,-1)</f>
        <v>43862</v>
      </c>
      <c r="E48" s="1574">
        <f t="shared" ref="E48:O48" si="16">EDATE(D48,-1)</f>
        <v>43831</v>
      </c>
      <c r="F48" s="1574">
        <f t="shared" si="16"/>
        <v>43800</v>
      </c>
      <c r="G48" s="1574">
        <f t="shared" si="16"/>
        <v>43770</v>
      </c>
      <c r="H48" s="1574">
        <f t="shared" si="16"/>
        <v>43739</v>
      </c>
      <c r="I48" s="1574">
        <f t="shared" si="16"/>
        <v>43709</v>
      </c>
      <c r="J48" s="1574">
        <f t="shared" si="16"/>
        <v>43678</v>
      </c>
      <c r="K48" s="1574">
        <f t="shared" si="16"/>
        <v>43647</v>
      </c>
      <c r="L48" s="1574">
        <f t="shared" si="16"/>
        <v>43617</v>
      </c>
      <c r="M48" s="1574">
        <f t="shared" si="16"/>
        <v>43586</v>
      </c>
      <c r="N48" s="1574">
        <f t="shared" si="16"/>
        <v>43556</v>
      </c>
      <c r="O48" s="1574">
        <f t="shared" si="16"/>
        <v>43525</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91" priority="14" stopIfTrue="1" operator="containsText" text="超过">
      <formula>NOT(ISERROR(SEARCH("超过",F42)))</formula>
    </cfRule>
  </conditionalFormatting>
  <conditionalFormatting sqref="J44">
    <cfRule type="containsText" dxfId="90" priority="13" stopIfTrue="1" operator="containsText" text="超过">
      <formula>NOT(ISERROR(SEARCH("超过",J44)))</formula>
    </cfRule>
  </conditionalFormatting>
  <conditionalFormatting sqref="H44">
    <cfRule type="containsText" dxfId="89" priority="12" stopIfTrue="1" operator="containsText" text="超过">
      <formula>NOT(ISERROR(SEARCH("超过",H44)))</formula>
    </cfRule>
  </conditionalFormatting>
  <conditionalFormatting sqref="F44">
    <cfRule type="containsText" dxfId="88" priority="11" stopIfTrue="1" operator="containsText" text="超过">
      <formula>NOT(ISERROR(SEARCH("超过",F44)))</formula>
    </cfRule>
  </conditionalFormatting>
  <conditionalFormatting sqref="F43 H43 J43">
    <cfRule type="containsText" dxfId="87" priority="10" stopIfTrue="1" operator="containsText" text="超过">
      <formula>NOT(ISERROR(SEARCH("超过",F43)))</formula>
    </cfRule>
  </conditionalFormatting>
  <conditionalFormatting sqref="E42">
    <cfRule type="expression" dxfId="86" priority="9" stopIfTrue="1">
      <formula>$F$42="超过30%"</formula>
    </cfRule>
  </conditionalFormatting>
  <conditionalFormatting sqref="G44">
    <cfRule type="expression" dxfId="85" priority="8" stopIfTrue="1">
      <formula>$H$54+$H$44="超过30%"</formula>
    </cfRule>
  </conditionalFormatting>
  <conditionalFormatting sqref="E43">
    <cfRule type="expression" dxfId="84" priority="7" stopIfTrue="1">
      <formula>$F$43="超过20%"</formula>
    </cfRule>
  </conditionalFormatting>
  <conditionalFormatting sqref="E44">
    <cfRule type="expression" dxfId="83" priority="6" stopIfTrue="1">
      <formula>$F$44="超过30%"</formula>
    </cfRule>
  </conditionalFormatting>
  <conditionalFormatting sqref="G42">
    <cfRule type="expression" dxfId="82" priority="5" stopIfTrue="1">
      <formula>$H$52+$H$42="超过30%"</formula>
    </cfRule>
  </conditionalFormatting>
  <conditionalFormatting sqref="G43">
    <cfRule type="expression" dxfId="81" priority="4" stopIfTrue="1">
      <formula>$H$43="超过20%"</formula>
    </cfRule>
  </conditionalFormatting>
  <conditionalFormatting sqref="I42">
    <cfRule type="expression" dxfId="80" priority="3" stopIfTrue="1">
      <formula>$J$52+$J$42="超过30%"</formula>
    </cfRule>
  </conditionalFormatting>
  <conditionalFormatting sqref="I43">
    <cfRule type="expression" dxfId="79" priority="2" stopIfTrue="1">
      <formula>$J$53+$J$43="超过20%"</formula>
    </cfRule>
  </conditionalFormatting>
  <conditionalFormatting sqref="I44">
    <cfRule type="expression" dxfId="78" priority="1" stopIfTrue="1">
      <formula>$J$44="超过30%"</formula>
    </cfRule>
  </conditionalFormatting>
  <dataValidations count="19">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G17 C17 E17 I17" xr:uid="{00000000-0002-0000-1E00-000002000000}">
      <formula1>公共配套设施</formula1>
    </dataValidation>
    <dataValidation type="list" allowBlank="1" showInputMessage="1" showErrorMessage="1" sqref="G15 E15 C15 I15" xr:uid="{00000000-0002-0000-1E00-000003000000}">
      <formula1>交通便捷度</formula1>
    </dataValidation>
    <dataValidation type="list" allowBlank="1" showInputMessage="1" showErrorMessage="1" sqref="C8 E8 G8 I8" xr:uid="{00000000-0002-0000-1E00-000004000000}">
      <formula1>车位交易情况</formula1>
    </dataValidation>
    <dataValidation type="list" allowBlank="1" showInputMessage="1" showErrorMessage="1" sqref="E9 G9 I9" xr:uid="{00000000-0002-0000-1E00-000005000000}">
      <formula1>车位用途</formula1>
    </dataValidation>
    <dataValidation type="list" allowBlank="1" showInputMessage="1" showErrorMessage="1" sqref="C22 E22 G22 I22" xr:uid="{00000000-0002-0000-1E00-000006000000}">
      <formula1>车位楼层</formula1>
    </dataValidation>
    <dataValidation type="list" allowBlank="1" showInputMessage="1" showErrorMessage="1" sqref="C30 E30 G30 I30" xr:uid="{00000000-0002-0000-1E00-000007000000}">
      <formula1>车位物业等级</formula1>
    </dataValidation>
    <dataValidation type="list" allowBlank="1" showInputMessage="1" showErrorMessage="1" sqref="C32 E32 G32 I32" xr:uid="{00000000-0002-0000-1E00-000008000000}">
      <formula1>车位类型</formula1>
    </dataValidation>
    <dataValidation type="list" allowBlank="1" showInputMessage="1" showErrorMessage="1" sqref="C33 E33 G33 I33" xr:uid="{00000000-0002-0000-1E00-000009000000}">
      <formula1>是否直接入户</formula1>
    </dataValidation>
    <dataValidation type="list" allowBlank="1" showInputMessage="1" showErrorMessage="1" sqref="B1" xr:uid="{00000000-0002-0000-1E00-00000A000000}">
      <formula1>地类判定</formula1>
    </dataValidation>
    <dataValidation type="list" allowBlank="1" showInputMessage="1" showErrorMessage="1" sqref="I26 E26 G26" xr:uid="{00000000-0002-0000-1E00-00000B000000}">
      <formula1>车位配套类型</formula1>
    </dataValidation>
    <dataValidation type="list" allowBlank="1" showInputMessage="1" showErrorMessage="1" sqref="C28 E28 G28 I28" xr:uid="{00000000-0002-0000-1E00-00000C000000}">
      <formula1>车位公共部分装修</formula1>
    </dataValidation>
    <dataValidation type="list" allowBlank="1" showInputMessage="1" showErrorMessage="1" sqref="B37" xr:uid="{00000000-0002-0000-1E00-00000D000000}">
      <formula1>"元/平方米,元/车位"</formula1>
    </dataValidation>
    <dataValidation type="list" allowBlank="1" showInputMessage="1" showErrorMessage="1" sqref="C21 E21 G21 I21" xr:uid="{00000000-0002-0000-1E00-00000E000000}">
      <formula1>环境</formula1>
    </dataValidation>
    <dataValidation type="list" allowBlank="1" showInputMessage="1" showErrorMessage="1" sqref="C19 E19 G19 I19"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C241"/>
  <sheetViews>
    <sheetView zoomScale="89" zoomScaleNormal="89" workbookViewId="0">
      <selection activeCell="F7" sqref="F7"/>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2704</v>
      </c>
      <c r="B1" s="1618"/>
      <c r="C1" s="1619" t="s">
        <v>2527</v>
      </c>
      <c r="D1" s="1620"/>
      <c r="E1" s="1629"/>
      <c r="F1" s="2585"/>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8" t="e">
        <f ca="1">IF(C2="——",ROUND(C37*D3/10000,0),ROUND(C37*D3/10000,0)-D2)</f>
        <v>#DIV/0!</v>
      </c>
      <c r="C2" s="2587"/>
      <c r="D2" s="1124" t="e">
        <f ca="1">SUMIF(INDIRECT("'"&amp;F2&amp;"'"&amp;"!A:A"),"承租人权益价值",INDIRECT("'"&amp;F2&amp;"'"&amp;"!c:c"))</f>
        <v>#REF!</v>
      </c>
      <c r="E2" s="2588" t="s">
        <v>2325</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2642</v>
      </c>
      <c r="B4" s="402"/>
      <c r="C4" s="3250" t="s">
        <v>2643</v>
      </c>
      <c r="D4" s="3251"/>
      <c r="E4" s="3252" t="s">
        <v>2644</v>
      </c>
      <c r="F4" s="3253"/>
      <c r="G4" s="3250" t="s">
        <v>2645</v>
      </c>
      <c r="H4" s="3251"/>
      <c r="I4" s="3250" t="s">
        <v>2646</v>
      </c>
      <c r="J4" s="3251"/>
      <c r="K4" s="610" t="s">
        <v>2647</v>
      </c>
      <c r="L4" s="1130"/>
      <c r="M4" s="1131"/>
      <c r="N4" s="1131"/>
      <c r="O4" s="1131"/>
      <c r="P4" s="3254" t="s">
        <v>2648</v>
      </c>
      <c r="Q4" s="3255"/>
      <c r="R4" s="3236" t="s">
        <v>2644</v>
      </c>
      <c r="S4" s="3237"/>
      <c r="T4" s="3236" t="s">
        <v>2645</v>
      </c>
      <c r="U4" s="3237"/>
      <c r="V4" s="3262" t="s">
        <v>2646</v>
      </c>
      <c r="W4" s="3262"/>
      <c r="X4" s="1812"/>
      <c r="Y4" s="3236" t="s">
        <v>2648</v>
      </c>
      <c r="Z4" s="3237"/>
      <c r="AA4" s="3231" t="s">
        <v>2644</v>
      </c>
      <c r="AB4" s="3232" t="s">
        <v>2645</v>
      </c>
      <c r="AC4" s="3231" t="s">
        <v>2646</v>
      </c>
    </row>
    <row r="5" spans="1:29">
      <c r="A5" s="404"/>
      <c r="B5" s="405"/>
      <c r="C5" s="3246" t="s">
        <v>2539</v>
      </c>
      <c r="D5" s="3243"/>
      <c r="E5" s="3240" t="s">
        <v>2540</v>
      </c>
      <c r="F5" s="3241"/>
      <c r="G5" s="3246" t="s">
        <v>2541</v>
      </c>
      <c r="H5" s="3243"/>
      <c r="I5" s="3246" t="s">
        <v>2542</v>
      </c>
      <c r="J5" s="3243"/>
      <c r="K5" s="610"/>
      <c r="L5" s="1130"/>
      <c r="M5" s="1131"/>
      <c r="N5" s="1131"/>
      <c r="O5" s="1131"/>
      <c r="P5" s="3256"/>
      <c r="Q5" s="3257"/>
      <c r="R5" s="3238"/>
      <c r="S5" s="3239"/>
      <c r="T5" s="3238"/>
      <c r="U5" s="3239"/>
      <c r="V5" s="3262"/>
      <c r="W5" s="3262"/>
      <c r="X5" s="1812"/>
      <c r="Y5" s="3238"/>
      <c r="Z5" s="3239"/>
      <c r="AA5" s="3232"/>
      <c r="AB5" s="3232"/>
      <c r="AC5" s="3232"/>
    </row>
    <row r="6" spans="1:29" ht="15" thickBot="1">
      <c r="A6" s="406"/>
      <c r="B6" s="407"/>
      <c r="C6" s="3244" t="s">
        <v>2543</v>
      </c>
      <c r="D6" s="3245"/>
      <c r="E6" s="3247" t="s">
        <v>2543</v>
      </c>
      <c r="F6" s="3248"/>
      <c r="G6" s="3244" t="s">
        <v>2543</v>
      </c>
      <c r="H6" s="3245"/>
      <c r="I6" s="3244" t="s">
        <v>2543</v>
      </c>
      <c r="J6" s="3245"/>
      <c r="K6" s="610" t="s">
        <v>2544</v>
      </c>
      <c r="L6" s="1130"/>
      <c r="M6" s="1131"/>
      <c r="N6" s="1131"/>
      <c r="O6" s="1131"/>
      <c r="P6" s="3258"/>
      <c r="Q6" s="3259"/>
      <c r="R6" s="3238"/>
      <c r="S6" s="3239"/>
      <c r="T6" s="3260"/>
      <c r="U6" s="3261"/>
      <c r="V6" s="3262"/>
      <c r="W6" s="3262"/>
      <c r="X6" s="1812"/>
      <c r="Y6" s="3260"/>
      <c r="Z6" s="3261"/>
      <c r="AA6" s="3233"/>
      <c r="AB6" s="3233"/>
      <c r="AC6" s="3233"/>
    </row>
    <row r="7" spans="1:29" s="117" customFormat="1" ht="15" thickBot="1">
      <c r="A7" s="408" t="s">
        <v>2545</v>
      </c>
      <c r="B7" s="409"/>
      <c r="C7" s="410">
        <f>'数据-取费表'!B2</f>
        <v>43921</v>
      </c>
      <c r="D7" s="411">
        <v>100</v>
      </c>
      <c r="E7" s="412"/>
      <c r="F7" s="413">
        <f>SUMIF(46:46,YEAR(E7)&amp;"-"&amp;MONTH(E7),47:47)</f>
        <v>0</v>
      </c>
      <c r="G7" s="2697"/>
      <c r="H7" s="411">
        <f>SUMIF(46:46,YEAR(G7)&amp;"-"&amp;MONTH(G7),47:47)</f>
        <v>0</v>
      </c>
      <c r="I7" s="412"/>
      <c r="J7" s="411">
        <f>SUMIF(46:46,YEAR(I7)&amp;"-"&amp;MONTH(I7),47:47)</f>
        <v>0</v>
      </c>
      <c r="K7" s="611"/>
      <c r="L7" s="1132"/>
      <c r="M7" s="1133"/>
      <c r="N7" s="1133"/>
      <c r="O7" s="1133"/>
      <c r="P7" s="3234" t="s">
        <v>2546</v>
      </c>
      <c r="Q7" s="3263"/>
      <c r="R7" s="770" t="s">
        <v>17</v>
      </c>
      <c r="S7" s="771">
        <f t="shared" ref="S7:S14" si="0">F7</f>
        <v>0</v>
      </c>
      <c r="T7" s="770" t="s">
        <v>17</v>
      </c>
      <c r="U7" s="771">
        <f t="shared" ref="U7:U14" si="1">H7</f>
        <v>0</v>
      </c>
      <c r="V7" s="770" t="s">
        <v>17</v>
      </c>
      <c r="W7" s="771">
        <f t="shared" ref="W7:W14" si="2">J7</f>
        <v>0</v>
      </c>
      <c r="X7" s="772"/>
      <c r="Y7" s="3234" t="s">
        <v>2546</v>
      </c>
      <c r="Z7" s="3235"/>
      <c r="AA7" s="773" t="e">
        <f>D7/F7</f>
        <v>#DIV/0!</v>
      </c>
      <c r="AB7" s="773" t="e">
        <f>D7/H7</f>
        <v>#DIV/0!</v>
      </c>
      <c r="AC7" s="773" t="e">
        <f>D7/J7</f>
        <v>#DIV/0!</v>
      </c>
    </row>
    <row r="8" spans="1:29" s="117" customFormat="1" ht="1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4" t="s">
        <v>2549</v>
      </c>
      <c r="Q8" s="3235"/>
      <c r="R8" s="770" t="s">
        <v>17</v>
      </c>
      <c r="S8" s="771">
        <f t="shared" si="0"/>
        <v>0</v>
      </c>
      <c r="T8" s="770" t="s">
        <v>17</v>
      </c>
      <c r="U8" s="771">
        <f t="shared" si="1"/>
        <v>0</v>
      </c>
      <c r="V8" s="770" t="s">
        <v>17</v>
      </c>
      <c r="W8" s="771">
        <f t="shared" si="2"/>
        <v>0</v>
      </c>
      <c r="X8" s="772"/>
      <c r="Y8" s="3234" t="s">
        <v>2549</v>
      </c>
      <c r="Z8" s="3235"/>
      <c r="AA8" s="773" t="e">
        <f t="shared" ref="AA8:AA34" si="3">D8/F8</f>
        <v>#DIV/0!</v>
      </c>
      <c r="AB8" s="773" t="e">
        <f t="shared" ref="AB8:AB34" si="4">D8/H8</f>
        <v>#DIV/0!</v>
      </c>
      <c r="AC8" s="773" t="e">
        <f t="shared" ref="AC8:AC34" si="5">D8/J8</f>
        <v>#DIV/0!</v>
      </c>
    </row>
    <row r="9" spans="1:29" s="117" customFormat="1" ht="14.4">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49" t="s">
        <v>2552</v>
      </c>
      <c r="Q9" s="1794" t="str">
        <f t="shared" ref="Q9:Q14" si="6">B9</f>
        <v>用途</v>
      </c>
      <c r="R9" s="770" t="s">
        <v>17</v>
      </c>
      <c r="S9" s="771">
        <f t="shared" si="0"/>
        <v>100</v>
      </c>
      <c r="T9" s="770" t="s">
        <v>17</v>
      </c>
      <c r="U9" s="771">
        <f t="shared" si="1"/>
        <v>100</v>
      </c>
      <c r="V9" s="770" t="s">
        <v>17</v>
      </c>
      <c r="W9" s="771">
        <f t="shared" si="2"/>
        <v>100</v>
      </c>
      <c r="X9" s="772"/>
      <c r="Y9" s="3108" t="s">
        <v>2553</v>
      </c>
      <c r="Z9" s="55" t="str">
        <f t="shared" ref="Z9:Z14" si="7">Q9</f>
        <v>用途</v>
      </c>
      <c r="AA9" s="773">
        <f t="shared" si="3"/>
        <v>1</v>
      </c>
      <c r="AB9" s="773">
        <f t="shared" si="4"/>
        <v>1</v>
      </c>
      <c r="AC9" s="773">
        <f t="shared" si="5"/>
        <v>1</v>
      </c>
    </row>
    <row r="10" spans="1:29" s="427" customFormat="1" ht="28.8">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49"/>
      <c r="Q10" s="1794" t="str">
        <f t="shared" si="6"/>
        <v>土地使用年限（年）</v>
      </c>
      <c r="R10" s="770" t="s">
        <v>17</v>
      </c>
      <c r="S10" s="771">
        <f t="shared" si="0"/>
        <v>100</v>
      </c>
      <c r="T10" s="770" t="s">
        <v>17</v>
      </c>
      <c r="U10" s="771">
        <f t="shared" si="1"/>
        <v>100</v>
      </c>
      <c r="V10" s="770" t="s">
        <v>17</v>
      </c>
      <c r="W10" s="771">
        <f t="shared" si="2"/>
        <v>100</v>
      </c>
      <c r="X10" s="772"/>
      <c r="Y10" s="3108"/>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49"/>
      <c r="Q11" s="1794">
        <f t="shared" si="6"/>
        <v>111</v>
      </c>
      <c r="R11" s="770" t="s">
        <v>17</v>
      </c>
      <c r="S11" s="771">
        <f t="shared" si="0"/>
        <v>100</v>
      </c>
      <c r="T11" s="770" t="s">
        <v>17</v>
      </c>
      <c r="U11" s="771">
        <f t="shared" si="1"/>
        <v>100</v>
      </c>
      <c r="V11" s="770" t="s">
        <v>17</v>
      </c>
      <c r="W11" s="771">
        <f t="shared" si="2"/>
        <v>100</v>
      </c>
      <c r="X11" s="772"/>
      <c r="Y11" s="3108"/>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49"/>
      <c r="Q12" s="1794">
        <f t="shared" si="6"/>
        <v>111</v>
      </c>
      <c r="R12" s="770" t="s">
        <v>17</v>
      </c>
      <c r="S12" s="771">
        <f t="shared" si="0"/>
        <v>100</v>
      </c>
      <c r="T12" s="770" t="s">
        <v>17</v>
      </c>
      <c r="U12" s="771">
        <f t="shared" si="1"/>
        <v>100</v>
      </c>
      <c r="V12" s="770" t="s">
        <v>17</v>
      </c>
      <c r="W12" s="771">
        <f t="shared" si="2"/>
        <v>100</v>
      </c>
      <c r="X12" s="772"/>
      <c r="Y12" s="3108"/>
      <c r="Z12" s="55">
        <f t="shared" si="7"/>
        <v>111</v>
      </c>
      <c r="AA12" s="773">
        <f>D12/F12</f>
        <v>1</v>
      </c>
      <c r="AB12" s="773">
        <f>D12/H12</f>
        <v>1</v>
      </c>
      <c r="AC12" s="773">
        <f>D12/J12</f>
        <v>1</v>
      </c>
    </row>
    <row r="13" spans="1:29" ht="15.6"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0"/>
      <c r="M13" s="1131"/>
      <c r="N13" s="1131"/>
      <c r="O13" s="1139"/>
      <c r="P13" s="3249"/>
      <c r="Q13" s="1794">
        <f t="shared" si="6"/>
        <v>111</v>
      </c>
      <c r="R13" s="770" t="s">
        <v>17</v>
      </c>
      <c r="S13" s="771">
        <f t="shared" si="0"/>
        <v>100</v>
      </c>
      <c r="T13" s="770" t="s">
        <v>17</v>
      </c>
      <c r="U13" s="771">
        <f t="shared" si="1"/>
        <v>100</v>
      </c>
      <c r="V13" s="770" t="s">
        <v>17</v>
      </c>
      <c r="W13" s="771">
        <f t="shared" si="2"/>
        <v>100</v>
      </c>
      <c r="X13" s="772"/>
      <c r="Y13" s="3108"/>
      <c r="Z13" s="55">
        <f t="shared" si="7"/>
        <v>111</v>
      </c>
      <c r="AA13" s="773">
        <f t="shared" si="3"/>
        <v>1</v>
      </c>
      <c r="AB13" s="773">
        <f t="shared" si="4"/>
        <v>1</v>
      </c>
      <c r="AC13" s="773">
        <f t="shared" si="5"/>
        <v>1</v>
      </c>
    </row>
    <row r="14" spans="1:29" ht="96.6">
      <c r="A14" s="440" t="s">
        <v>2556</v>
      </c>
      <c r="B14" s="69" t="s">
        <v>2706</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64" t="s">
        <v>2557</v>
      </c>
      <c r="Q14" s="1809" t="str">
        <f t="shared" si="6"/>
        <v>交通便捷度</v>
      </c>
      <c r="R14" s="774" t="s">
        <v>17</v>
      </c>
      <c r="S14" s="775">
        <f t="shared" si="0"/>
        <v>100</v>
      </c>
      <c r="T14" s="774" t="s">
        <v>17</v>
      </c>
      <c r="U14" s="775">
        <f t="shared" si="1"/>
        <v>100</v>
      </c>
      <c r="V14" s="774" t="s">
        <v>17</v>
      </c>
      <c r="W14" s="775">
        <f t="shared" si="2"/>
        <v>100</v>
      </c>
      <c r="X14" s="1812"/>
      <c r="Y14" s="3264" t="s">
        <v>2557</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65"/>
      <c r="Q15" s="1809"/>
      <c r="R15" s="774"/>
      <c r="S15" s="775"/>
      <c r="T15" s="774"/>
      <c r="U15" s="775"/>
      <c r="V15" s="774"/>
      <c r="W15" s="775"/>
      <c r="X15" s="1812"/>
      <c r="Y15" s="3265"/>
      <c r="Z15" s="1813"/>
      <c r="AA15" s="1810">
        <v>1</v>
      </c>
      <c r="AB15" s="1810">
        <v>1</v>
      </c>
      <c r="AC15" s="1810">
        <v>1</v>
      </c>
    </row>
    <row r="16" spans="1:29" ht="41.4">
      <c r="A16" s="428"/>
      <c r="B16" s="451" t="s">
        <v>2685</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65"/>
      <c r="Q16" s="1809" t="str">
        <f>B16</f>
        <v>公共配套设施</v>
      </c>
      <c r="R16" s="774" t="s">
        <v>17</v>
      </c>
      <c r="S16" s="775">
        <f>F16</f>
        <v>100</v>
      </c>
      <c r="T16" s="774" t="s">
        <v>17</v>
      </c>
      <c r="U16" s="775">
        <f>H16</f>
        <v>100</v>
      </c>
      <c r="V16" s="774" t="s">
        <v>17</v>
      </c>
      <c r="W16" s="775">
        <f>J16</f>
        <v>100</v>
      </c>
      <c r="X16" s="1812"/>
      <c r="Y16" s="3265"/>
      <c r="Z16" s="1813" t="str">
        <f>Q16</f>
        <v>公共配套设施</v>
      </c>
      <c r="AA16" s="1810">
        <f t="shared" si="3"/>
        <v>1</v>
      </c>
      <c r="AB16" s="1810">
        <f t="shared" si="4"/>
        <v>1</v>
      </c>
      <c r="AC16" s="1810">
        <f t="shared" si="5"/>
        <v>1</v>
      </c>
    </row>
    <row r="17" spans="1:29" ht="15">
      <c r="A17" s="428"/>
      <c r="B17" s="456"/>
      <c r="C17" s="2609"/>
      <c r="D17" s="448"/>
      <c r="E17" s="447"/>
      <c r="F17" s="449"/>
      <c r="G17" s="447"/>
      <c r="H17" s="448"/>
      <c r="I17" s="447"/>
      <c r="J17" s="448"/>
      <c r="K17" s="615"/>
      <c r="L17" s="1140"/>
      <c r="M17" s="1131"/>
      <c r="N17" s="1131"/>
      <c r="O17" s="1139"/>
      <c r="P17" s="3265"/>
      <c r="Q17" s="1809"/>
      <c r="R17" s="774"/>
      <c r="S17" s="775"/>
      <c r="T17" s="774"/>
      <c r="U17" s="775"/>
      <c r="V17" s="774"/>
      <c r="W17" s="775"/>
      <c r="X17" s="1812"/>
      <c r="Y17" s="3265"/>
      <c r="Z17" s="1813"/>
      <c r="AA17" s="1810">
        <v>1</v>
      </c>
      <c r="AB17" s="1810">
        <v>1</v>
      </c>
      <c r="AC17" s="1810">
        <v>1</v>
      </c>
    </row>
    <row r="18" spans="1:29" ht="41.4">
      <c r="A18" s="428"/>
      <c r="B18" s="1384" t="s">
        <v>2686</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65"/>
      <c r="Q18" s="1809" t="str">
        <f>B18</f>
        <v>基础设施水平</v>
      </c>
      <c r="R18" s="774" t="s">
        <v>17</v>
      </c>
      <c r="S18" s="775">
        <f>F18</f>
        <v>100</v>
      </c>
      <c r="T18" s="774" t="s">
        <v>17</v>
      </c>
      <c r="U18" s="775">
        <f>H18</f>
        <v>100</v>
      </c>
      <c r="V18" s="774" t="s">
        <v>17</v>
      </c>
      <c r="W18" s="775">
        <f>J18</f>
        <v>100</v>
      </c>
      <c r="X18" s="1812"/>
      <c r="Y18" s="3265"/>
      <c r="Z18" s="1813" t="str">
        <f>Q18</f>
        <v>基础设施水平</v>
      </c>
      <c r="AA18" s="1810">
        <f t="shared" ref="AA18" si="8">D18/F18</f>
        <v>1</v>
      </c>
      <c r="AB18" s="1810">
        <f t="shared" ref="AB18" si="9">D18/H18</f>
        <v>1</v>
      </c>
      <c r="AC18" s="1810">
        <f t="shared" ref="AC18" si="10">D18/J18</f>
        <v>1</v>
      </c>
    </row>
    <row r="19" spans="1:29" ht="15">
      <c r="A19" s="428"/>
      <c r="B19" s="1384"/>
      <c r="C19" s="2609"/>
      <c r="D19" s="450"/>
      <c r="E19" s="2609"/>
      <c r="F19" s="453"/>
      <c r="G19" s="2609"/>
      <c r="H19" s="448"/>
      <c r="I19" s="447"/>
      <c r="J19" s="448"/>
      <c r="K19" s="1383"/>
      <c r="L19" s="1140"/>
      <c r="M19" s="1131"/>
      <c r="N19" s="1131"/>
      <c r="O19" s="1139"/>
      <c r="P19" s="3265"/>
      <c r="Q19" s="1809"/>
      <c r="R19" s="774"/>
      <c r="S19" s="775"/>
      <c r="T19" s="774"/>
      <c r="U19" s="775"/>
      <c r="V19" s="774"/>
      <c r="W19" s="775"/>
      <c r="X19" s="1812"/>
      <c r="Y19" s="3265"/>
      <c r="Z19" s="1813"/>
      <c r="AA19" s="1810">
        <v>1</v>
      </c>
      <c r="AB19" s="1810">
        <v>1</v>
      </c>
      <c r="AC19" s="1810">
        <v>1</v>
      </c>
    </row>
    <row r="20" spans="1:29" ht="55.2">
      <c r="A20" s="428"/>
      <c r="B20" s="451" t="s">
        <v>2707</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65"/>
      <c r="Q20" s="1809" t="str">
        <f>B20</f>
        <v>自然及人文环境</v>
      </c>
      <c r="R20" s="774" t="s">
        <v>17</v>
      </c>
      <c r="S20" s="775">
        <f>F20</f>
        <v>100</v>
      </c>
      <c r="T20" s="774" t="s">
        <v>17</v>
      </c>
      <c r="U20" s="775">
        <f>H20</f>
        <v>100</v>
      </c>
      <c r="V20" s="774" t="s">
        <v>17</v>
      </c>
      <c r="W20" s="775">
        <f>J20</f>
        <v>100</v>
      </c>
      <c r="X20" s="1812"/>
      <c r="Y20" s="3265"/>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65"/>
      <c r="Q21" s="1809"/>
      <c r="R21" s="774"/>
      <c r="S21" s="775"/>
      <c r="T21" s="774"/>
      <c r="U21" s="775"/>
      <c r="V21" s="774"/>
      <c r="W21" s="775"/>
      <c r="X21" s="1812"/>
      <c r="Y21" s="3265"/>
      <c r="Z21" s="1813"/>
      <c r="AA21" s="1810">
        <v>1</v>
      </c>
      <c r="AB21" s="1810">
        <v>1</v>
      </c>
      <c r="AC21" s="1810">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65"/>
      <c r="Q22" s="1809" t="str">
        <f>B22</f>
        <v>楼层</v>
      </c>
      <c r="R22" s="774" t="s">
        <v>17</v>
      </c>
      <c r="S22" s="775">
        <f>F22</f>
        <v>100</v>
      </c>
      <c r="T22" s="774" t="s">
        <v>17</v>
      </c>
      <c r="U22" s="775">
        <f>H22</f>
        <v>100</v>
      </c>
      <c r="V22" s="774" t="s">
        <v>17</v>
      </c>
      <c r="W22" s="775">
        <f>J22</f>
        <v>100</v>
      </c>
      <c r="X22" s="1812"/>
      <c r="Y22" s="3265"/>
      <c r="Z22" s="1813" t="str">
        <f>Q22</f>
        <v>楼层</v>
      </c>
      <c r="AA22" s="1810">
        <f t="shared" si="3"/>
        <v>1</v>
      </c>
      <c r="AB22" s="1810">
        <f t="shared" si="4"/>
        <v>1</v>
      </c>
      <c r="AC22" s="1810">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65"/>
      <c r="Q23" s="1809">
        <f>B23</f>
        <v>111</v>
      </c>
      <c r="R23" s="774" t="s">
        <v>17</v>
      </c>
      <c r="S23" s="775">
        <f>F23</f>
        <v>100</v>
      </c>
      <c r="T23" s="774" t="s">
        <v>17</v>
      </c>
      <c r="U23" s="775">
        <f>H23</f>
        <v>100</v>
      </c>
      <c r="V23" s="774" t="s">
        <v>17</v>
      </c>
      <c r="W23" s="775">
        <f>J23</f>
        <v>100</v>
      </c>
      <c r="X23" s="1812"/>
      <c r="Y23" s="3265"/>
      <c r="Z23" s="1813">
        <f>Q23</f>
        <v>111</v>
      </c>
      <c r="AA23" s="1810">
        <f t="shared" si="3"/>
        <v>1</v>
      </c>
      <c r="AB23" s="1810">
        <f t="shared" si="4"/>
        <v>1</v>
      </c>
      <c r="AC23" s="1810">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65"/>
      <c r="Q24" s="1809">
        <f t="shared" ref="Q24:Q34" si="11">B24</f>
        <v>111</v>
      </c>
      <c r="R24" s="774" t="s">
        <v>17</v>
      </c>
      <c r="S24" s="775">
        <f>F24</f>
        <v>100</v>
      </c>
      <c r="T24" s="774" t="s">
        <v>17</v>
      </c>
      <c r="U24" s="775">
        <f>H24</f>
        <v>100</v>
      </c>
      <c r="V24" s="774" t="s">
        <v>17</v>
      </c>
      <c r="W24" s="775">
        <f>J24</f>
        <v>100</v>
      </c>
      <c r="X24" s="1812"/>
      <c r="Y24" s="3265"/>
      <c r="Z24" s="1813">
        <f>Q24</f>
        <v>111</v>
      </c>
      <c r="AA24" s="1810">
        <f t="shared" si="3"/>
        <v>1</v>
      </c>
      <c r="AB24" s="1810">
        <f t="shared" si="4"/>
        <v>1</v>
      </c>
      <c r="AC24" s="1810">
        <f t="shared" si="5"/>
        <v>1</v>
      </c>
    </row>
    <row r="25" spans="1:29" s="117" customFormat="1" ht="15.6"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2"/>
      <c r="M25" s="1133"/>
      <c r="N25" s="1133"/>
      <c r="O25" s="1134"/>
      <c r="P25" s="3265"/>
      <c r="Q25" s="1794">
        <f t="shared" si="11"/>
        <v>111</v>
      </c>
      <c r="R25" s="770" t="s">
        <v>17</v>
      </c>
      <c r="S25" s="771">
        <f>F25</f>
        <v>100</v>
      </c>
      <c r="T25" s="770" t="s">
        <v>17</v>
      </c>
      <c r="U25" s="771">
        <f>H25</f>
        <v>100</v>
      </c>
      <c r="V25" s="770" t="s">
        <v>17</v>
      </c>
      <c r="W25" s="771">
        <f>J25</f>
        <v>100</v>
      </c>
      <c r="X25" s="772"/>
      <c r="Y25" s="3265"/>
      <c r="Z25" s="55">
        <f>Q25</f>
        <v>111</v>
      </c>
      <c r="AA25" s="1810">
        <f>D25/F25</f>
        <v>1</v>
      </c>
      <c r="AB25" s="1810">
        <f>D25/H25</f>
        <v>1</v>
      </c>
      <c r="AC25" s="1810">
        <f>D25/J25</f>
        <v>1</v>
      </c>
    </row>
    <row r="26" spans="1:29" ht="30">
      <c r="A26" s="466" t="s">
        <v>2560</v>
      </c>
      <c r="B26" s="71" t="s">
        <v>2711</v>
      </c>
      <c r="C26" s="2680"/>
      <c r="D26" s="467">
        <v>100</v>
      </c>
      <c r="E26" s="2680"/>
      <c r="F26" s="667">
        <f>SUMIF(77:77,E26,78:78)-SUMIF(77:77,C26,78:78)+100</f>
        <v>100</v>
      </c>
      <c r="G26" s="2680"/>
      <c r="H26" s="467">
        <f>SUMIF(77:77,G26,78:78)-SUMIF(77:77,C26,78:78)+100</f>
        <v>100</v>
      </c>
      <c r="I26" s="2680"/>
      <c r="J26" s="467">
        <f>SUMIF(77:77,I26,78:78)-SUMIF(77:77,C26,78:78)+100</f>
        <v>100</v>
      </c>
      <c r="K26" s="612"/>
      <c r="L26" s="1140"/>
      <c r="M26" s="1131"/>
      <c r="N26" s="1131"/>
      <c r="O26" s="1139"/>
      <c r="P26" s="3266" t="s">
        <v>2562</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67" t="s">
        <v>2562</v>
      </c>
      <c r="Z26" s="1813" t="str">
        <f t="shared" ref="Z26:Z34" si="15">Q26</f>
        <v>公共部分装修</v>
      </c>
      <c r="AA26" s="1810">
        <f t="shared" si="3"/>
        <v>1</v>
      </c>
      <c r="AB26" s="1810">
        <f t="shared" si="4"/>
        <v>1</v>
      </c>
      <c r="AC26" s="1810">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67"/>
      <c r="Q27" s="776" t="str">
        <f t="shared" si="11"/>
        <v>成新率</v>
      </c>
      <c r="R27" s="777" t="s">
        <v>17</v>
      </c>
      <c r="S27" s="778" t="e">
        <f t="shared" si="12"/>
        <v>#N/A</v>
      </c>
      <c r="T27" s="777" t="s">
        <v>17</v>
      </c>
      <c r="U27" s="778" t="e">
        <f t="shared" si="13"/>
        <v>#N/A</v>
      </c>
      <c r="V27" s="777" t="s">
        <v>17</v>
      </c>
      <c r="W27" s="778" t="e">
        <f t="shared" si="14"/>
        <v>#N/A</v>
      </c>
      <c r="X27" s="779"/>
      <c r="Y27" s="3267"/>
      <c r="Z27" s="780" t="str">
        <f t="shared" si="15"/>
        <v>成新率</v>
      </c>
      <c r="AA27" s="1810" t="e">
        <f t="shared" si="3"/>
        <v>#N/A</v>
      </c>
      <c r="AB27" s="1810" t="e">
        <f t="shared" si="4"/>
        <v>#N/A</v>
      </c>
      <c r="AC27" s="1810"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67"/>
      <c r="Q28" s="1809" t="str">
        <f t="shared" si="11"/>
        <v>物业等级</v>
      </c>
      <c r="R28" s="774" t="s">
        <v>17</v>
      </c>
      <c r="S28" s="775">
        <f t="shared" si="12"/>
        <v>100</v>
      </c>
      <c r="T28" s="774" t="s">
        <v>17</v>
      </c>
      <c r="U28" s="775">
        <f t="shared" si="13"/>
        <v>100</v>
      </c>
      <c r="V28" s="774" t="s">
        <v>17</v>
      </c>
      <c r="W28" s="775">
        <f t="shared" si="14"/>
        <v>100</v>
      </c>
      <c r="X28" s="1812"/>
      <c r="Y28" s="3267"/>
      <c r="Z28" s="1813" t="str">
        <f t="shared" si="15"/>
        <v>物业等级</v>
      </c>
      <c r="AA28" s="1810">
        <f t="shared" si="3"/>
        <v>1</v>
      </c>
      <c r="AB28" s="1810">
        <f t="shared" si="4"/>
        <v>1</v>
      </c>
      <c r="AC28" s="1810">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67"/>
      <c r="Q29" s="1809" t="str">
        <f t="shared" si="11"/>
        <v>有无电梯</v>
      </c>
      <c r="R29" s="774" t="s">
        <v>17</v>
      </c>
      <c r="S29" s="775">
        <f t="shared" si="12"/>
        <v>100</v>
      </c>
      <c r="T29" s="774" t="s">
        <v>17</v>
      </c>
      <c r="U29" s="775">
        <f t="shared" si="13"/>
        <v>100</v>
      </c>
      <c r="V29" s="774" t="s">
        <v>17</v>
      </c>
      <c r="W29" s="775">
        <f t="shared" si="14"/>
        <v>100</v>
      </c>
      <c r="X29" s="1812"/>
      <c r="Y29" s="3267"/>
      <c r="Z29" s="1813" t="str">
        <f t="shared" si="15"/>
        <v>有无电梯</v>
      </c>
      <c r="AA29" s="1810">
        <f t="shared" si="3"/>
        <v>1</v>
      </c>
      <c r="AB29" s="1810">
        <f t="shared" si="4"/>
        <v>1</v>
      </c>
      <c r="AC29" s="1810">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67"/>
      <c r="Q30" s="1809" t="str">
        <f t="shared" si="11"/>
        <v>建筑面积</v>
      </c>
      <c r="R30" s="774" t="s">
        <v>17</v>
      </c>
      <c r="S30" s="775" t="e">
        <f t="shared" si="12"/>
        <v>#N/A</v>
      </c>
      <c r="T30" s="774" t="s">
        <v>17</v>
      </c>
      <c r="U30" s="775" t="e">
        <f t="shared" si="13"/>
        <v>#N/A</v>
      </c>
      <c r="V30" s="774" t="s">
        <v>17</v>
      </c>
      <c r="W30" s="775" t="e">
        <f t="shared" si="14"/>
        <v>#N/A</v>
      </c>
      <c r="X30" s="1812"/>
      <c r="Y30" s="3267"/>
      <c r="Z30" s="1813" t="str">
        <f t="shared" si="15"/>
        <v>建筑面积</v>
      </c>
      <c r="AA30" s="1810" t="e">
        <f t="shared" si="3"/>
        <v>#N/A</v>
      </c>
      <c r="AB30" s="1810" t="e">
        <f t="shared" si="4"/>
        <v>#N/A</v>
      </c>
      <c r="AC30" s="1810"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67"/>
      <c r="Q31" s="1794" t="str">
        <f t="shared" si="11"/>
        <v>是否封闭</v>
      </c>
      <c r="R31" s="770" t="s">
        <v>17</v>
      </c>
      <c r="S31" s="771">
        <f t="shared" si="12"/>
        <v>100</v>
      </c>
      <c r="T31" s="770" t="s">
        <v>17</v>
      </c>
      <c r="U31" s="771">
        <f t="shared" si="13"/>
        <v>100</v>
      </c>
      <c r="V31" s="770" t="s">
        <v>17</v>
      </c>
      <c r="W31" s="771">
        <f t="shared" si="14"/>
        <v>100</v>
      </c>
      <c r="X31" s="772"/>
      <c r="Y31" s="3267"/>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67" t="s">
        <v>2562</v>
      </c>
      <c r="Q32" s="1809">
        <f t="shared" si="11"/>
        <v>111</v>
      </c>
      <c r="R32" s="774" t="s">
        <v>17</v>
      </c>
      <c r="S32" s="775">
        <f t="shared" si="12"/>
        <v>100</v>
      </c>
      <c r="T32" s="774" t="s">
        <v>17</v>
      </c>
      <c r="U32" s="775">
        <f t="shared" si="13"/>
        <v>100</v>
      </c>
      <c r="V32" s="774" t="s">
        <v>17</v>
      </c>
      <c r="W32" s="775">
        <f t="shared" si="14"/>
        <v>100</v>
      </c>
      <c r="X32" s="1812"/>
      <c r="Y32" s="3267" t="s">
        <v>2562</v>
      </c>
      <c r="Z32" s="1813">
        <f t="shared" si="15"/>
        <v>111</v>
      </c>
      <c r="AA32" s="1810">
        <f t="shared" si="3"/>
        <v>1</v>
      </c>
      <c r="AB32" s="1810">
        <f t="shared" si="4"/>
        <v>1</v>
      </c>
      <c r="AC32" s="1810">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67"/>
      <c r="Q33" s="1809">
        <f t="shared" si="11"/>
        <v>111</v>
      </c>
      <c r="R33" s="774" t="s">
        <v>17</v>
      </c>
      <c r="S33" s="775">
        <f t="shared" si="12"/>
        <v>100</v>
      </c>
      <c r="T33" s="774" t="s">
        <v>17</v>
      </c>
      <c r="U33" s="775">
        <f t="shared" si="13"/>
        <v>100</v>
      </c>
      <c r="V33" s="774" t="s">
        <v>17</v>
      </c>
      <c r="W33" s="775">
        <f t="shared" si="14"/>
        <v>100</v>
      </c>
      <c r="X33" s="1812"/>
      <c r="Y33" s="3267"/>
      <c r="Z33" s="1813">
        <f t="shared" si="15"/>
        <v>111</v>
      </c>
      <c r="AA33" s="1810">
        <f t="shared" si="3"/>
        <v>1</v>
      </c>
      <c r="AB33" s="1810">
        <f t="shared" si="4"/>
        <v>1</v>
      </c>
      <c r="AC33" s="1810">
        <f t="shared" si="5"/>
        <v>1</v>
      </c>
    </row>
    <row r="34" spans="1:29" ht="15.6"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0"/>
      <c r="M34" s="1131"/>
      <c r="N34" s="1131"/>
      <c r="O34" s="1139"/>
      <c r="P34" s="3267"/>
      <c r="Q34" s="1809">
        <f t="shared" si="11"/>
        <v>111</v>
      </c>
      <c r="R34" s="774" t="s">
        <v>17</v>
      </c>
      <c r="S34" s="775">
        <f t="shared" si="12"/>
        <v>100</v>
      </c>
      <c r="T34" s="774" t="s">
        <v>17</v>
      </c>
      <c r="U34" s="775">
        <f t="shared" si="13"/>
        <v>100</v>
      </c>
      <c r="V34" s="774" t="s">
        <v>17</v>
      </c>
      <c r="W34" s="775">
        <f t="shared" si="14"/>
        <v>100</v>
      </c>
      <c r="X34" s="1812"/>
      <c r="Y34" s="3267"/>
      <c r="Z34" s="1813">
        <f t="shared" si="15"/>
        <v>111</v>
      </c>
      <c r="AA34" s="1810">
        <f t="shared" si="3"/>
        <v>1</v>
      </c>
      <c r="AB34" s="1810">
        <f t="shared" si="4"/>
        <v>1</v>
      </c>
      <c r="AC34" s="1810">
        <f t="shared" si="5"/>
        <v>1</v>
      </c>
    </row>
    <row r="35" spans="1:29" ht="14.4">
      <c r="A35" s="479" t="s">
        <v>2574</v>
      </c>
      <c r="B35" s="480"/>
      <c r="C35" s="1407" t="s">
        <v>1</v>
      </c>
      <c r="D35" s="1408"/>
      <c r="E35" s="1409"/>
      <c r="F35" s="1410"/>
      <c r="G35" s="1411"/>
      <c r="H35" s="1412"/>
      <c r="I35" s="1409"/>
      <c r="J35" s="1412"/>
      <c r="K35" s="783"/>
      <c r="L35" s="1143"/>
      <c r="M35" s="1144"/>
      <c r="N35" s="1131"/>
      <c r="O35" s="1144"/>
      <c r="P35" s="3249" t="str">
        <f>A35</f>
        <v>成交单价（元/平方米）</v>
      </c>
      <c r="Q35" s="3249"/>
      <c r="R35" s="3303">
        <f>E35</f>
        <v>0</v>
      </c>
      <c r="S35" s="3303"/>
      <c r="T35" s="3303">
        <f>G35</f>
        <v>0</v>
      </c>
      <c r="U35" s="3303"/>
      <c r="V35" s="3303">
        <f>I35</f>
        <v>0</v>
      </c>
      <c r="W35" s="3303"/>
      <c r="X35" s="759"/>
      <c r="Y35" s="781"/>
      <c r="Z35" s="759"/>
      <c r="AA35" s="759"/>
      <c r="AB35" s="759"/>
      <c r="AC35" s="759"/>
    </row>
    <row r="36" spans="1:29" ht="1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249" t="str">
        <f>A36</f>
        <v>比较价值（元/平方米）</v>
      </c>
      <c r="Q36" s="3249"/>
      <c r="R36" s="3303" t="e">
        <f>IF(F1="售价",ROUND(PRODUCT(R35,AA7:AA34),0),ROUND(PRODUCT(R35,AA7:AA34),1))</f>
        <v>#DIV/0!</v>
      </c>
      <c r="S36" s="3303"/>
      <c r="T36" s="3303" t="e">
        <f>IF(F1="售价",ROUND(PRODUCT(T35,AB7:AB34),0),ROUND(PRODUCT(T35,AB7:AB34),1))</f>
        <v>#DIV/0!</v>
      </c>
      <c r="U36" s="3303"/>
      <c r="V36" s="3303" t="e">
        <f>IF(F1="售价",ROUND(PRODUCT(V35,AC7:AC34),0),ROUND(PRODUCT(V35,AC7:AC34),1))</f>
        <v>#DIV/0!</v>
      </c>
      <c r="W36" s="3303"/>
      <c r="X36" s="759"/>
      <c r="Y36" s="759"/>
      <c r="Z36" s="759"/>
      <c r="AA36" s="759"/>
      <c r="AB36" s="759"/>
      <c r="AC36" s="759"/>
    </row>
    <row r="37" spans="1:29" ht="15" thickBot="1">
      <c r="A37" s="492" t="s">
        <v>2667</v>
      </c>
      <c r="B37" s="493"/>
      <c r="C37" s="1417" t="e">
        <f>R37</f>
        <v>#DIV/0!</v>
      </c>
      <c r="D37" s="1417"/>
      <c r="E37" s="1417"/>
      <c r="F37" s="1417"/>
      <c r="G37" s="1417"/>
      <c r="H37" s="1417"/>
      <c r="I37" s="1417"/>
      <c r="J37" s="1417"/>
      <c r="K37" s="785"/>
      <c r="L37" s="1143"/>
      <c r="M37" s="1144"/>
      <c r="N37" s="1144"/>
      <c r="O37" s="1144"/>
      <c r="P37" s="3269" t="str">
        <f>A37</f>
        <v>估价对象XX用房的比较价值（楼面单价，元/平方米）</v>
      </c>
      <c r="Q37" s="3270"/>
      <c r="R37" s="3302" t="e">
        <f>IF(F1="售价",ROUND(AVERAGE(R36:V36),0),ROUND(AVERAGE(R36:V36),1))</f>
        <v>#DIV/0!</v>
      </c>
      <c r="S37" s="3302"/>
      <c r="T37" s="3302"/>
      <c r="U37" s="3302"/>
      <c r="V37" s="3302"/>
      <c r="W37" s="330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2671</v>
      </c>
      <c r="B45" s="759"/>
      <c r="C45" s="764"/>
      <c r="D45" s="764"/>
      <c r="E45" s="764"/>
      <c r="F45" s="765"/>
      <c r="G45" s="765"/>
      <c r="H45" s="764"/>
      <c r="I45" s="764"/>
      <c r="J45" s="764"/>
      <c r="K45" s="766"/>
      <c r="L45" s="767"/>
      <c r="M45" s="764"/>
      <c r="N45" s="764"/>
      <c r="O45" s="764"/>
      <c r="P45" s="503"/>
      <c r="Q45" s="504"/>
    </row>
    <row r="46" spans="1:29" s="508" customFormat="1" ht="14.4">
      <c r="A46" s="505" t="s">
        <v>2545</v>
      </c>
      <c r="B46" s="506"/>
      <c r="C46" s="1573" t="str">
        <f>YEAR(C7)&amp;"-"&amp;MONTH(C7)</f>
        <v>2020-3</v>
      </c>
      <c r="D46" s="1574">
        <f>EDATE(C46,-1)</f>
        <v>43862</v>
      </c>
      <c r="E46" s="1574">
        <f t="shared" ref="E46:O46" si="16">EDATE(D46,-1)</f>
        <v>43831</v>
      </c>
      <c r="F46" s="1574">
        <f t="shared" si="16"/>
        <v>43800</v>
      </c>
      <c r="G46" s="1574">
        <f t="shared" si="16"/>
        <v>43770</v>
      </c>
      <c r="H46" s="1574">
        <f t="shared" si="16"/>
        <v>43739</v>
      </c>
      <c r="I46" s="1574">
        <f t="shared" si="16"/>
        <v>43709</v>
      </c>
      <c r="J46" s="1574">
        <f t="shared" si="16"/>
        <v>43678</v>
      </c>
      <c r="K46" s="1574">
        <f t="shared" si="16"/>
        <v>43647</v>
      </c>
      <c r="L46" s="1574">
        <f t="shared" si="16"/>
        <v>43617</v>
      </c>
      <c r="M46" s="1574">
        <f t="shared" si="16"/>
        <v>43586</v>
      </c>
      <c r="N46" s="1574">
        <f t="shared" si="16"/>
        <v>43556</v>
      </c>
      <c r="O46" s="1574">
        <f t="shared" si="16"/>
        <v>43525</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2582</v>
      </c>
      <c r="B48" s="516"/>
      <c r="C48" s="517"/>
      <c r="D48" s="518"/>
      <c r="E48" s="518"/>
      <c r="F48" s="518"/>
      <c r="G48" s="518"/>
      <c r="H48" s="518"/>
      <c r="I48" s="518"/>
      <c r="J48" s="518"/>
      <c r="K48" s="518"/>
      <c r="L48" s="518"/>
      <c r="M48" s="519"/>
      <c r="N48" s="518"/>
      <c r="O48" s="520"/>
      <c r="P48" s="504"/>
      <c r="Q48" s="504"/>
    </row>
    <row r="49" spans="1:17" s="117" customFormat="1" ht="14.4">
      <c r="A49" s="521" t="s">
        <v>2547</v>
      </c>
      <c r="B49" s="510"/>
      <c r="C49" s="522" t="s">
        <v>2649</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2585</v>
      </c>
      <c r="B51" s="528" t="s">
        <v>2551</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2726</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77" priority="14" stopIfTrue="1" operator="containsText" text="超过">
      <formula>NOT(ISERROR(SEARCH("超过",F40)))</formula>
    </cfRule>
  </conditionalFormatting>
  <conditionalFormatting sqref="J42">
    <cfRule type="containsText" dxfId="76" priority="13" stopIfTrue="1" operator="containsText" text="超过">
      <formula>NOT(ISERROR(SEARCH("超过",J42)))</formula>
    </cfRule>
  </conditionalFormatting>
  <conditionalFormatting sqref="H42">
    <cfRule type="containsText" dxfId="75" priority="12" stopIfTrue="1" operator="containsText" text="超过">
      <formula>NOT(ISERROR(SEARCH("超过",H42)))</formula>
    </cfRule>
  </conditionalFormatting>
  <conditionalFormatting sqref="F42">
    <cfRule type="containsText" dxfId="74" priority="11" stopIfTrue="1" operator="containsText" text="超过">
      <formula>NOT(ISERROR(SEARCH("超过",F42)))</formula>
    </cfRule>
  </conditionalFormatting>
  <conditionalFormatting sqref="F41 H41 J41">
    <cfRule type="containsText" dxfId="73" priority="10" stopIfTrue="1" operator="containsText" text="超过">
      <formula>NOT(ISERROR(SEARCH("超过",F41)))</formula>
    </cfRule>
  </conditionalFormatting>
  <conditionalFormatting sqref="E40">
    <cfRule type="expression" dxfId="72" priority="9" stopIfTrue="1">
      <formula>$F$40="超过30%"</formula>
    </cfRule>
  </conditionalFormatting>
  <conditionalFormatting sqref="G42">
    <cfRule type="expression" dxfId="71" priority="8" stopIfTrue="1">
      <formula>$H$54+$H$42="超过30%"</formula>
    </cfRule>
  </conditionalFormatting>
  <conditionalFormatting sqref="E41">
    <cfRule type="expression" dxfId="70" priority="7" stopIfTrue="1">
      <formula>$F$41="超过20%"</formula>
    </cfRule>
  </conditionalFormatting>
  <conditionalFormatting sqref="E42">
    <cfRule type="expression" dxfId="69" priority="6" stopIfTrue="1">
      <formula>$F$42="超过30%"</formula>
    </cfRule>
  </conditionalFormatting>
  <conditionalFormatting sqref="G40">
    <cfRule type="expression" dxfId="68" priority="5" stopIfTrue="1">
      <formula>$H$52+$H$40="超过30%"</formula>
    </cfRule>
  </conditionalFormatting>
  <conditionalFormatting sqref="G41">
    <cfRule type="expression" dxfId="67" priority="4" stopIfTrue="1">
      <formula>$H$53+$H$41="超过20%"</formula>
    </cfRule>
  </conditionalFormatting>
  <conditionalFormatting sqref="I40">
    <cfRule type="expression" dxfId="66" priority="3" stopIfTrue="1">
      <formula>$J$40="超过30%"</formula>
    </cfRule>
  </conditionalFormatting>
  <conditionalFormatting sqref="I41">
    <cfRule type="expression" dxfId="65" priority="2" stopIfTrue="1">
      <formula>$J$41="超过20%"</formula>
    </cfRule>
  </conditionalFormatting>
  <conditionalFormatting sqref="I42">
    <cfRule type="expression" dxfId="64" priority="1" stopIfTrue="1">
      <formula>$J$42="超过30%"</formula>
    </cfRule>
  </conditionalFormatting>
  <dataValidations count="17">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10 E10 G10 I10" xr:uid="{00000000-0002-0000-1F00-000003000000}">
      <formula1>土地年限区间</formula1>
    </dataValidation>
    <dataValidation type="list" allowBlank="1" showInputMessage="1" showErrorMessage="1" sqref="C8 E8 G8 I8" xr:uid="{00000000-0002-0000-1F00-000004000000}">
      <formula1>仓储交易情况</formula1>
    </dataValidation>
    <dataValidation type="list" allowBlank="1" showInputMessage="1" showErrorMessage="1" sqref="E9 G9 I9" xr:uid="{00000000-0002-0000-1F00-000005000000}">
      <formula1>仓储用途</formula1>
    </dataValidation>
    <dataValidation type="list" allowBlank="1" showInputMessage="1" showErrorMessage="1" sqref="C21 E21 G21 I21" xr:uid="{00000000-0002-0000-1F00-000006000000}">
      <formula1>环境</formula1>
    </dataValidation>
    <dataValidation type="list" allowBlank="1" showInputMessage="1" showErrorMessage="1" sqref="C22 E22 G22 I22" xr:uid="{00000000-0002-0000-1F00-000007000000}">
      <formula1>仓储楼层</formula1>
    </dataValidation>
    <dataValidation type="list" allowBlank="1" showInputMessage="1" showErrorMessage="1" sqref="C26 E26 G26 I26" xr:uid="{00000000-0002-0000-1F00-000008000000}">
      <formula1>仓储公共部分装修</formula1>
    </dataValidation>
    <dataValidation type="list" allowBlank="1" showInputMessage="1" showErrorMessage="1" sqref="C29 E29 G29 I29" xr:uid="{00000000-0002-0000-1F00-000009000000}">
      <formula1>有无电梯</formula1>
    </dataValidation>
    <dataValidation type="list" allowBlank="1" showInputMessage="1" showErrorMessage="1" sqref="C31 E31 G31 I31" xr:uid="{00000000-0002-0000-1F00-00000A000000}">
      <formula1>是否封闭</formula1>
    </dataValidation>
    <dataValidation type="list" allowBlank="1" showInputMessage="1" showErrorMessage="1" sqref="B1" xr:uid="{00000000-0002-0000-1F00-00000B000000}">
      <formula1>地类判定</formula1>
    </dataValidation>
    <dataValidation type="list" allowBlank="1" showInputMessage="1" showErrorMessage="1" sqref="C28 E28 G28 I28" xr:uid="{00000000-0002-0000-1F00-00000C000000}">
      <formula1>仓储物业等级</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F1" xr:uid="{00000000-0002-0000-1F00-00000E000000}">
      <formula1>"售价,租金"</formula1>
    </dataValidation>
    <dataValidation type="list" allowBlank="1" showInputMessage="1" showErrorMessage="1" sqref="C2" xr:uid="{00000000-0002-0000-1F00-00000F000000}">
      <formula1>"需扣减承租人权益,——"</formula1>
    </dataValidation>
    <dataValidation type="list" allowBlank="1" showInputMessage="1" showErrorMessage="1" sqref="F2" xr:uid="{00000000-0002-0000-1F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C121"/>
  <sheetViews>
    <sheetView zoomScale="80" zoomScaleNormal="80" workbookViewId="0">
      <selection activeCell="F7" sqref="F7"/>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2741</v>
      </c>
      <c r="B1" s="395"/>
      <c r="C1" s="396" t="s">
        <v>2792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2642</v>
      </c>
      <c r="B4" s="402"/>
      <c r="C4" s="3250" t="s">
        <v>2643</v>
      </c>
      <c r="D4" s="3251"/>
      <c r="E4" s="3252" t="s">
        <v>2644</v>
      </c>
      <c r="F4" s="3253"/>
      <c r="G4" s="3250" t="s">
        <v>2645</v>
      </c>
      <c r="H4" s="3251"/>
      <c r="I4" s="3250" t="s">
        <v>2646</v>
      </c>
      <c r="J4" s="3251"/>
      <c r="K4" s="610" t="s">
        <v>2647</v>
      </c>
      <c r="L4" s="1130"/>
      <c r="M4" s="1131"/>
      <c r="N4" s="1131"/>
      <c r="O4" s="1131"/>
      <c r="P4" s="3254" t="s">
        <v>2648</v>
      </c>
      <c r="Q4" s="3255"/>
      <c r="R4" s="3236" t="s">
        <v>2644</v>
      </c>
      <c r="S4" s="3237"/>
      <c r="T4" s="3236" t="s">
        <v>2645</v>
      </c>
      <c r="U4" s="3237"/>
      <c r="V4" s="3262" t="s">
        <v>2646</v>
      </c>
      <c r="W4" s="3262"/>
      <c r="X4" s="1812"/>
      <c r="Y4" s="3236" t="s">
        <v>2648</v>
      </c>
      <c r="Z4" s="3237"/>
      <c r="AA4" s="3231" t="s">
        <v>2644</v>
      </c>
      <c r="AB4" s="3232" t="s">
        <v>2645</v>
      </c>
      <c r="AC4" s="3231" t="s">
        <v>2646</v>
      </c>
    </row>
    <row r="5" spans="1:29">
      <c r="A5" s="404"/>
      <c r="B5" s="405"/>
      <c r="C5" s="3246" t="s">
        <v>2539</v>
      </c>
      <c r="D5" s="3243"/>
      <c r="E5" s="3240" t="s">
        <v>2540</v>
      </c>
      <c r="F5" s="3241"/>
      <c r="G5" s="3246" t="s">
        <v>2541</v>
      </c>
      <c r="H5" s="3243"/>
      <c r="I5" s="3246" t="s">
        <v>2542</v>
      </c>
      <c r="J5" s="3243"/>
      <c r="K5" s="610"/>
      <c r="L5" s="1130"/>
      <c r="M5" s="1131"/>
      <c r="N5" s="1131"/>
      <c r="O5" s="1131"/>
      <c r="P5" s="3256"/>
      <c r="Q5" s="3257"/>
      <c r="R5" s="3238"/>
      <c r="S5" s="3239"/>
      <c r="T5" s="3238"/>
      <c r="U5" s="3239"/>
      <c r="V5" s="3262"/>
      <c r="W5" s="3262"/>
      <c r="X5" s="1812"/>
      <c r="Y5" s="3238"/>
      <c r="Z5" s="3239"/>
      <c r="AA5" s="3232"/>
      <c r="AB5" s="3232"/>
      <c r="AC5" s="3232"/>
    </row>
    <row r="6" spans="1:29" ht="15" thickBot="1">
      <c r="A6" s="406"/>
      <c r="B6" s="407"/>
      <c r="C6" s="3325" t="s">
        <v>2793</v>
      </c>
      <c r="D6" s="3326"/>
      <c r="E6" s="3327" t="s">
        <v>2793</v>
      </c>
      <c r="F6" s="3328"/>
      <c r="G6" s="3325" t="s">
        <v>2793</v>
      </c>
      <c r="H6" s="3326"/>
      <c r="I6" s="3325" t="s">
        <v>2793</v>
      </c>
      <c r="J6" s="3326"/>
      <c r="K6" s="610" t="s">
        <v>2544</v>
      </c>
      <c r="L6" s="1130"/>
      <c r="M6" s="1131"/>
      <c r="N6" s="1131"/>
      <c r="O6" s="1131"/>
      <c r="P6" s="3258"/>
      <c r="Q6" s="3259"/>
      <c r="R6" s="3238"/>
      <c r="S6" s="3239"/>
      <c r="T6" s="3260"/>
      <c r="U6" s="3261"/>
      <c r="V6" s="3262"/>
      <c r="W6" s="3262"/>
      <c r="X6" s="1812"/>
      <c r="Y6" s="3260"/>
      <c r="Z6" s="3261"/>
      <c r="AA6" s="3233"/>
      <c r="AB6" s="3233"/>
      <c r="AC6" s="3233"/>
    </row>
    <row r="7" spans="1:29" s="117" customFormat="1" ht="15" thickBot="1">
      <c r="A7" s="408" t="s">
        <v>2545</v>
      </c>
      <c r="B7" s="409"/>
      <c r="C7" s="410">
        <f>'数据-取费表'!B2</f>
        <v>43921</v>
      </c>
      <c r="D7" s="411">
        <v>100</v>
      </c>
      <c r="E7" s="412"/>
      <c r="F7" s="413">
        <f>SUMIF(65:65,YEAR(E7)&amp;"-"&amp;INT((MONTH(E7)+2)/3),66:66)</f>
        <v>0</v>
      </c>
      <c r="G7" s="2697"/>
      <c r="H7" s="411">
        <f>SUMIF(65:65,YEAR(G7)&amp;"-"&amp;INT((MONTH(G7)+2)/3),66:66)</f>
        <v>0</v>
      </c>
      <c r="I7" s="2697"/>
      <c r="J7" s="411">
        <f>SUMIF(65:65,YEAR(I7)&amp;"-"&amp;INT((MONTH(I7)+2)/3),66:66)</f>
        <v>0</v>
      </c>
      <c r="K7" s="611"/>
      <c r="L7" s="1132"/>
      <c r="M7" s="1133"/>
      <c r="N7" s="1133"/>
      <c r="O7" s="1133"/>
      <c r="P7" s="3234" t="s">
        <v>2546</v>
      </c>
      <c r="Q7" s="3263"/>
      <c r="R7" s="770" t="s">
        <v>17</v>
      </c>
      <c r="S7" s="771">
        <f t="shared" ref="S7:S15" si="0">F7</f>
        <v>0</v>
      </c>
      <c r="T7" s="770" t="s">
        <v>17</v>
      </c>
      <c r="U7" s="771">
        <f t="shared" ref="U7:U15" si="1">H7</f>
        <v>0</v>
      </c>
      <c r="V7" s="770" t="s">
        <v>17</v>
      </c>
      <c r="W7" s="771">
        <f t="shared" ref="W7:W15" si="2">J7</f>
        <v>0</v>
      </c>
      <c r="X7" s="772"/>
      <c r="Y7" s="3234" t="s">
        <v>2546</v>
      </c>
      <c r="Z7" s="3235"/>
      <c r="AA7" s="773" t="e">
        <f>D7/F7</f>
        <v>#DIV/0!</v>
      </c>
      <c r="AB7" s="773" t="e">
        <f>D7/H7</f>
        <v>#DIV/0!</v>
      </c>
      <c r="AC7" s="773" t="e">
        <f>D7/J7</f>
        <v>#DIV/0!</v>
      </c>
    </row>
    <row r="8" spans="1:29" s="117" customFormat="1" ht="1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4" t="s">
        <v>2549</v>
      </c>
      <c r="Q8" s="3235"/>
      <c r="R8" s="770" t="s">
        <v>17</v>
      </c>
      <c r="S8" s="771">
        <f t="shared" si="0"/>
        <v>0</v>
      </c>
      <c r="T8" s="770" t="s">
        <v>17</v>
      </c>
      <c r="U8" s="771">
        <f t="shared" si="1"/>
        <v>0</v>
      </c>
      <c r="V8" s="770" t="s">
        <v>17</v>
      </c>
      <c r="W8" s="771">
        <f t="shared" si="2"/>
        <v>0</v>
      </c>
      <c r="X8" s="772"/>
      <c r="Y8" s="3234" t="s">
        <v>2549</v>
      </c>
      <c r="Z8" s="3235"/>
      <c r="AA8" s="773" t="e">
        <f t="shared" ref="AA8:AA40" si="3">D8/F8</f>
        <v>#DIV/0!</v>
      </c>
      <c r="AB8" s="773" t="e">
        <f t="shared" ref="AB8:AB40" si="4">D8/H8</f>
        <v>#DIV/0!</v>
      </c>
      <c r="AC8" s="773" t="e">
        <f t="shared" ref="AC8:AC40" si="5">D8/J8</f>
        <v>#DIV/0!</v>
      </c>
    </row>
    <row r="9" spans="1:29" s="117" customFormat="1" ht="14.4">
      <c r="A9" s="415" t="s">
        <v>2550</v>
      </c>
      <c r="B9" s="71" t="s">
        <v>2551</v>
      </c>
      <c r="C9" s="2700"/>
      <c r="D9" s="135">
        <v>100</v>
      </c>
      <c r="E9" s="2700"/>
      <c r="F9" s="135">
        <f>SUMIF(70:70,E9,71:71)-SUMIF(70:70,C9,71:71)+100</f>
        <v>100</v>
      </c>
      <c r="G9" s="2700"/>
      <c r="H9" s="135">
        <f>SUMIF(70:70,G9,71:71)-SUMIF(70:70,C9,71:71)+100</f>
        <v>100</v>
      </c>
      <c r="I9" s="2700"/>
      <c r="J9" s="135">
        <f>SUMIF(70:70,I9,71:71)-SUMIF(70:70,C9,71:71)+100</f>
        <v>100</v>
      </c>
      <c r="K9" s="611"/>
      <c r="L9" s="1132"/>
      <c r="M9" s="1133"/>
      <c r="N9" s="1133"/>
      <c r="O9" s="1134"/>
      <c r="P9" s="3249" t="s">
        <v>2552</v>
      </c>
      <c r="Q9" s="1794" t="str">
        <f t="shared" ref="Q9:Q15" si="6">B9</f>
        <v>用途</v>
      </c>
      <c r="R9" s="770" t="s">
        <v>17</v>
      </c>
      <c r="S9" s="771">
        <f t="shared" si="0"/>
        <v>100</v>
      </c>
      <c r="T9" s="770" t="s">
        <v>17</v>
      </c>
      <c r="U9" s="771">
        <f t="shared" si="1"/>
        <v>100</v>
      </c>
      <c r="V9" s="770" t="s">
        <v>17</v>
      </c>
      <c r="W9" s="771">
        <f t="shared" si="2"/>
        <v>100</v>
      </c>
      <c r="X9" s="772"/>
      <c r="Y9" s="3108" t="s">
        <v>2553</v>
      </c>
      <c r="Z9" s="55" t="str">
        <f t="shared" ref="Z9:Z15" si="7">Q9</f>
        <v>用途</v>
      </c>
      <c r="AA9" s="773">
        <f t="shared" si="3"/>
        <v>1</v>
      </c>
      <c r="AB9" s="773">
        <f t="shared" si="4"/>
        <v>1</v>
      </c>
      <c r="AC9" s="773">
        <f t="shared" si="5"/>
        <v>1</v>
      </c>
    </row>
    <row r="10" spans="1:29" s="427" customFormat="1" ht="28.8">
      <c r="A10" s="421"/>
      <c r="B10" s="422" t="s">
        <v>2554</v>
      </c>
      <c r="C10" s="432"/>
      <c r="D10" s="136">
        <v>100</v>
      </c>
      <c r="E10" s="432"/>
      <c r="F10" s="136">
        <f>ROUND(100/'数据-取费表'!G16,0)</f>
        <v>103</v>
      </c>
      <c r="G10" s="432"/>
      <c r="H10" s="136">
        <f>ROUND(100/'数据-取费表'!G16,0)</f>
        <v>103</v>
      </c>
      <c r="I10" s="432"/>
      <c r="J10" s="136">
        <f>ROUND(100/'数据-取费表'!G16,0)</f>
        <v>103</v>
      </c>
      <c r="K10" s="672"/>
      <c r="L10" s="1135"/>
      <c r="M10" s="1136"/>
      <c r="N10" s="1136"/>
      <c r="O10" s="1137"/>
      <c r="P10" s="3249"/>
      <c r="Q10" s="1794" t="str">
        <f t="shared" si="6"/>
        <v>土地使用年限（年）</v>
      </c>
      <c r="R10" s="770" t="s">
        <v>17</v>
      </c>
      <c r="S10" s="771">
        <f t="shared" si="0"/>
        <v>103</v>
      </c>
      <c r="T10" s="770" t="s">
        <v>17</v>
      </c>
      <c r="U10" s="771">
        <f t="shared" si="1"/>
        <v>103</v>
      </c>
      <c r="V10" s="770" t="s">
        <v>17</v>
      </c>
      <c r="W10" s="771">
        <f t="shared" si="2"/>
        <v>103</v>
      </c>
      <c r="X10" s="772"/>
      <c r="Y10" s="3108"/>
      <c r="Z10" s="55" t="str">
        <f t="shared" si="7"/>
        <v>土地使用年限（年）</v>
      </c>
      <c r="AA10" s="773">
        <f t="shared" si="3"/>
        <v>0.970873786407767</v>
      </c>
      <c r="AB10" s="773">
        <f t="shared" si="4"/>
        <v>0.970873786407767</v>
      </c>
      <c r="AC10" s="773">
        <f t="shared" si="5"/>
        <v>0.970873786407767</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49"/>
      <c r="Q11" s="1794" t="str">
        <f t="shared" si="6"/>
        <v>容积率</v>
      </c>
      <c r="R11" s="770" t="s">
        <v>17</v>
      </c>
      <c r="S11" s="771" t="e">
        <f t="shared" si="0"/>
        <v>#N/A</v>
      </c>
      <c r="T11" s="770" t="s">
        <v>17</v>
      </c>
      <c r="U11" s="771" t="e">
        <f t="shared" si="1"/>
        <v>#N/A</v>
      </c>
      <c r="V11" s="770" t="s">
        <v>17</v>
      </c>
      <c r="W11" s="771" t="e">
        <f t="shared" si="2"/>
        <v>#N/A</v>
      </c>
      <c r="X11" s="772"/>
      <c r="Y11" s="3108"/>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49"/>
      <c r="Q12" s="1794">
        <f t="shared" si="6"/>
        <v>111</v>
      </c>
      <c r="R12" s="770" t="s">
        <v>17</v>
      </c>
      <c r="S12" s="771">
        <f t="shared" si="0"/>
        <v>100</v>
      </c>
      <c r="T12" s="770" t="s">
        <v>17</v>
      </c>
      <c r="U12" s="771">
        <f t="shared" si="1"/>
        <v>100</v>
      </c>
      <c r="V12" s="770" t="s">
        <v>17</v>
      </c>
      <c r="W12" s="771">
        <f t="shared" si="2"/>
        <v>100</v>
      </c>
      <c r="X12" s="772"/>
      <c r="Y12" s="3108"/>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49"/>
      <c r="Q13" s="1794">
        <f t="shared" si="6"/>
        <v>111</v>
      </c>
      <c r="R13" s="770" t="s">
        <v>17</v>
      </c>
      <c r="S13" s="771">
        <f t="shared" si="0"/>
        <v>100</v>
      </c>
      <c r="T13" s="770" t="s">
        <v>17</v>
      </c>
      <c r="U13" s="771">
        <f t="shared" si="1"/>
        <v>100</v>
      </c>
      <c r="V13" s="770" t="s">
        <v>17</v>
      </c>
      <c r="W13" s="771">
        <f t="shared" si="2"/>
        <v>100</v>
      </c>
      <c r="X13" s="772"/>
      <c r="Y13" s="3108"/>
      <c r="Z13" s="55">
        <f t="shared" si="7"/>
        <v>111</v>
      </c>
      <c r="AA13" s="773">
        <f t="shared" si="3"/>
        <v>1</v>
      </c>
      <c r="AB13" s="773">
        <f t="shared" si="4"/>
        <v>1</v>
      </c>
      <c r="AC13" s="773">
        <f t="shared" si="5"/>
        <v>1</v>
      </c>
    </row>
    <row r="14" spans="1:29" ht="15.6"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49"/>
      <c r="Q14" s="1794">
        <f t="shared" si="6"/>
        <v>111</v>
      </c>
      <c r="R14" s="770" t="s">
        <v>17</v>
      </c>
      <c r="S14" s="771">
        <f t="shared" si="0"/>
        <v>100</v>
      </c>
      <c r="T14" s="770" t="s">
        <v>17</v>
      </c>
      <c r="U14" s="771">
        <f t="shared" si="1"/>
        <v>100</v>
      </c>
      <c r="V14" s="770" t="s">
        <v>17</v>
      </c>
      <c r="W14" s="771">
        <f t="shared" si="2"/>
        <v>100</v>
      </c>
      <c r="X14" s="772"/>
      <c r="Y14" s="3108"/>
      <c r="Z14" s="55">
        <f t="shared" si="7"/>
        <v>111</v>
      </c>
      <c r="AA14" s="773">
        <f t="shared" si="3"/>
        <v>1</v>
      </c>
      <c r="AB14" s="773">
        <f t="shared" si="4"/>
        <v>1</v>
      </c>
      <c r="AC14" s="773">
        <f t="shared" si="5"/>
        <v>1</v>
      </c>
    </row>
    <row r="15" spans="1:29" ht="69">
      <c r="A15" s="440" t="s">
        <v>2556</v>
      </c>
      <c r="B15" s="629" t="s">
        <v>2794</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64" t="s">
        <v>2557</v>
      </c>
      <c r="Q15" s="1809" t="str">
        <f t="shared" si="6"/>
        <v>产业集聚程度</v>
      </c>
      <c r="R15" s="774" t="s">
        <v>17</v>
      </c>
      <c r="S15" s="775">
        <f t="shared" si="0"/>
        <v>100</v>
      </c>
      <c r="T15" s="774" t="s">
        <v>17</v>
      </c>
      <c r="U15" s="775">
        <f t="shared" si="1"/>
        <v>100</v>
      </c>
      <c r="V15" s="774" t="s">
        <v>17</v>
      </c>
      <c r="W15" s="775">
        <f t="shared" si="2"/>
        <v>100</v>
      </c>
      <c r="X15" s="1812"/>
      <c r="Y15" s="3264" t="s">
        <v>2557</v>
      </c>
      <c r="Z15" s="1813" t="str">
        <f t="shared" si="7"/>
        <v>产业集聚程度</v>
      </c>
      <c r="AA15" s="1810">
        <f t="shared" si="3"/>
        <v>1</v>
      </c>
      <c r="AB15" s="1810">
        <f t="shared" si="4"/>
        <v>1</v>
      </c>
      <c r="AC15" s="1810">
        <f t="shared" si="5"/>
        <v>1</v>
      </c>
    </row>
    <row r="16" spans="1:29" ht="15">
      <c r="A16" s="428"/>
      <c r="B16" s="630"/>
      <c r="C16" s="447"/>
      <c r="D16" s="448"/>
      <c r="E16" s="2612"/>
      <c r="F16" s="448"/>
      <c r="G16" s="2612"/>
      <c r="H16" s="450"/>
      <c r="I16" s="2612"/>
      <c r="J16" s="448"/>
      <c r="K16" s="672"/>
      <c r="L16" s="1140"/>
      <c r="M16" s="1131"/>
      <c r="N16" s="1131"/>
      <c r="O16" s="1139"/>
      <c r="P16" s="3265"/>
      <c r="Q16" s="1809"/>
      <c r="R16" s="774"/>
      <c r="S16" s="775"/>
      <c r="T16" s="774"/>
      <c r="U16" s="775"/>
      <c r="V16" s="774"/>
      <c r="W16" s="775"/>
      <c r="X16" s="1812"/>
      <c r="Y16" s="3265"/>
      <c r="Z16" s="1813"/>
      <c r="AA16" s="1810">
        <v>1</v>
      </c>
      <c r="AB16" s="1810">
        <v>1</v>
      </c>
      <c r="AC16" s="1810">
        <v>1</v>
      </c>
    </row>
    <row r="17" spans="1:29" ht="96.6">
      <c r="A17" s="428"/>
      <c r="B17" s="631" t="s">
        <v>2706</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65"/>
      <c r="Q17" s="1809" t="str">
        <f>B17</f>
        <v>交通便捷度</v>
      </c>
      <c r="R17" s="774" t="s">
        <v>17</v>
      </c>
      <c r="S17" s="775">
        <f>F17</f>
        <v>100</v>
      </c>
      <c r="T17" s="774" t="s">
        <v>17</v>
      </c>
      <c r="U17" s="775">
        <f>H17</f>
        <v>100</v>
      </c>
      <c r="V17" s="774" t="s">
        <v>17</v>
      </c>
      <c r="W17" s="775">
        <f>J17</f>
        <v>100</v>
      </c>
      <c r="X17" s="1812"/>
      <c r="Y17" s="3265"/>
      <c r="Z17" s="1813" t="str">
        <f>Q17</f>
        <v>交通便捷度</v>
      </c>
      <c r="AA17" s="1810">
        <f t="shared" si="3"/>
        <v>1</v>
      </c>
      <c r="AB17" s="1810">
        <f t="shared" si="4"/>
        <v>1</v>
      </c>
      <c r="AC17" s="1810">
        <f t="shared" si="5"/>
        <v>1</v>
      </c>
    </row>
    <row r="18" spans="1:29" ht="15">
      <c r="A18" s="428"/>
      <c r="B18" s="632"/>
      <c r="C18" s="447"/>
      <c r="D18" s="448"/>
      <c r="E18" s="2606"/>
      <c r="F18" s="448"/>
      <c r="G18" s="2606"/>
      <c r="H18" s="448"/>
      <c r="I18" s="2605"/>
      <c r="J18" s="448"/>
      <c r="K18" s="672"/>
      <c r="L18" s="1140"/>
      <c r="M18" s="1131"/>
      <c r="N18" s="1131"/>
      <c r="O18" s="1139"/>
      <c r="P18" s="3265"/>
      <c r="Q18" s="1809"/>
      <c r="R18" s="774"/>
      <c r="S18" s="775"/>
      <c r="T18" s="774"/>
      <c r="U18" s="775"/>
      <c r="V18" s="774"/>
      <c r="W18" s="775"/>
      <c r="X18" s="1812"/>
      <c r="Y18" s="3265"/>
      <c r="Z18" s="1813"/>
      <c r="AA18" s="1810">
        <v>1</v>
      </c>
      <c r="AB18" s="1810">
        <v>1</v>
      </c>
      <c r="AC18" s="1810">
        <v>1</v>
      </c>
    </row>
    <row r="19" spans="1:29" ht="28.8">
      <c r="A19" s="428"/>
      <c r="B19" s="631" t="s">
        <v>2745</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65"/>
      <c r="Q19" s="1809" t="str">
        <f t="shared" ref="Q19:Q33" si="8">B19</f>
        <v>区域土地利用方向</v>
      </c>
      <c r="R19" s="774" t="s">
        <v>17</v>
      </c>
      <c r="S19" s="775">
        <f>F19</f>
        <v>100</v>
      </c>
      <c r="T19" s="774" t="s">
        <v>17</v>
      </c>
      <c r="U19" s="775">
        <f>H19</f>
        <v>100</v>
      </c>
      <c r="V19" s="774" t="s">
        <v>17</v>
      </c>
      <c r="W19" s="775">
        <f>J19</f>
        <v>100</v>
      </c>
      <c r="X19" s="1812"/>
      <c r="Y19" s="3265"/>
      <c r="Z19" s="1813" t="str">
        <f>Q19</f>
        <v>区域土地利用方向</v>
      </c>
      <c r="AA19" s="1810">
        <f t="shared" si="3"/>
        <v>1</v>
      </c>
      <c r="AB19" s="1810">
        <f t="shared" si="4"/>
        <v>1</v>
      </c>
      <c r="AC19" s="1810">
        <f t="shared" si="5"/>
        <v>1</v>
      </c>
    </row>
    <row r="20" spans="1:29" ht="15">
      <c r="A20" s="404"/>
      <c r="B20" s="632"/>
      <c r="C20" s="447"/>
      <c r="D20" s="448"/>
      <c r="E20" s="2606"/>
      <c r="F20" s="448"/>
      <c r="G20" s="2606"/>
      <c r="H20" s="448"/>
      <c r="I20" s="2606"/>
      <c r="J20" s="448"/>
      <c r="K20" s="812"/>
      <c r="L20" s="1140"/>
      <c r="M20" s="1131"/>
      <c r="N20" s="1131"/>
      <c r="O20" s="1139"/>
      <c r="P20" s="3265"/>
      <c r="Q20" s="1809"/>
      <c r="R20" s="774"/>
      <c r="S20" s="775"/>
      <c r="T20" s="774"/>
      <c r="U20" s="775"/>
      <c r="V20" s="774"/>
      <c r="W20" s="775"/>
      <c r="X20" s="1812"/>
      <c r="Y20" s="3265"/>
      <c r="Z20" s="1813"/>
      <c r="AA20" s="1810"/>
      <c r="AB20" s="1810"/>
      <c r="AC20" s="1810"/>
    </row>
    <row r="21" spans="1:29" ht="82.8">
      <c r="A21" s="404"/>
      <c r="B21" s="631" t="s">
        <v>2795</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65"/>
      <c r="Q21" s="1809" t="str">
        <f t="shared" si="8"/>
        <v>环境状况</v>
      </c>
      <c r="R21" s="774" t="s">
        <v>17</v>
      </c>
      <c r="S21" s="775">
        <f>F21</f>
        <v>100</v>
      </c>
      <c r="T21" s="774" t="s">
        <v>17</v>
      </c>
      <c r="U21" s="775">
        <f>H21</f>
        <v>100</v>
      </c>
      <c r="V21" s="774" t="s">
        <v>17</v>
      </c>
      <c r="W21" s="775">
        <f>J21</f>
        <v>100</v>
      </c>
      <c r="X21" s="1812"/>
      <c r="Y21" s="3265"/>
      <c r="Z21" s="1813" t="str">
        <f>Q21</f>
        <v>环境状况</v>
      </c>
      <c r="AA21" s="1810">
        <f t="shared" si="3"/>
        <v>1</v>
      </c>
      <c r="AB21" s="1810">
        <f t="shared" si="4"/>
        <v>1</v>
      </c>
      <c r="AC21" s="1810">
        <f t="shared" si="5"/>
        <v>1</v>
      </c>
    </row>
    <row r="22" spans="1:29" ht="15">
      <c r="A22" s="404"/>
      <c r="B22" s="632"/>
      <c r="C22" s="447"/>
      <c r="D22" s="448"/>
      <c r="E22" s="2612"/>
      <c r="F22" s="448"/>
      <c r="G22" s="2612"/>
      <c r="H22" s="448"/>
      <c r="I22" s="447"/>
      <c r="J22" s="448"/>
      <c r="K22" s="672"/>
      <c r="L22" s="1140"/>
      <c r="M22" s="1131"/>
      <c r="N22" s="1131"/>
      <c r="O22" s="1139"/>
      <c r="P22" s="3265"/>
      <c r="Q22" s="1809"/>
      <c r="R22" s="774"/>
      <c r="S22" s="775"/>
      <c r="T22" s="774"/>
      <c r="U22" s="775"/>
      <c r="V22" s="774"/>
      <c r="W22" s="775"/>
      <c r="X22" s="1812"/>
      <c r="Y22" s="3265"/>
      <c r="Z22" s="1813"/>
      <c r="AA22" s="1810">
        <v>1</v>
      </c>
      <c r="AB22" s="1810">
        <v>1</v>
      </c>
      <c r="AC22" s="1810">
        <v>1</v>
      </c>
    </row>
    <row r="23" spans="1:29" s="117" customFormat="1" ht="41.4">
      <c r="A23" s="649"/>
      <c r="B23" s="633" t="s">
        <v>2651</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65"/>
      <c r="Q23" s="1794" t="str">
        <f t="shared" si="8"/>
        <v>公共配套设施</v>
      </c>
      <c r="R23" s="770" t="s">
        <v>17</v>
      </c>
      <c r="S23" s="771">
        <f>F23</f>
        <v>100</v>
      </c>
      <c r="T23" s="770" t="s">
        <v>17</v>
      </c>
      <c r="U23" s="771">
        <f>H23</f>
        <v>100</v>
      </c>
      <c r="V23" s="770" t="s">
        <v>17</v>
      </c>
      <c r="W23" s="771">
        <f>J23</f>
        <v>100</v>
      </c>
      <c r="X23" s="772"/>
      <c r="Y23" s="3265"/>
      <c r="Z23" s="55" t="str">
        <f>Q23</f>
        <v>公共配套设施</v>
      </c>
      <c r="AA23" s="1810">
        <f>D23/F23</f>
        <v>1</v>
      </c>
      <c r="AB23" s="1810">
        <f>D23/H23</f>
        <v>1</v>
      </c>
      <c r="AC23" s="1810">
        <f>D23/J23</f>
        <v>1</v>
      </c>
    </row>
    <row r="24" spans="1:29" s="117" customFormat="1" ht="15">
      <c r="A24" s="649"/>
      <c r="B24" s="632"/>
      <c r="C24" s="2701"/>
      <c r="D24" s="448"/>
      <c r="E24" s="2612"/>
      <c r="F24" s="448"/>
      <c r="G24" s="2612"/>
      <c r="H24" s="448"/>
      <c r="I24" s="447"/>
      <c r="J24" s="448"/>
      <c r="K24" s="672"/>
      <c r="L24" s="1132"/>
      <c r="M24" s="1133"/>
      <c r="N24" s="1133"/>
      <c r="O24" s="1134"/>
      <c r="P24" s="3265"/>
      <c r="Q24" s="1794"/>
      <c r="R24" s="770"/>
      <c r="S24" s="771"/>
      <c r="T24" s="770"/>
      <c r="U24" s="771"/>
      <c r="V24" s="770"/>
      <c r="W24" s="771"/>
      <c r="X24" s="772"/>
      <c r="Y24" s="3265"/>
      <c r="Z24" s="55"/>
      <c r="AA24" s="773">
        <v>1</v>
      </c>
      <c r="AB24" s="773">
        <v>1</v>
      </c>
      <c r="AC24" s="773">
        <v>1</v>
      </c>
    </row>
    <row r="25" spans="1:29" s="117" customFormat="1" ht="41.4">
      <c r="A25" s="649"/>
      <c r="B25" s="633" t="s">
        <v>2652</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65"/>
      <c r="Q25" s="1794" t="str">
        <f t="shared" ref="Q25" si="9">B25</f>
        <v>基础设施水平</v>
      </c>
      <c r="R25" s="770" t="s">
        <v>17</v>
      </c>
      <c r="S25" s="771">
        <f>F25</f>
        <v>100</v>
      </c>
      <c r="T25" s="770" t="s">
        <v>17</v>
      </c>
      <c r="U25" s="771">
        <f>H25</f>
        <v>100</v>
      </c>
      <c r="V25" s="770" t="s">
        <v>17</v>
      </c>
      <c r="W25" s="771">
        <f>J25</f>
        <v>100</v>
      </c>
      <c r="X25" s="772"/>
      <c r="Y25" s="3265"/>
      <c r="Z25" s="55" t="str">
        <f>Q25</f>
        <v>基础设施水平</v>
      </c>
      <c r="AA25" s="1810">
        <f>D25/F25</f>
        <v>1</v>
      </c>
      <c r="AB25" s="1810">
        <f>D25/H25</f>
        <v>1</v>
      </c>
      <c r="AC25" s="1810">
        <f>D25/J25</f>
        <v>1</v>
      </c>
    </row>
    <row r="26" spans="1:29" s="117" customFormat="1" ht="15">
      <c r="A26" s="649"/>
      <c r="B26" s="632"/>
      <c r="C26" s="2701"/>
      <c r="D26" s="448"/>
      <c r="E26" s="2702"/>
      <c r="F26" s="448"/>
      <c r="G26" s="2702"/>
      <c r="H26" s="448"/>
      <c r="I26" s="2702"/>
      <c r="J26" s="448"/>
      <c r="K26" s="672"/>
      <c r="L26" s="1132"/>
      <c r="M26" s="1133"/>
      <c r="N26" s="1133"/>
      <c r="O26" s="1134"/>
      <c r="P26" s="3265"/>
      <c r="Q26" s="1794"/>
      <c r="R26" s="770"/>
      <c r="S26" s="771"/>
      <c r="T26" s="770"/>
      <c r="U26" s="771"/>
      <c r="V26" s="770"/>
      <c r="W26" s="771"/>
      <c r="X26" s="772"/>
      <c r="Y26" s="3265"/>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65"/>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65"/>
      <c r="Z27" s="1813" t="str">
        <f t="shared" ref="Z27:Z40" si="13">Q27</f>
        <v>临街状况</v>
      </c>
      <c r="AA27" s="1810">
        <f t="shared" si="3"/>
        <v>1</v>
      </c>
      <c r="AB27" s="1810">
        <f t="shared" si="4"/>
        <v>1</v>
      </c>
      <c r="AC27" s="1810">
        <f t="shared" si="5"/>
        <v>1</v>
      </c>
    </row>
    <row r="28" spans="1:29" ht="28.8">
      <c r="A28" s="428"/>
      <c r="B28" s="633" t="s">
        <v>2688</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65"/>
      <c r="Q28" s="1809" t="str">
        <f t="shared" si="8"/>
        <v>毗邻道路的类型与等级</v>
      </c>
      <c r="R28" s="774" t="s">
        <v>17</v>
      </c>
      <c r="S28" s="775">
        <f t="shared" si="10"/>
        <v>100</v>
      </c>
      <c r="T28" s="774" t="s">
        <v>17</v>
      </c>
      <c r="U28" s="775">
        <f t="shared" si="11"/>
        <v>100</v>
      </c>
      <c r="V28" s="774" t="s">
        <v>17</v>
      </c>
      <c r="W28" s="775">
        <f t="shared" si="12"/>
        <v>100</v>
      </c>
      <c r="X28" s="1812"/>
      <c r="Y28" s="3265"/>
      <c r="Z28" s="1813" t="str">
        <f t="shared" si="13"/>
        <v>毗邻道路的类型与等级</v>
      </c>
      <c r="AA28" s="1810">
        <f t="shared" si="3"/>
        <v>1</v>
      </c>
      <c r="AB28" s="1810">
        <f t="shared" si="4"/>
        <v>1</v>
      </c>
      <c r="AC28" s="1810">
        <f t="shared" si="5"/>
        <v>1</v>
      </c>
    </row>
    <row r="29" spans="1:29" ht="15">
      <c r="A29" s="428"/>
      <c r="B29" s="632"/>
      <c r="C29" s="447"/>
      <c r="D29" s="448"/>
      <c r="E29" s="2612"/>
      <c r="F29" s="448"/>
      <c r="G29" s="2612"/>
      <c r="H29" s="448"/>
      <c r="I29" s="2612"/>
      <c r="J29" s="448"/>
      <c r="K29" s="613"/>
      <c r="L29" s="1140"/>
      <c r="M29" s="1131"/>
      <c r="N29" s="1131"/>
      <c r="O29" s="1139"/>
      <c r="P29" s="3265"/>
      <c r="Q29" s="1809"/>
      <c r="R29" s="774"/>
      <c r="S29" s="775"/>
      <c r="T29" s="774"/>
      <c r="U29" s="775"/>
      <c r="V29" s="774"/>
      <c r="W29" s="775"/>
      <c r="X29" s="1812"/>
      <c r="Y29" s="3265"/>
      <c r="Z29" s="1813"/>
      <c r="AA29" s="1810">
        <v>1</v>
      </c>
      <c r="AB29" s="1810">
        <v>1</v>
      </c>
      <c r="AC29" s="1810">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65"/>
      <c r="Q30" s="1809" t="str">
        <f t="shared" si="8"/>
        <v>土地级别</v>
      </c>
      <c r="R30" s="774" t="s">
        <v>17</v>
      </c>
      <c r="S30" s="775">
        <f t="shared" si="10"/>
        <v>100</v>
      </c>
      <c r="T30" s="774" t="s">
        <v>17</v>
      </c>
      <c r="U30" s="775">
        <f t="shared" si="11"/>
        <v>100</v>
      </c>
      <c r="V30" s="774" t="s">
        <v>17</v>
      </c>
      <c r="W30" s="775">
        <f t="shared" si="12"/>
        <v>100</v>
      </c>
      <c r="X30" s="1812"/>
      <c r="Y30" s="3265"/>
      <c r="Z30" s="1813" t="str">
        <f t="shared" si="13"/>
        <v>土地级别</v>
      </c>
      <c r="AA30" s="1810">
        <f t="shared" si="3"/>
        <v>1</v>
      </c>
      <c r="AB30" s="1810">
        <f t="shared" si="4"/>
        <v>1</v>
      </c>
      <c r="AC30" s="1810">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65"/>
      <c r="Q31" s="1809">
        <f t="shared" si="8"/>
        <v>111</v>
      </c>
      <c r="R31" s="774" t="s">
        <v>17</v>
      </c>
      <c r="S31" s="775">
        <f t="shared" si="10"/>
        <v>100</v>
      </c>
      <c r="T31" s="774" t="s">
        <v>17</v>
      </c>
      <c r="U31" s="775">
        <f t="shared" si="11"/>
        <v>100</v>
      </c>
      <c r="V31" s="774" t="s">
        <v>17</v>
      </c>
      <c r="W31" s="775">
        <f t="shared" si="12"/>
        <v>100</v>
      </c>
      <c r="X31" s="1812"/>
      <c r="Y31" s="3265"/>
      <c r="Z31" s="1813">
        <f t="shared" si="13"/>
        <v>111</v>
      </c>
      <c r="AA31" s="1810">
        <f t="shared" si="3"/>
        <v>1</v>
      </c>
      <c r="AB31" s="1810">
        <f t="shared" si="4"/>
        <v>1</v>
      </c>
      <c r="AC31" s="1810">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6" t="s">
        <v>2562</v>
      </c>
      <c r="Q32" s="1809">
        <f t="shared" si="8"/>
        <v>111</v>
      </c>
      <c r="R32" s="774" t="s">
        <v>17</v>
      </c>
      <c r="S32" s="775">
        <f t="shared" si="10"/>
        <v>100</v>
      </c>
      <c r="T32" s="774" t="s">
        <v>17</v>
      </c>
      <c r="U32" s="775">
        <f t="shared" si="11"/>
        <v>100</v>
      </c>
      <c r="V32" s="774" t="s">
        <v>17</v>
      </c>
      <c r="W32" s="775">
        <f t="shared" si="12"/>
        <v>100</v>
      </c>
      <c r="X32" s="1812"/>
      <c r="Y32" s="3267" t="s">
        <v>2562</v>
      </c>
      <c r="Z32" s="1813">
        <f t="shared" si="13"/>
        <v>111</v>
      </c>
      <c r="AA32" s="1810">
        <f t="shared" si="3"/>
        <v>1</v>
      </c>
      <c r="AB32" s="1810">
        <f t="shared" si="4"/>
        <v>1</v>
      </c>
      <c r="AC32" s="1810">
        <f t="shared" si="5"/>
        <v>1</v>
      </c>
    </row>
    <row r="33" spans="1:29" s="471" customFormat="1" ht="15.6"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67"/>
      <c r="Q33" s="1809">
        <f t="shared" si="8"/>
        <v>111</v>
      </c>
      <c r="R33" s="777" t="s">
        <v>17</v>
      </c>
      <c r="S33" s="778">
        <f t="shared" si="10"/>
        <v>100</v>
      </c>
      <c r="T33" s="777" t="s">
        <v>17</v>
      </c>
      <c r="U33" s="778">
        <f t="shared" si="11"/>
        <v>100</v>
      </c>
      <c r="V33" s="777" t="s">
        <v>17</v>
      </c>
      <c r="W33" s="778">
        <f t="shared" si="12"/>
        <v>100</v>
      </c>
      <c r="X33" s="779"/>
      <c r="Y33" s="3267"/>
      <c r="Z33" s="780">
        <f t="shared" si="13"/>
        <v>111</v>
      </c>
      <c r="AA33" s="1810">
        <f t="shared" si="3"/>
        <v>1</v>
      </c>
      <c r="AB33" s="1810">
        <f t="shared" si="4"/>
        <v>1</v>
      </c>
      <c r="AC33" s="1810">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67"/>
      <c r="Q34" s="1809" t="str">
        <f>B34</f>
        <v>宗地面积</v>
      </c>
      <c r="R34" s="774" t="s">
        <v>17</v>
      </c>
      <c r="S34" s="775" t="e">
        <f t="shared" si="10"/>
        <v>#N/A</v>
      </c>
      <c r="T34" s="774" t="s">
        <v>17</v>
      </c>
      <c r="U34" s="775" t="e">
        <f t="shared" si="11"/>
        <v>#N/A</v>
      </c>
      <c r="V34" s="774" t="s">
        <v>17</v>
      </c>
      <c r="W34" s="775" t="e">
        <f t="shared" si="12"/>
        <v>#N/A</v>
      </c>
      <c r="X34" s="1812"/>
      <c r="Y34" s="3267"/>
      <c r="Z34" s="1813" t="str">
        <f t="shared" si="13"/>
        <v>宗地面积</v>
      </c>
      <c r="AA34" s="1810" t="e">
        <f t="shared" si="3"/>
        <v>#N/A</v>
      </c>
      <c r="AB34" s="1810" t="e">
        <f t="shared" si="4"/>
        <v>#N/A</v>
      </c>
      <c r="AC34" s="1810" t="e">
        <f t="shared" si="5"/>
        <v>#N/A</v>
      </c>
    </row>
    <row r="35" spans="1:29" ht="15">
      <c r="A35" s="472"/>
      <c r="B35" s="422" t="s">
        <v>2749</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267"/>
      <c r="Q35" s="1809" t="str">
        <f t="shared" ref="Q35:Q40" si="14">B35</f>
        <v>宗地形状</v>
      </c>
      <c r="R35" s="774" t="s">
        <v>17</v>
      </c>
      <c r="S35" s="775">
        <f t="shared" si="10"/>
        <v>100</v>
      </c>
      <c r="T35" s="774" t="s">
        <v>17</v>
      </c>
      <c r="U35" s="775">
        <f t="shared" si="11"/>
        <v>100</v>
      </c>
      <c r="V35" s="774" t="s">
        <v>17</v>
      </c>
      <c r="W35" s="775">
        <f t="shared" si="12"/>
        <v>100</v>
      </c>
      <c r="X35" s="1812"/>
      <c r="Y35" s="3267"/>
      <c r="Z35" s="1813" t="str">
        <f t="shared" si="13"/>
        <v>宗地形状</v>
      </c>
      <c r="AA35" s="1810">
        <f t="shared" si="3"/>
        <v>1</v>
      </c>
      <c r="AB35" s="1810">
        <f t="shared" si="4"/>
        <v>1</v>
      </c>
      <c r="AC35" s="1810">
        <f t="shared" si="5"/>
        <v>1</v>
      </c>
    </row>
    <row r="36" spans="1:29" s="117" customFormat="1" ht="15">
      <c r="A36" s="473"/>
      <c r="B36" s="422" t="s">
        <v>2751</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2"/>
      <c r="M36" s="1133"/>
      <c r="N36" s="1133"/>
      <c r="O36" s="1134"/>
      <c r="P36" s="3267"/>
      <c r="Q36" s="1809" t="str">
        <f t="shared" si="14"/>
        <v>宗地开发程度</v>
      </c>
      <c r="R36" s="770" t="s">
        <v>17</v>
      </c>
      <c r="S36" s="771">
        <f t="shared" si="10"/>
        <v>100</v>
      </c>
      <c r="T36" s="770" t="s">
        <v>17</v>
      </c>
      <c r="U36" s="771">
        <f t="shared" si="11"/>
        <v>100</v>
      </c>
      <c r="V36" s="770" t="s">
        <v>17</v>
      </c>
      <c r="W36" s="771">
        <f t="shared" si="12"/>
        <v>100</v>
      </c>
      <c r="X36" s="772"/>
      <c r="Y36" s="3267"/>
      <c r="Z36" s="55" t="str">
        <f t="shared" si="13"/>
        <v>宗地开发程度</v>
      </c>
      <c r="AA36" s="773">
        <f t="shared" si="3"/>
        <v>1</v>
      </c>
      <c r="AB36" s="773">
        <f t="shared" si="4"/>
        <v>1</v>
      </c>
      <c r="AC36" s="773">
        <f t="shared" si="5"/>
        <v>1</v>
      </c>
    </row>
    <row r="37" spans="1:29" ht="15">
      <c r="A37" s="472"/>
      <c r="B37" s="422" t="s">
        <v>2752</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267" t="s">
        <v>2562</v>
      </c>
      <c r="Q37" s="1809" t="str">
        <f t="shared" si="14"/>
        <v>工程地质条件</v>
      </c>
      <c r="R37" s="774" t="s">
        <v>17</v>
      </c>
      <c r="S37" s="775">
        <f t="shared" si="10"/>
        <v>100</v>
      </c>
      <c r="T37" s="774" t="s">
        <v>17</v>
      </c>
      <c r="U37" s="775">
        <f t="shared" si="11"/>
        <v>100</v>
      </c>
      <c r="V37" s="774" t="s">
        <v>17</v>
      </c>
      <c r="W37" s="775">
        <f t="shared" si="12"/>
        <v>100</v>
      </c>
      <c r="X37" s="1812"/>
      <c r="Y37" s="3267" t="s">
        <v>2562</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67"/>
      <c r="Q38" s="1809">
        <f t="shared" si="14"/>
        <v>111</v>
      </c>
      <c r="R38" s="774" t="s">
        <v>17</v>
      </c>
      <c r="S38" s="775">
        <f t="shared" si="10"/>
        <v>100</v>
      </c>
      <c r="T38" s="774" t="s">
        <v>17</v>
      </c>
      <c r="U38" s="775">
        <f t="shared" si="11"/>
        <v>100</v>
      </c>
      <c r="V38" s="774" t="s">
        <v>17</v>
      </c>
      <c r="W38" s="775">
        <f t="shared" si="12"/>
        <v>100</v>
      </c>
      <c r="X38" s="1812"/>
      <c r="Y38" s="3267"/>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67"/>
      <c r="Q39" s="1809">
        <f t="shared" si="14"/>
        <v>111</v>
      </c>
      <c r="R39" s="774" t="s">
        <v>17</v>
      </c>
      <c r="S39" s="775">
        <f t="shared" si="10"/>
        <v>100</v>
      </c>
      <c r="T39" s="774" t="s">
        <v>17</v>
      </c>
      <c r="U39" s="775">
        <f t="shared" si="11"/>
        <v>100</v>
      </c>
      <c r="V39" s="774" t="s">
        <v>17</v>
      </c>
      <c r="W39" s="775">
        <f t="shared" si="12"/>
        <v>100</v>
      </c>
      <c r="X39" s="1812"/>
      <c r="Y39" s="3267"/>
      <c r="Z39" s="1813">
        <f t="shared" si="13"/>
        <v>111</v>
      </c>
      <c r="AA39" s="1810">
        <f t="shared" si="3"/>
        <v>1</v>
      </c>
      <c r="AB39" s="1810">
        <f t="shared" si="4"/>
        <v>1</v>
      </c>
      <c r="AC39" s="1810">
        <f t="shared" si="5"/>
        <v>1</v>
      </c>
    </row>
    <row r="40" spans="1:29" s="471" customFormat="1" ht="15.6" thickBot="1">
      <c r="A40" s="468"/>
      <c r="B40" s="1387">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67"/>
      <c r="Q40" s="1809">
        <f t="shared" si="14"/>
        <v>111</v>
      </c>
      <c r="R40" s="777" t="s">
        <v>17</v>
      </c>
      <c r="S40" s="778">
        <f t="shared" si="10"/>
        <v>100</v>
      </c>
      <c r="T40" s="777" t="s">
        <v>17</v>
      </c>
      <c r="U40" s="778">
        <f t="shared" si="11"/>
        <v>100</v>
      </c>
      <c r="V40" s="777" t="s">
        <v>17</v>
      </c>
      <c r="W40" s="778">
        <f t="shared" si="12"/>
        <v>100</v>
      </c>
      <c r="X40" s="779"/>
      <c r="Y40" s="3267"/>
      <c r="Z40" s="780">
        <f t="shared" si="13"/>
        <v>111</v>
      </c>
      <c r="AA40" s="1810">
        <f t="shared" si="3"/>
        <v>1</v>
      </c>
      <c r="AB40" s="1810">
        <f t="shared" si="4"/>
        <v>1</v>
      </c>
      <c r="AC40" s="1810">
        <f t="shared" si="5"/>
        <v>1</v>
      </c>
    </row>
    <row r="41" spans="1:29" ht="14.4">
      <c r="A41" s="479" t="s">
        <v>2717</v>
      </c>
      <c r="B41" s="2705" t="s">
        <v>2796</v>
      </c>
      <c r="C41" s="682" t="s">
        <v>1</v>
      </c>
      <c r="D41" s="481"/>
      <c r="E41" s="482"/>
      <c r="F41" s="483"/>
      <c r="G41" s="484"/>
      <c r="H41" s="485"/>
      <c r="I41" s="482"/>
      <c r="J41" s="485"/>
      <c r="K41" s="783"/>
      <c r="L41" s="1143"/>
      <c r="M41" s="1131"/>
      <c r="N41" s="1131"/>
      <c r="O41" s="1144"/>
      <c r="P41" s="3249" t="str">
        <f>A41</f>
        <v>成交单价</v>
      </c>
      <c r="Q41" s="3249"/>
      <c r="R41" s="3262">
        <f>E41</f>
        <v>0</v>
      </c>
      <c r="S41" s="3262"/>
      <c r="T41" s="3262">
        <f>G41</f>
        <v>0</v>
      </c>
      <c r="U41" s="3262"/>
      <c r="V41" s="3262">
        <f>I41</f>
        <v>0</v>
      </c>
      <c r="W41" s="3262"/>
      <c r="X41" s="759"/>
      <c r="Y41" s="781"/>
      <c r="Z41" s="759"/>
      <c r="AA41" s="759"/>
      <c r="AB41" s="759"/>
      <c r="AC41" s="759"/>
    </row>
    <row r="42" spans="1:29" ht="1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249" t="str">
        <f>A42</f>
        <v>比较价值（元/平方米）</v>
      </c>
      <c r="Q42" s="3249"/>
      <c r="R42" s="3268" t="e">
        <f>ROUND(PRODUCT(R41,AA7:AA40),0)</f>
        <v>#DIV/0!</v>
      </c>
      <c r="S42" s="3268"/>
      <c r="T42" s="3268" t="e">
        <f>ROUND(PRODUCT(T41,AB7:AB40),0)</f>
        <v>#DIV/0!</v>
      </c>
      <c r="U42" s="3268"/>
      <c r="V42" s="3268" t="e">
        <f>ROUND(PRODUCT(V41,AC7:AC40),0)</f>
        <v>#DIV/0!</v>
      </c>
      <c r="W42" s="3268"/>
      <c r="X42" s="759"/>
      <c r="Y42" s="759"/>
      <c r="Z42" s="759"/>
      <c r="AA42" s="759"/>
      <c r="AB42" s="759"/>
      <c r="AC42" s="759"/>
    </row>
    <row r="43" spans="1:29" ht="15" thickBot="1">
      <c r="A43" s="492" t="s">
        <v>2667</v>
      </c>
      <c r="B43" s="493"/>
      <c r="C43" s="494" t="e">
        <f>R43</f>
        <v>#DIV/0!</v>
      </c>
      <c r="D43" s="494"/>
      <c r="E43" s="494"/>
      <c r="F43" s="494"/>
      <c r="G43" s="494"/>
      <c r="H43" s="494"/>
      <c r="I43" s="494"/>
      <c r="J43" s="494"/>
      <c r="K43" s="785"/>
      <c r="L43" s="1143"/>
      <c r="M43" s="1131"/>
      <c r="N43" s="1131"/>
      <c r="O43" s="1144"/>
      <c r="P43" s="3269" t="str">
        <f>A43</f>
        <v>估价对象XX用房的比较价值（楼面单价，元/平方米）</v>
      </c>
      <c r="Q43" s="3270"/>
      <c r="R43" s="3271" t="e">
        <f>ROUND(AVERAGE(R42:V42),0)</f>
        <v>#DIV/0!</v>
      </c>
      <c r="S43" s="3271"/>
      <c r="T43" s="3271"/>
      <c r="U43" s="3271"/>
      <c r="V43" s="3271"/>
      <c r="W43" s="327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2755</v>
      </c>
      <c r="B50" s="685" t="s">
        <v>2756</v>
      </c>
      <c r="C50" s="2706" t="s">
        <v>2757</v>
      </c>
      <c r="D50" s="2707" t="s">
        <v>2758</v>
      </c>
      <c r="E50" s="686" t="s">
        <v>2759</v>
      </c>
      <c r="F50" s="687" t="s">
        <v>2760</v>
      </c>
      <c r="G50" s="3250" t="s">
        <v>2761</v>
      </c>
      <c r="H50" s="3272"/>
      <c r="I50" s="1813" t="s">
        <v>2797</v>
      </c>
      <c r="J50" s="1813">
        <f>项目基本情况!F35</f>
        <v>0</v>
      </c>
      <c r="K50" s="2709" t="s">
        <v>2763</v>
      </c>
      <c r="L50" s="1106"/>
      <c r="M50" s="1144"/>
      <c r="N50" s="1144"/>
      <c r="O50" s="1144"/>
    </row>
    <row r="51" spans="1:17" s="692" customFormat="1">
      <c r="A51" s="688" t="s">
        <v>2764</v>
      </c>
      <c r="B51" s="689" t="e">
        <f>C43</f>
        <v>#DIV/0!</v>
      </c>
      <c r="C51" s="690">
        <v>1</v>
      </c>
      <c r="D51" s="1163">
        <v>1</v>
      </c>
      <c r="E51" s="690">
        <f>'数据-汇总表'!E8+'数据-汇总表'!E9</f>
        <v>65654.289999999994</v>
      </c>
      <c r="F51" s="691" t="e">
        <f t="shared" ref="F51:F60" si="15">ROUND(B51*E51/10000,0)</f>
        <v>#DIV/0!</v>
      </c>
      <c r="G51" s="3273"/>
      <c r="H51" s="3249"/>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274"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274"/>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274"/>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274"/>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10"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710" t="s">
        <v>2766</v>
      </c>
      <c r="H59" s="1104">
        <f>项目基本情况!B37</f>
        <v>0</v>
      </c>
      <c r="I59" s="942">
        <f>SUMIF(修正!A45:A56,H59,修正!H45:H56)</f>
        <v>0</v>
      </c>
      <c r="J59" s="943"/>
      <c r="K59" s="1145"/>
      <c r="L59" s="941"/>
      <c r="M59" s="941"/>
      <c r="N59" s="941"/>
      <c r="O59" s="941"/>
    </row>
    <row r="60" spans="1:17" s="692" customFormat="1" ht="14.4" thickBot="1">
      <c r="A60" s="693" t="s">
        <v>2777</v>
      </c>
      <c r="B60" s="262" t="e">
        <f t="shared" si="17"/>
        <v>#DIV/0!</v>
      </c>
      <c r="C60" s="200">
        <f t="shared" si="16"/>
        <v>0</v>
      </c>
      <c r="D60" s="1164">
        <v>0.25</v>
      </c>
      <c r="E60" s="261">
        <f>'数据-汇总表'!E15</f>
        <v>0</v>
      </c>
      <c r="F60" s="691" t="e">
        <f t="shared" si="15"/>
        <v>#DIV/0!</v>
      </c>
      <c r="G60" s="2711" t="s">
        <v>2771</v>
      </c>
      <c r="H60" s="1114">
        <f>项目基本情况!C37</f>
        <v>0</v>
      </c>
      <c r="I60" s="942">
        <f>SUMIF(修正!A45:A56,H60,修正!H45:H56)</f>
        <v>0</v>
      </c>
      <c r="J60" s="943"/>
      <c r="K60" s="1144"/>
      <c r="L60" s="941"/>
      <c r="M60" s="941"/>
      <c r="N60" s="941"/>
      <c r="O60" s="941"/>
    </row>
    <row r="61" spans="1:17" s="692" customFormat="1" ht="14.4" thickBot="1">
      <c r="A61" s="695" t="s">
        <v>2778</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2.2" thickBot="1">
      <c r="A64" s="763" t="s">
        <v>2671</v>
      </c>
      <c r="B64" s="759"/>
      <c r="C64" s="764"/>
      <c r="D64" s="764"/>
      <c r="E64" s="764"/>
      <c r="F64" s="765"/>
      <c r="G64" s="765"/>
      <c r="H64" s="764"/>
      <c r="I64" s="764"/>
      <c r="J64" s="764"/>
      <c r="K64" s="766"/>
      <c r="L64" s="767"/>
      <c r="M64" s="764"/>
      <c r="N64" s="764"/>
      <c r="O64" s="1159"/>
      <c r="P64" s="503"/>
      <c r="Q64" s="504"/>
    </row>
    <row r="65" spans="1:17" s="508" customFormat="1" ht="14.4">
      <c r="A65" s="2712" t="s">
        <v>2779</v>
      </c>
      <c r="B65" s="1359"/>
      <c r="C65" s="1571" t="str">
        <f>YEAR(C63)&amp;"-"&amp;ROUNDUP(MONTH(C63)/3,0)</f>
        <v>2020-1</v>
      </c>
      <c r="D65" s="1571" t="str">
        <f t="shared" ref="D65:O65" si="19">YEAR(D63)&amp;"-"&amp;ROUNDUP(MONTH(D63)/3,0)</f>
        <v>2019-4</v>
      </c>
      <c r="E65" s="1571" t="str">
        <f t="shared" si="19"/>
        <v>2019-3</v>
      </c>
      <c r="F65" s="1571" t="str">
        <f t="shared" si="19"/>
        <v>2019-2</v>
      </c>
      <c r="G65" s="1571" t="str">
        <f t="shared" si="19"/>
        <v>2019-1</v>
      </c>
      <c r="H65" s="1571" t="str">
        <f t="shared" si="19"/>
        <v>2018-4</v>
      </c>
      <c r="I65" s="1571" t="str">
        <f t="shared" si="19"/>
        <v>2018-3</v>
      </c>
      <c r="J65" s="1571" t="str">
        <f t="shared" si="19"/>
        <v>2018-2</v>
      </c>
      <c r="K65" s="1571" t="str">
        <f t="shared" si="19"/>
        <v>2018-1</v>
      </c>
      <c r="L65" s="1571" t="str">
        <f t="shared" si="19"/>
        <v>2017-4</v>
      </c>
      <c r="M65" s="1571" t="str">
        <f t="shared" si="19"/>
        <v>2017-3</v>
      </c>
      <c r="N65" s="1571" t="str">
        <f t="shared" si="19"/>
        <v>2017-2</v>
      </c>
      <c r="O65" s="1571" t="str">
        <f t="shared" si="19"/>
        <v>2017-1</v>
      </c>
      <c r="P65" s="507"/>
    </row>
    <row r="66" spans="1:17" s="117" customFormat="1" ht="30.75" customHeight="1">
      <c r="A66" s="2717" t="s">
        <v>2798</v>
      </c>
      <c r="B66" s="332" t="str">
        <f>"北京市平均增长率"&amp;TEXT(基准地价修正!P24,"0.00%")</f>
        <v>北京市平均增长率1.35%</v>
      </c>
      <c r="C66" s="603">
        <v>100</v>
      </c>
      <c r="D66" s="595"/>
      <c r="E66" s="595"/>
      <c r="F66" s="595"/>
      <c r="G66" s="595"/>
      <c r="H66" s="595"/>
      <c r="I66" s="595"/>
      <c r="J66" s="595"/>
      <c r="K66" s="595"/>
      <c r="L66" s="595"/>
      <c r="M66" s="1567"/>
      <c r="N66" s="1567"/>
      <c r="O66" s="1568"/>
      <c r="P66" s="504"/>
    </row>
    <row r="67" spans="1:17" s="117" customFormat="1" ht="15" thickBot="1">
      <c r="A67" s="515" t="s">
        <v>2582</v>
      </c>
      <c r="B67" s="516"/>
      <c r="C67" s="517"/>
      <c r="D67" s="518"/>
      <c r="E67" s="518"/>
      <c r="F67" s="518"/>
      <c r="G67" s="518"/>
      <c r="H67" s="518"/>
      <c r="I67" s="518"/>
      <c r="J67" s="518"/>
      <c r="K67" s="518"/>
      <c r="L67" s="518"/>
      <c r="M67" s="519"/>
      <c r="N67" s="519"/>
      <c r="O67" s="520"/>
      <c r="P67" s="504"/>
      <c r="Q67" s="504"/>
    </row>
    <row r="68" spans="1:17" s="117" customFormat="1" ht="14.4">
      <c r="A68" s="521" t="s">
        <v>2547</v>
      </c>
      <c r="B68" s="510"/>
      <c r="C68" s="522" t="s">
        <v>2649</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2585</v>
      </c>
      <c r="B70" s="528" t="s">
        <v>2551</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2554</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2781</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2782</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2799</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2688</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2747</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2560</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63" priority="14" stopIfTrue="1" operator="containsText" text="超过">
      <formula>NOT(ISERROR(SEARCH("超过",F46)))</formula>
    </cfRule>
  </conditionalFormatting>
  <conditionalFormatting sqref="J48">
    <cfRule type="containsText" dxfId="62" priority="13" stopIfTrue="1" operator="containsText" text="超过">
      <formula>NOT(ISERROR(SEARCH("超过",J48)))</formula>
    </cfRule>
  </conditionalFormatting>
  <conditionalFormatting sqref="H48">
    <cfRule type="containsText" dxfId="61" priority="12" stopIfTrue="1" operator="containsText" text="超过">
      <formula>NOT(ISERROR(SEARCH("超过",H48)))</formula>
    </cfRule>
  </conditionalFormatting>
  <conditionalFormatting sqref="F48">
    <cfRule type="containsText" dxfId="60" priority="11" stopIfTrue="1" operator="containsText" text="超过">
      <formula>NOT(ISERROR(SEARCH("超过",F48)))</formula>
    </cfRule>
  </conditionalFormatting>
  <conditionalFormatting sqref="F47 H47 J47">
    <cfRule type="containsText" dxfId="59" priority="10" stopIfTrue="1" operator="containsText" text="超过">
      <formula>NOT(ISERROR(SEARCH("超过",F47)))</formula>
    </cfRule>
  </conditionalFormatting>
  <conditionalFormatting sqref="E46">
    <cfRule type="expression" dxfId="58" priority="9" stopIfTrue="1">
      <formula>$F$46="超过30%"</formula>
    </cfRule>
  </conditionalFormatting>
  <conditionalFormatting sqref="G48">
    <cfRule type="expression" dxfId="57" priority="8" stopIfTrue="1">
      <formula>$H$48="超过30%"</formula>
    </cfRule>
  </conditionalFormatting>
  <conditionalFormatting sqref="E48">
    <cfRule type="expression" dxfId="56" priority="6" stopIfTrue="1">
      <formula>$F$48="超过30%"</formula>
    </cfRule>
  </conditionalFormatting>
  <conditionalFormatting sqref="G46">
    <cfRule type="expression" dxfId="55" priority="5" stopIfTrue="1">
      <formula>$H$46="超过30%"</formula>
    </cfRule>
  </conditionalFormatting>
  <conditionalFormatting sqref="G47">
    <cfRule type="expression" dxfId="54" priority="4" stopIfTrue="1">
      <formula>$H$47="超过20%"</formula>
    </cfRule>
  </conditionalFormatting>
  <conditionalFormatting sqref="I46">
    <cfRule type="expression" dxfId="53" priority="3" stopIfTrue="1">
      <formula>$J$46="超过30%"</formula>
    </cfRule>
  </conditionalFormatting>
  <conditionalFormatting sqref="I47">
    <cfRule type="expression" dxfId="52" priority="2" stopIfTrue="1">
      <formula>$J$47="超过20%"</formula>
    </cfRule>
  </conditionalFormatting>
  <conditionalFormatting sqref="I48">
    <cfRule type="expression" dxfId="51" priority="1" stopIfTrue="1">
      <formula>$J$48="超过30%"</formula>
    </cfRule>
  </conditionalFormatting>
  <conditionalFormatting sqref="E47">
    <cfRule type="expression" dxfId="50" priority="49" stopIfTrue="1">
      <formula>#REF!+$F$47="超过20%"</formula>
    </cfRule>
  </conditionalFormatting>
  <dataValidations count="19">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rgb="FF92D050"/>
  </sheetPr>
  <dimension ref="A1:AK118"/>
  <sheetViews>
    <sheetView zoomScale="80" zoomScaleNormal="80" zoomScaleSheetLayoutView="96" workbookViewId="0">
      <selection activeCell="F7" sqref="F7"/>
    </sheetView>
  </sheetViews>
  <sheetFormatPr defaultColWidth="12" defaultRowHeight="13.2"/>
  <cols>
    <col min="1" max="1" width="9.77734375" style="2789" customWidth="1"/>
    <col min="2" max="2" width="19.21875" style="2895" customWidth="1"/>
    <col min="3" max="4" width="12" style="2721"/>
    <col min="5" max="5" width="14.6640625" style="2721" customWidth="1"/>
    <col min="6" max="8" width="12" style="2721"/>
    <col min="9" max="9" width="12.21875" style="2721" bestFit="1" customWidth="1"/>
    <col min="10" max="10" width="12" style="2721"/>
    <col min="11" max="11" width="8.109375" style="2784" customWidth="1"/>
    <col min="12" max="12" width="12" style="2721"/>
    <col min="13" max="13" width="8.44140625" style="2721" customWidth="1"/>
    <col min="14" max="14" width="9.77734375" style="2721" customWidth="1"/>
    <col min="15" max="25" width="12" style="2721"/>
    <col min="26" max="26" width="9.33203125" style="2789" customWidth="1"/>
    <col min="27" max="32" width="9.33203125" style="1372" customWidth="1"/>
    <col min="33" max="36" width="9.33203125" style="2789" customWidth="1"/>
    <col min="37" max="38" width="9.33203125" style="2721" customWidth="1"/>
    <col min="39" max="16384" width="12" style="2721"/>
  </cols>
  <sheetData>
    <row r="1" spans="1:36" ht="31.2">
      <c r="A1" s="240" t="s">
        <v>2800</v>
      </c>
      <c r="B1" s="241"/>
      <c r="C1" s="245" t="s">
        <v>2801</v>
      </c>
      <c r="D1" s="388">
        <f>SUM(D29:D30,D33:D39)</f>
        <v>0</v>
      </c>
      <c r="E1" s="2718"/>
      <c r="F1" s="2718"/>
      <c r="G1" s="2718"/>
      <c r="H1" s="2718"/>
      <c r="I1" s="2718"/>
      <c r="J1" s="2718"/>
      <c r="K1" s="1370"/>
      <c r="L1" s="2719" t="s">
        <v>2802</v>
      </c>
      <c r="M1" s="1080">
        <f>SUMPRODUCT((区片价!B5:B9=I2)*(区片价!C3:F3=E2)*(区片价!C5:F9))</f>
        <v>0</v>
      </c>
      <c r="N1" s="1083">
        <f>SUMPRODUCT((因素修正幅度!B5:B9=I2)*(因素修正幅度!C3:F3=E2)*(因素修正幅度!C5:F9))</f>
        <v>0</v>
      </c>
      <c r="O1" s="2720"/>
      <c r="P1" s="2720"/>
      <c r="Q1" s="1370"/>
      <c r="R1" s="1601" t="s">
        <v>2803</v>
      </c>
      <c r="S1" s="1601" t="s">
        <v>2804</v>
      </c>
      <c r="T1" s="1601" t="s">
        <v>2805</v>
      </c>
      <c r="U1" s="1601" t="s">
        <v>2806</v>
      </c>
      <c r="V1" s="1601" t="s">
        <v>2807</v>
      </c>
      <c r="W1" s="1605"/>
      <c r="X1" s="1605"/>
      <c r="Y1" s="1605"/>
      <c r="Z1" s="1605"/>
      <c r="AA1" s="1605"/>
      <c r="AB1" s="1605"/>
      <c r="AC1" s="1606"/>
      <c r="AD1" s="1607"/>
      <c r="AE1" s="1607"/>
      <c r="AF1" s="1607"/>
      <c r="AG1" s="1607"/>
      <c r="AH1" s="1607"/>
      <c r="AI1" s="1607"/>
      <c r="AJ1" s="1608"/>
    </row>
    <row r="2" spans="1:36" ht="15.6">
      <c r="A2" s="245" t="s">
        <v>2808</v>
      </c>
      <c r="B2" s="248" t="e">
        <f>C26</f>
        <v>#DIV/0!</v>
      </c>
      <c r="C2" s="2722" t="s">
        <v>2809</v>
      </c>
      <c r="D2" s="2723" t="s">
        <v>2810</v>
      </c>
      <c r="E2" s="2724"/>
      <c r="F2" s="2723" t="s">
        <v>2811</v>
      </c>
      <c r="G2" s="2725">
        <f>IF(E2="商业",项目基本情况!B37,IF(E2="办公",项目基本情况!C37,IF(E2="住宅",项目基本情况!D37,项目基本情况!E37)))</f>
        <v>0</v>
      </c>
      <c r="H2" s="2723" t="s">
        <v>2812</v>
      </c>
      <c r="I2" s="2725">
        <f>IF(E2="商业",项目基本情况!B38,IF(E2="办公",项目基本情况!C38,IF(E2="住宅",项目基本情况!D38,项目基本情况!E38)))</f>
        <v>0</v>
      </c>
      <c r="J2" s="2726"/>
      <c r="K2" s="1370"/>
      <c r="L2" s="2727" t="s">
        <v>2813</v>
      </c>
      <c r="M2" s="1081">
        <f>SUMPRODUCT((区片价!B10:B28=I2)*(区片价!C3:F3=E2)*(区片价!C10:F28))</f>
        <v>0</v>
      </c>
      <c r="N2" s="1083">
        <f>SUMPRODUCT((因素修正幅度!B10:B28=I2)*(因素修正幅度!C3:F3=E2)*(因素修正幅度!C10:F28))</f>
        <v>0</v>
      </c>
      <c r="O2" s="1370"/>
      <c r="P2" s="1370"/>
      <c r="Q2" s="1370"/>
      <c r="R2" s="1601">
        <v>1</v>
      </c>
      <c r="S2" s="1601" t="e">
        <f>ROUND(IF(G3&gt;1,IF(R2&lt;7,SUMPRODUCT((B93:B98=R2)*(C92:N92=G2)*(C93:N98)),SUMIF(C92:N92,G2,C100:N100)),IF(R2&lt;7,SUMPRODUCT((B102:B107=R2)*(C92:N92=G2)*(C102:N107)),SUMIF(C92:N92,G2,C109:N109))),4)</f>
        <v>#DIV/0!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7" t="s">
        <v>2814</v>
      </c>
      <c r="B3" s="248" t="e">
        <f>ROUND(B2*10000/D1,0)</f>
        <v>#DIV/0!</v>
      </c>
      <c r="C3" s="2722" t="s">
        <v>2815</v>
      </c>
      <c r="D3" s="2723" t="s">
        <v>2816</v>
      </c>
      <c r="E3" s="2728"/>
      <c r="F3" s="2729" t="s">
        <v>2817</v>
      </c>
      <c r="G3" s="916" t="e">
        <f>IF(F3="宗地容积率",'数据-汇总表'!I4,IF(F3="估价对象容积率",'数据-汇总表'!I6,'数据-汇总表'!I7))</f>
        <v>#DIV/0!</v>
      </c>
      <c r="H3" s="198" t="s">
        <v>2818</v>
      </c>
      <c r="I3" s="944"/>
      <c r="J3" s="2726" t="s">
        <v>2819</v>
      </c>
      <c r="K3" s="1370"/>
      <c r="L3" s="2727" t="s">
        <v>2820</v>
      </c>
      <c r="M3" s="1081">
        <f>SUMPRODUCT((区片价!B29:B48=I2)*(区片价!C3:F3=E2)*(区片价!C29:F48))</f>
        <v>0</v>
      </c>
      <c r="N3" s="1083">
        <f>SUMPRODUCT((因素修正幅度!B29:B48=I2)*(因素修正幅度!C3:F3=E2)*(因素修正幅度!C29:F48))</f>
        <v>0</v>
      </c>
      <c r="O3" s="1370"/>
      <c r="P3" s="1370"/>
      <c r="Q3" s="1370"/>
      <c r="R3" s="1601">
        <v>2</v>
      </c>
      <c r="S3" s="1601" t="e">
        <f>ROUND(IF(G3&gt;1,IF(R3&lt;7,SUMPRODUCT((B93:B98=R3)*(C92:N92=G2)*(C93:N98)),SUMIF(C92:N92,G2,C100:N100)),IF(R3&lt;7,SUMPRODUCT((B102:B107=R3)*(C92:N92=G2)*(C102:N107)),SUMIF(C92:N92,G2,C109:N109))),4)</f>
        <v>#DIV/0!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345"/>
      <c r="B4" s="3346"/>
      <c r="C4" s="3346"/>
      <c r="D4" s="3347"/>
      <c r="E4" s="3347"/>
      <c r="F4" s="3347"/>
      <c r="G4" s="3347"/>
      <c r="H4" s="3347"/>
      <c r="I4" s="3347"/>
      <c r="J4" s="3348"/>
      <c r="K4" s="1370"/>
      <c r="L4" s="2727" t="s">
        <v>2821</v>
      </c>
      <c r="M4" s="1081">
        <f>SUMPRODUCT((区片价!B49:B75=I2)*(区片价!C3:F3=E2)*(区片价!C49:F75))</f>
        <v>0</v>
      </c>
      <c r="N4" s="1083">
        <f>SUMPRODUCT((因素修正幅度!B49:B75=I2)*(因素修正幅度!C3:F3=E2)*(因素修正幅度!C49:F75))</f>
        <v>0</v>
      </c>
      <c r="O4" s="1370"/>
      <c r="P4" s="1370"/>
      <c r="Q4" s="1370"/>
      <c r="R4" s="1601">
        <v>3</v>
      </c>
      <c r="S4" s="1601" t="e">
        <f>ROUND(IF(G3&gt;1,IF(R4&lt;7,SUMPRODUCT((B93:B98=R4)*(C92:N92=G2)*(C93:N98)),SUMIF(C92:N92,G2,C100:N100)),IF(R4&lt;7,SUMPRODUCT((B102:B107=R4)*(C92:N92=G2)*(C102:N107)),SUMIF(C92:N92,G2,C109:N109))),4)</f>
        <v>#DIV/0!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9" customFormat="1" ht="15.6" thickBot="1">
      <c r="A5" s="2730" t="s">
        <v>807</v>
      </c>
      <c r="B5" s="2731" t="s">
        <v>2822</v>
      </c>
      <c r="C5" s="917" t="e">
        <f>ROUND(IF(E2="商业",C6*C7+C16,(IF(E2="住宅",C6*C12+C16,C6+C16))),0)</f>
        <v>#DIV/0!</v>
      </c>
      <c r="D5" s="1786" t="e">
        <f>ROUND(C6+C16,0)</f>
        <v>#DIV/0!</v>
      </c>
      <c r="E5" s="1786"/>
      <c r="F5" s="2732"/>
      <c r="G5" s="2733"/>
      <c r="H5" s="2733"/>
      <c r="I5" s="2733"/>
      <c r="J5" s="2734"/>
      <c r="K5" s="2735"/>
      <c r="L5" s="2727" t="s">
        <v>2823</v>
      </c>
      <c r="M5" s="1081">
        <f>SUMPRODUCT((区片价!B76:B109=I2)*(区片价!C3:F3=E2)*(区片价!C76:F109))</f>
        <v>0</v>
      </c>
      <c r="N5" s="1083">
        <f>SUMPRODUCT((因素修正幅度!B76:B109=I2)*(因素修正幅度!C3:F3=E2)*(因素修正幅度!C76:F109))</f>
        <v>0</v>
      </c>
      <c r="O5" s="1370"/>
      <c r="P5" s="1370"/>
      <c r="Q5" s="1370"/>
      <c r="R5" s="1601">
        <v>4</v>
      </c>
      <c r="S5" s="1601" t="e">
        <f>ROUND(IF(G3&gt;1,IF(R5&lt;7,SUMPRODUCT((B93:B98=R5)*(C92:N92=G2)*(C93:N98)),SUMIF(C92:N92,G2,C100:N100)),IF(R5&lt;7,SUMPRODUCT((B102:B107=R5)*(C92:N92=G2)*(C102:N107)),SUMIF(C92:N92,G2,C109:N109))),4)</f>
        <v>#DIV/0!</v>
      </c>
      <c r="T5" s="1601" t="e">
        <f t="shared" si="0"/>
        <v>#DIV/0!</v>
      </c>
      <c r="U5" s="1602"/>
      <c r="V5" s="1601" t="e">
        <f t="shared" si="1"/>
        <v>#DIV/0!</v>
      </c>
      <c r="W5" s="1605"/>
      <c r="X5" s="1605"/>
      <c r="Y5" s="1605"/>
      <c r="Z5" s="1605"/>
      <c r="AA5" s="1605"/>
      <c r="AB5" s="1605"/>
      <c r="AC5" s="2736"/>
      <c r="AD5" s="2737"/>
      <c r="AE5" s="2737"/>
      <c r="AF5" s="2737"/>
      <c r="AG5" s="2737"/>
      <c r="AH5" s="2737"/>
      <c r="AI5" s="2737"/>
      <c r="AJ5" s="2738"/>
    </row>
    <row r="6" spans="1:36" ht="15.6" thickBot="1">
      <c r="A6" s="2740" t="s">
        <v>2824</v>
      </c>
      <c r="B6" s="2741" t="s">
        <v>2825</v>
      </c>
      <c r="C6" s="918">
        <f>SUMIF(L1:L12,G2,M1:M12)</f>
        <v>0</v>
      </c>
      <c r="D6" s="2742" t="s">
        <v>2826</v>
      </c>
      <c r="E6" s="2743"/>
      <c r="F6" s="2743"/>
      <c r="G6" s="2744"/>
      <c r="H6" s="2744"/>
      <c r="I6" s="2744"/>
      <c r="J6" s="2745"/>
      <c r="K6" s="1841"/>
      <c r="L6" s="2727" t="s">
        <v>2827</v>
      </c>
      <c r="M6" s="1081">
        <f>SUMPRODUCT((区片价!B110:B157=I2)*(区片价!C3:F3=E2)*(区片价!C110:F157))</f>
        <v>0</v>
      </c>
      <c r="N6" s="1083">
        <f>SUMPRODUCT((因素修正幅度!B110:B157=I2)*(因素修正幅度!C3:F3=E2)*(因素修正幅度!C110:F157))</f>
        <v>0</v>
      </c>
      <c r="O6" s="1370"/>
      <c r="P6" s="1370"/>
      <c r="Q6" s="1370"/>
      <c r="R6" s="1601">
        <v>5</v>
      </c>
      <c r="S6" s="1601" t="e">
        <f>ROUND(IF(G3&gt;1,IF(R6&lt;7,SUMPRODUCT((B93:B98=R6)*(C92:N92=G2)*(C93:N98)),SUMIF(C92:N92,G2,C100:N100)),IF(R6&lt;7,SUMPRODUCT((B102:B107=R6)*(C92:N92=G2)*(C102:N107)),SUMIF(C92:N92,G2,C109:N109))),4)</f>
        <v>#DIV/0!</v>
      </c>
      <c r="T6" s="1601" t="e">
        <f t="shared" si="0"/>
        <v>#DIV/0!</v>
      </c>
      <c r="U6" s="1602"/>
      <c r="V6" s="1601" t="e">
        <f t="shared" si="1"/>
        <v>#DIV/0!</v>
      </c>
      <c r="W6" s="1605"/>
      <c r="X6" s="1605"/>
      <c r="Y6" s="1605"/>
      <c r="Z6" s="1605"/>
      <c r="AA6" s="1605"/>
      <c r="AB6" s="1605"/>
      <c r="AC6" s="2736"/>
      <c r="AD6" s="2737"/>
      <c r="AE6" s="2737"/>
      <c r="AF6" s="2737"/>
      <c r="AG6" s="2737"/>
      <c r="AH6" s="2737"/>
      <c r="AI6" s="2737"/>
      <c r="AJ6" s="2738"/>
    </row>
    <row r="7" spans="1:36" ht="24">
      <c r="A7" s="3329" t="str">
        <f>IF(E2="商业",IF(C8="不临58条商业街","",2),"")</f>
        <v/>
      </c>
      <c r="B7" s="2746" t="s">
        <v>2828</v>
      </c>
      <c r="C7" s="919" t="e">
        <f>IF(C8="不临58条商业街",1,ROUND(1+(1.6*E8+1.2*E9+0.8*E10+0.4*E11)*C9,4))</f>
        <v>#DIV/0!</v>
      </c>
      <c r="D7" s="2747" t="s">
        <v>2829</v>
      </c>
      <c r="E7" s="945"/>
      <c r="F7" s="2748"/>
      <c r="G7" s="2749"/>
      <c r="H7" s="2749"/>
      <c r="I7" s="2749"/>
      <c r="J7" s="2750"/>
      <c r="K7" s="1841"/>
      <c r="L7" s="2727" t="s">
        <v>2830</v>
      </c>
      <c r="M7" s="1081">
        <f>SUMPRODUCT((区片价!B158:B205=I2)*(区片价!C3:F3=E2)*(区片价!C158:F205))</f>
        <v>0</v>
      </c>
      <c r="N7" s="1083">
        <f>SUMPRODUCT((因素修正幅度!B158:B205=I2)*(因素修正幅度!C3:F3=E2)*(因素修正幅度!C158:F205))</f>
        <v>0</v>
      </c>
      <c r="O7" s="1370"/>
      <c r="P7" s="1370"/>
      <c r="Q7" s="1370"/>
      <c r="R7" s="1601">
        <v>6</v>
      </c>
      <c r="S7" s="1601" t="e">
        <f>ROUND(IF(G3&gt;1,IF(R7&lt;7,SUMPRODUCT((B93:B98=R7)*(C92:N92=G2)*(C93:N98)),SUMIF(C92:N92,G2,C100:N100)),IF(R7&lt;7,SUMPRODUCT((B102:B107=R7)*(C92:N92=G2)*(C102:N107)),SUMIF(C92:N92,G2,C109:N109))),4)</f>
        <v>#DIV/0!</v>
      </c>
      <c r="T7" s="1601" t="e">
        <f t="shared" si="0"/>
        <v>#DIV/0!</v>
      </c>
      <c r="U7" s="1602"/>
      <c r="V7" s="1601" t="e">
        <f t="shared" si="1"/>
        <v>#DIV/0!</v>
      </c>
      <c r="W7" s="1815" t="s">
        <v>2831</v>
      </c>
      <c r="X7" s="1603">
        <f>G2</f>
        <v>0</v>
      </c>
      <c r="Y7" s="1603" t="s">
        <v>2832</v>
      </c>
      <c r="Z7" s="1604" t="e">
        <f>G3</f>
        <v>#DIV/0!</v>
      </c>
      <c r="AA7" s="1605"/>
      <c r="AB7" s="1605"/>
      <c r="AC7" s="1606"/>
      <c r="AD7" s="1607"/>
      <c r="AE7" s="1607"/>
      <c r="AF7" s="1607"/>
      <c r="AG7" s="1607"/>
      <c r="AH7" s="1607"/>
      <c r="AI7" s="1607"/>
      <c r="AJ7" s="1608"/>
    </row>
    <row r="8" spans="1:36" ht="15">
      <c r="A8" s="3349"/>
      <c r="B8" s="198" t="s">
        <v>2833</v>
      </c>
      <c r="C8" s="2751"/>
      <c r="D8" s="920" t="s">
        <v>139</v>
      </c>
      <c r="E8" s="921" t="e">
        <f>ROUND(C11/E7,4)</f>
        <v>#DIV/0!</v>
      </c>
      <c r="F8" s="2752" t="s">
        <v>2834</v>
      </c>
      <c r="G8" s="2753"/>
      <c r="H8" s="2753"/>
      <c r="I8" s="2753"/>
      <c r="J8" s="2754"/>
      <c r="K8" s="1370"/>
      <c r="L8" s="2727" t="s">
        <v>2835</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342" t="s">
        <v>2836</v>
      </c>
      <c r="X8" s="3343"/>
      <c r="Y8" s="1609" t="s">
        <v>2837</v>
      </c>
      <c r="Z8" s="1609" t="s">
        <v>2838</v>
      </c>
      <c r="AA8" s="1609" t="s">
        <v>2839</v>
      </c>
      <c r="AB8" s="1609" t="s">
        <v>2840</v>
      </c>
      <c r="AC8" s="1609" t="s">
        <v>2841</v>
      </c>
      <c r="AD8" s="1609" t="s">
        <v>2842</v>
      </c>
      <c r="AE8" s="1609" t="s">
        <v>2843</v>
      </c>
      <c r="AF8" s="1609" t="s">
        <v>2844</v>
      </c>
      <c r="AG8" s="1609" t="s">
        <v>2845</v>
      </c>
      <c r="AH8" s="1609" t="s">
        <v>2846</v>
      </c>
      <c r="AI8" s="1609" t="s">
        <v>2847</v>
      </c>
      <c r="AJ8" s="1609" t="s">
        <v>2848</v>
      </c>
    </row>
    <row r="9" spans="1:36" ht="15">
      <c r="A9" s="3349"/>
      <c r="B9" s="198" t="s">
        <v>2849</v>
      </c>
      <c r="C9" s="922">
        <f>SUMIF(修正!C59:C119,C8,修正!E59:E119)</f>
        <v>0</v>
      </c>
      <c r="D9" s="200" t="s">
        <v>140</v>
      </c>
      <c r="E9" s="200" t="e">
        <f>ROUND(C11/E7,4)</f>
        <v>#DIV/0!</v>
      </c>
      <c r="F9" s="2752" t="s">
        <v>2850</v>
      </c>
      <c r="G9" s="2753"/>
      <c r="H9" s="2753"/>
      <c r="I9" s="2753"/>
      <c r="J9" s="2754"/>
      <c r="K9" s="1370"/>
      <c r="L9" s="2727" t="s">
        <v>2851</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44" t="s">
        <v>2852</v>
      </c>
      <c r="X9" s="1610" t="s">
        <v>2853</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49"/>
      <c r="B10" s="198" t="s">
        <v>2854</v>
      </c>
      <c r="C10" s="200">
        <f>SUMIF(修正!C59:C119,C8,修正!F59:F119)</f>
        <v>0</v>
      </c>
      <c r="D10" s="200" t="s">
        <v>141</v>
      </c>
      <c r="E10" s="200" t="e">
        <f>ROUND(C11/E7,4)</f>
        <v>#DIV/0!</v>
      </c>
      <c r="F10" s="2752" t="s">
        <v>2855</v>
      </c>
      <c r="G10" s="2753"/>
      <c r="H10" s="2753"/>
      <c r="I10" s="2753"/>
      <c r="J10" s="2754"/>
      <c r="K10" s="1370"/>
      <c r="L10" s="2727" t="s">
        <v>2856</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4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349"/>
      <c r="B11" s="2755" t="s">
        <v>2857</v>
      </c>
      <c r="C11" s="923">
        <f>C10/4</f>
        <v>0</v>
      </c>
      <c r="D11" s="923" t="s">
        <v>142</v>
      </c>
      <c r="E11" s="923" t="e">
        <f>ROUND(C11/E7,4)</f>
        <v>#DIV/0!</v>
      </c>
      <c r="F11" s="2756" t="s">
        <v>2858</v>
      </c>
      <c r="G11" s="2757"/>
      <c r="H11" s="2757"/>
      <c r="I11" s="2757"/>
      <c r="J11" s="2758"/>
      <c r="K11" s="1370"/>
      <c r="L11" s="2727" t="s">
        <v>2859</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44" t="s">
        <v>2860</v>
      </c>
      <c r="X11" s="1613" t="s">
        <v>2861</v>
      </c>
      <c r="Y11" s="1614" t="e">
        <f>$G$3</f>
        <v>#DIV/0!</v>
      </c>
      <c r="Z11" s="1614" t="e">
        <f t="shared" ref="Z11:AJ11" si="3">$G$3</f>
        <v>#DIV/0!</v>
      </c>
      <c r="AA11" s="1614" t="e">
        <f t="shared" si="3"/>
        <v>#DIV/0!</v>
      </c>
      <c r="AB11" s="1614" t="e">
        <f t="shared" si="3"/>
        <v>#DIV/0!</v>
      </c>
      <c r="AC11" s="1614" t="e">
        <f t="shared" si="3"/>
        <v>#DIV/0!</v>
      </c>
      <c r="AD11" s="1614" t="e">
        <f t="shared" si="3"/>
        <v>#DIV/0!</v>
      </c>
      <c r="AE11" s="1614" t="e">
        <f t="shared" si="3"/>
        <v>#DIV/0!</v>
      </c>
      <c r="AF11" s="1614" t="e">
        <f t="shared" si="3"/>
        <v>#DIV/0!</v>
      </c>
      <c r="AG11" s="1614" t="e">
        <f t="shared" si="3"/>
        <v>#DIV/0!</v>
      </c>
      <c r="AH11" s="1614" t="e">
        <f t="shared" si="3"/>
        <v>#DIV/0!</v>
      </c>
      <c r="AI11" s="1614" t="e">
        <f t="shared" si="3"/>
        <v>#DIV/0!</v>
      </c>
      <c r="AJ11" s="1614" t="e">
        <f t="shared" si="3"/>
        <v>#DIV/0!</v>
      </c>
    </row>
    <row r="12" spans="1:36" ht="25.8" thickBot="1">
      <c r="A12" s="3329" t="s">
        <v>2862</v>
      </c>
      <c r="B12" s="2759" t="s">
        <v>2863</v>
      </c>
      <c r="C12" s="919">
        <f>ROUND(C15*D15*E15*F15*G15*H15*I15*J15,4)</f>
        <v>1</v>
      </c>
      <c r="D12" s="2760" t="s">
        <v>2864</v>
      </c>
      <c r="E12" s="2761"/>
      <c r="F12" s="2761"/>
      <c r="G12" s="2762"/>
      <c r="H12" s="2762"/>
      <c r="I12" s="2762"/>
      <c r="J12" s="2763"/>
      <c r="K12" s="1370"/>
      <c r="L12" s="2764" t="s">
        <v>2865</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44"/>
      <c r="X12" s="1615" t="s">
        <v>2866</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50"/>
      <c r="B13" s="2765" t="s">
        <v>2867</v>
      </c>
      <c r="C13" s="2766" t="s">
        <v>2868</v>
      </c>
      <c r="D13" s="1807" t="s">
        <v>2869</v>
      </c>
      <c r="E13" s="1807" t="s">
        <v>2870</v>
      </c>
      <c r="F13" s="30" t="s">
        <v>2871</v>
      </c>
      <c r="G13" s="2767" t="s">
        <v>2872</v>
      </c>
      <c r="H13" s="2767" t="s">
        <v>2872</v>
      </c>
      <c r="I13" s="2767" t="s">
        <v>2872</v>
      </c>
      <c r="J13" s="2768" t="s">
        <v>2872</v>
      </c>
      <c r="K13" s="1370"/>
      <c r="L13" s="1370"/>
      <c r="M13" s="1370"/>
      <c r="N13" s="1370"/>
      <c r="O13" s="1370"/>
      <c r="P13" s="1370"/>
      <c r="Q13" s="1370"/>
      <c r="R13" s="1601">
        <v>12</v>
      </c>
      <c r="S13" s="1602"/>
      <c r="T13" s="1601" t="e">
        <f t="shared" si="0"/>
        <v>#DIV/0!</v>
      </c>
      <c r="U13" s="1602"/>
      <c r="V13" s="1601" t="e">
        <f t="shared" si="1"/>
        <v>#DIV/0!</v>
      </c>
      <c r="W13" s="3344"/>
      <c r="X13" s="1615"/>
      <c r="Y13" s="1612" t="e">
        <f>(-0.163*(Y12^2)-0.59*Y12+7617)*(10^(-4))/Y11</f>
        <v>#DIV/0!</v>
      </c>
      <c r="Z13" s="1612" t="e">
        <f t="shared" ref="Z13:AJ13" si="5">(-0.163*(Z12^2)-0.59*Z12+7617)*(10^(-4))/Z11</f>
        <v>#DIV/0!</v>
      </c>
      <c r="AA13" s="1612" t="e">
        <f t="shared" si="5"/>
        <v>#DIV/0!</v>
      </c>
      <c r="AB13" s="1612" t="e">
        <f t="shared" si="5"/>
        <v>#DIV/0!</v>
      </c>
      <c r="AC13" s="1612" t="e">
        <f t="shared" si="5"/>
        <v>#DIV/0!</v>
      </c>
      <c r="AD13" s="1612" t="e">
        <f t="shared" si="5"/>
        <v>#DIV/0!</v>
      </c>
      <c r="AE13" s="1612" t="e">
        <f t="shared" si="5"/>
        <v>#DIV/0!</v>
      </c>
      <c r="AF13" s="1612" t="e">
        <f t="shared" si="5"/>
        <v>#DIV/0!</v>
      </c>
      <c r="AG13" s="1612" t="e">
        <f t="shared" si="5"/>
        <v>#DIV/0!</v>
      </c>
      <c r="AH13" s="1612" t="e">
        <f t="shared" si="5"/>
        <v>#DIV/0!</v>
      </c>
      <c r="AI13" s="1612" t="e">
        <f t="shared" si="5"/>
        <v>#DIV/0!</v>
      </c>
      <c r="AJ13" s="1612" t="e">
        <f t="shared" si="5"/>
        <v>#DIV/0!</v>
      </c>
    </row>
    <row r="14" spans="1:36" ht="15">
      <c r="A14" s="3350"/>
      <c r="B14" s="2769"/>
      <c r="C14" s="2770"/>
      <c r="D14" s="2771"/>
      <c r="E14" s="2771"/>
      <c r="F14" s="2772"/>
      <c r="G14" s="2773" t="s">
        <v>2873</v>
      </c>
      <c r="H14" s="2774"/>
      <c r="I14" s="2775"/>
      <c r="J14" s="2776"/>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351"/>
      <c r="B15" s="2777" t="s">
        <v>2874</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29" t="s">
        <v>2879</v>
      </c>
      <c r="B16" s="2746" t="s">
        <v>2880</v>
      </c>
      <c r="C16" s="2933" t="e">
        <f>ROUND(IF(F17="与级别开发程度一致",0,(G17-E17)/C17),0)</f>
        <v>#DIV/0!</v>
      </c>
      <c r="D16" s="3340" t="s">
        <v>2884</v>
      </c>
      <c r="E16" s="3341"/>
      <c r="F16" s="3340" t="s">
        <v>2881</v>
      </c>
      <c r="G16" s="3341"/>
      <c r="H16" s="2780"/>
      <c r="I16" s="2780"/>
      <c r="J16" s="2937"/>
      <c r="K16" s="2780"/>
      <c r="L16" s="2780"/>
      <c r="M16" s="2780"/>
      <c r="N16" s="2780"/>
      <c r="O16" s="2781"/>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8" thickBot="1">
      <c r="A17" s="3330"/>
      <c r="B17" s="2944" t="s">
        <v>2883</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4"/>
      <c r="AF17" s="2784"/>
      <c r="AG17" s="2721"/>
      <c r="AH17" s="2721"/>
      <c r="AI17" s="2721"/>
      <c r="AJ17" s="2721"/>
    </row>
    <row r="18" spans="1:37" s="2739" customFormat="1" ht="15" thickBot="1">
      <c r="A18" s="2938" t="s">
        <v>808</v>
      </c>
      <c r="B18" s="2939" t="s">
        <v>2886</v>
      </c>
      <c r="C18" s="2940">
        <f>SUMIF(修正!C18:C39,E3,修正!E18:E39)</f>
        <v>0</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9"/>
      <c r="AH18" s="2789"/>
      <c r="AI18" s="2789"/>
    </row>
    <row r="19" spans="1:37" s="2739" customFormat="1" ht="29.4" thickBot="1">
      <c r="A19" s="2785" t="s">
        <v>809</v>
      </c>
      <c r="B19" s="2786" t="s">
        <v>2887</v>
      </c>
      <c r="C19" s="924" t="e">
        <f>ROUND(IF(H19="按公示增长率计算",SUMPRODUCT((地价!A3:A29=YEAR(G19)&amp;"-"&amp;ROUNDUP(MONTH(G19)/3,0))*(地价!X2:AB2=E2)*(地价!X3:AB29)),IF(H19="地价指数",M20/M19,(1+I19)^O19)),4)</f>
        <v>#VALUE!</v>
      </c>
      <c r="D19" s="2790" t="s">
        <v>2888</v>
      </c>
      <c r="E19" s="925">
        <v>41640</v>
      </c>
      <c r="F19" s="2790" t="s">
        <v>2889</v>
      </c>
      <c r="G19" s="926">
        <f>'数据-取费表'!B2</f>
        <v>43921</v>
      </c>
      <c r="H19" s="2791"/>
      <c r="I19" s="927" t="str">
        <f>IF(H19="季度增幅（自定义）",SUMIF(N21:N24,E2,O21:O24),"")</f>
        <v/>
      </c>
      <c r="J19" s="2788"/>
      <c r="K19" s="1377"/>
      <c r="L19" s="2792" t="s">
        <v>2890</v>
      </c>
      <c r="M19" s="1733">
        <f>ROUND(SUMIF(地价!B2:F2,E2,地价!B29:F29),0)</f>
        <v>0</v>
      </c>
      <c r="N19" s="2793" t="s">
        <v>2891</v>
      </c>
      <c r="O19" s="928">
        <f>ROUNDDOWN(DATEDIF(E19,G19,"M")/3,0)</f>
        <v>24</v>
      </c>
      <c r="P19" s="1374"/>
      <c r="Q19" s="1376"/>
      <c r="R19" s="1376"/>
      <c r="S19" s="1376"/>
      <c r="T19" s="1371"/>
      <c r="U19" s="1371"/>
      <c r="V19" s="1371"/>
      <c r="W19" s="1370"/>
      <c r="X19" s="1370"/>
      <c r="Y19" s="1370"/>
      <c r="Z19" s="1377"/>
      <c r="AA19" s="1378"/>
      <c r="AB19" s="1378"/>
      <c r="AC19" s="1378"/>
      <c r="AD19" s="1378"/>
      <c r="AE19" s="1378"/>
      <c r="AF19" s="2794"/>
      <c r="AG19" s="2795"/>
      <c r="AH19" s="2789"/>
      <c r="AI19" s="2796"/>
      <c r="AJ19" s="2796"/>
      <c r="AK19" s="2796"/>
    </row>
    <row r="20" spans="1:37" s="2739" customFormat="1" ht="29.4" thickBot="1">
      <c r="A20" s="2797" t="s">
        <v>810</v>
      </c>
      <c r="B20" s="2798" t="s">
        <v>2892</v>
      </c>
      <c r="C20" s="929" t="e">
        <f>ROUND(POWER(1+G20,J20-I20)*(POWER(1+G20,I20)-1)/(POWER(1+G20,J20)-1),4)</f>
        <v>#DIV/0!</v>
      </c>
      <c r="D20" s="2799" t="s">
        <v>2893</v>
      </c>
      <c r="E20" s="1767">
        <f ca="1">存贷款利率!D4/100</f>
        <v>4.3499999999999997E-2</v>
      </c>
      <c r="F20" s="2799" t="s">
        <v>2885</v>
      </c>
      <c r="G20" s="934">
        <f>SUMIF(M26:P26,E2,M28:P28)</f>
        <v>0</v>
      </c>
      <c r="H20" s="2799" t="s">
        <v>2894</v>
      </c>
      <c r="I20" s="935" t="e">
        <f>SUMIF('数据-取费表'!C6:C15,E2,'数据-取费表'!F6:F15)/COUNTIF('数据-取费表'!C6:C15,E2)</f>
        <v>#DIV/0!</v>
      </c>
      <c r="J20" s="936">
        <f>IF(E2="住宅",70,IF(E2="商业",40,50))</f>
        <v>50</v>
      </c>
      <c r="K20" s="1377"/>
      <c r="L20" s="2800" t="s">
        <v>2895</v>
      </c>
      <c r="M20" s="1734">
        <f>ROUND(SUMPRODUCT((地价!A4:A29=YEAR(G19)&amp;"-"&amp;ROUNDUP(MONTH(G19)/3,0))*(地价!B2:F2=E2)*(地价!B4:F29)),0)</f>
        <v>0</v>
      </c>
      <c r="N20" s="2801" t="s">
        <v>2896</v>
      </c>
      <c r="O20" s="2802" t="s">
        <v>2897</v>
      </c>
      <c r="P20" s="2803" t="s">
        <v>2898</v>
      </c>
      <c r="R20" s="1376"/>
      <c r="S20" s="1376"/>
      <c r="T20" s="1371"/>
      <c r="U20" s="1371"/>
      <c r="V20" s="1371"/>
      <c r="W20" s="1370"/>
      <c r="X20" s="1370"/>
      <c r="Y20" s="1370"/>
      <c r="Z20" s="1377"/>
      <c r="AA20" s="1378"/>
      <c r="AB20" s="1378"/>
      <c r="AC20" s="1378"/>
      <c r="AD20" s="1378"/>
      <c r="AE20" s="1378"/>
      <c r="AF20" s="1378"/>
    </row>
    <row r="21" spans="1:37" s="2739" customFormat="1" ht="14.4">
      <c r="A21" s="2804" t="s">
        <v>811</v>
      </c>
      <c r="B21" s="2805" t="s">
        <v>2899</v>
      </c>
      <c r="C21" s="937" t="e">
        <f>IF(B21="容积率修正",IF(G3&lt;=10,D22,J22),C23)</f>
        <v>#DIV/0!</v>
      </c>
      <c r="D21" s="2806"/>
      <c r="E21" s="2806"/>
      <c r="F21" s="2806"/>
      <c r="G21" s="2806"/>
      <c r="H21" s="2806"/>
      <c r="I21" s="2806"/>
      <c r="J21" s="2807"/>
      <c r="K21" s="1377"/>
      <c r="N21" s="2808" t="s">
        <v>2900</v>
      </c>
      <c r="O21" s="1561"/>
      <c r="P21" s="1562">
        <f>SUMPRODUCT((地价!A3:A29=YEAR(G19)&amp;"-"&amp;ROUNDUP(MONTH(G19)/3,0))*(地价!AD2:AH2=N21)*(地价!AD3:AH29))</f>
        <v>1.34E-2</v>
      </c>
      <c r="R21" s="1376"/>
      <c r="S21" s="1376"/>
      <c r="T21" s="1371"/>
      <c r="U21" s="1371"/>
      <c r="V21" s="1371"/>
      <c r="W21" s="1370"/>
      <c r="X21" s="1370"/>
      <c r="Y21" s="1370"/>
      <c r="Z21" s="1377"/>
      <c r="AA21" s="1378"/>
      <c r="AB21" s="1378"/>
      <c r="AC21" s="1378"/>
      <c r="AD21" s="1378"/>
      <c r="AE21" s="1378"/>
      <c r="AF21" s="1378"/>
    </row>
    <row r="22" spans="1:37" s="2739" customFormat="1" ht="14.4">
      <c r="A22" s="2665" t="s">
        <v>2901</v>
      </c>
      <c r="B22" s="2809" t="s">
        <v>2902</v>
      </c>
      <c r="C22" s="1809" t="s">
        <v>2903</v>
      </c>
      <c r="D22" s="1809" t="e">
        <f>IF(E22=G22,F22,IF(G3&lt;=10,ROUND(F22+(H22-F22)*(G3-E22)/(G22-E22),4),"——"))</f>
        <v>#DIV/0!</v>
      </c>
      <c r="E22" s="916" t="e">
        <f>ROUNDDOWN(G3,1)</f>
        <v>#DIV/0!</v>
      </c>
      <c r="F22" s="18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9" t="s">
        <v>155</v>
      </c>
      <c r="J22" s="938" t="e">
        <f>IF(G3&gt;10,D113,"——")</f>
        <v>#DIV/0!</v>
      </c>
      <c r="K22" s="1377"/>
      <c r="N22" s="2808" t="s">
        <v>2904</v>
      </c>
      <c r="O22" s="1561"/>
      <c r="P22" s="1562">
        <f>SUMPRODUCT((地价!A3:A29=YEAR(G19)&amp;"-"&amp;ROUNDUP(MONTH(G19)/3,0))*(地价!AD2:AH2=N22)*(地价!AD3:AH29))</f>
        <v>1.34E-2</v>
      </c>
      <c r="R22" s="1376"/>
      <c r="S22" s="1376"/>
      <c r="T22" s="1371"/>
      <c r="U22" s="1371"/>
      <c r="V22" s="1371"/>
      <c r="W22" s="1370"/>
      <c r="X22" s="1370"/>
      <c r="Y22" s="1370"/>
      <c r="Z22" s="1377"/>
      <c r="AA22" s="1378"/>
      <c r="AB22" s="1378"/>
      <c r="AC22" s="1378"/>
      <c r="AD22" s="1378"/>
      <c r="AE22" s="1378"/>
      <c r="AF22" s="1378"/>
    </row>
    <row r="23" spans="1:37" ht="29.4" thickBot="1">
      <c r="A23" s="2665" t="s">
        <v>2905</v>
      </c>
      <c r="B23" s="2810" t="s">
        <v>2906</v>
      </c>
      <c r="C23" s="1013" t="e">
        <f>ROUND(IF(G3&gt;1,IF(I3&lt;7,SUMPRODUCT((B93:B98=I3)*(C92:N92=G2)*(C93:N98)),SUMIF(C92:N92,G2,C100:N100)),IF(I3&lt;7,SUMPRODUCT((B102:B107=I3)*(C92:N92=G2)*(C102:N107)),SUMIF(C92:N92,G2,C109:N109))),4)</f>
        <v>#DIV/0!</v>
      </c>
      <c r="D23" s="2774"/>
      <c r="E23" s="2774"/>
      <c r="F23" s="2811"/>
      <c r="G23" s="2812"/>
      <c r="H23" s="2813"/>
      <c r="I23" s="2814"/>
      <c r="J23" s="2815"/>
      <c r="K23" s="1370"/>
      <c r="N23" s="2808" t="s">
        <v>2907</v>
      </c>
      <c r="O23" s="1561"/>
      <c r="P23" s="1562">
        <f>SUMPRODUCT((地价!A3:A29=YEAR(G19)&amp;"-"&amp;ROUNDUP(MONTH(G19)/3,0))*(地价!AD2:AH2=N23)*(地价!AD3:AH29))</f>
        <v>2.1000000000000001E-2</v>
      </c>
      <c r="R23" s="1376"/>
      <c r="S23" s="1376"/>
      <c r="T23" s="1371"/>
      <c r="U23" s="1371"/>
      <c r="V23" s="1371"/>
      <c r="W23" s="1370"/>
      <c r="X23" s="1370"/>
      <c r="Y23" s="1370"/>
      <c r="Z23" s="1377"/>
      <c r="AA23" s="1378"/>
      <c r="AB23" s="1378"/>
      <c r="AC23" s="1378"/>
      <c r="AD23" s="1378"/>
      <c r="AK23" s="2789"/>
    </row>
    <row r="24" spans="1:37" s="2739" customFormat="1" ht="15" thickBot="1">
      <c r="A24" s="2797" t="s">
        <v>812</v>
      </c>
      <c r="B24" s="2786" t="s">
        <v>2908</v>
      </c>
      <c r="C24" s="924">
        <f>SUMIF(A45:A88,E2,B45:B88)</f>
        <v>0</v>
      </c>
      <c r="D24" s="2787"/>
      <c r="E24" s="2816"/>
      <c r="F24" s="2816"/>
      <c r="G24" s="2816"/>
      <c r="H24" s="2816"/>
      <c r="I24" s="2816"/>
      <c r="J24" s="2817"/>
      <c r="K24" s="1377"/>
      <c r="N24" s="2818" t="s">
        <v>2909</v>
      </c>
      <c r="O24" s="1563"/>
      <c r="P24" s="1564">
        <f>SUMPRODUCT((地价!A3:A29=YEAR(G19)&amp;"-"&amp;ROUNDUP(MONTH(G19)/3,0))*(地价!AD2:AH2=N24)*(地价!AD3:AH29))</f>
        <v>1.35E-2</v>
      </c>
      <c r="R24" s="1376"/>
      <c r="S24" s="1376"/>
      <c r="T24" s="1371"/>
      <c r="U24" s="1371"/>
      <c r="V24" s="1371"/>
      <c r="W24" s="1370"/>
      <c r="X24" s="1370"/>
      <c r="Y24" s="1370"/>
      <c r="Z24" s="1377"/>
      <c r="AA24" s="1378"/>
      <c r="AB24" s="1378"/>
      <c r="AC24" s="1378"/>
      <c r="AD24" s="1378"/>
      <c r="AE24" s="1378"/>
      <c r="AF24" s="1378"/>
    </row>
    <row r="25" spans="1:37" ht="15" thickBot="1">
      <c r="A25" s="2797" t="s">
        <v>813</v>
      </c>
      <c r="B25" s="2819" t="s">
        <v>2910</v>
      </c>
      <c r="C25" s="930"/>
      <c r="D25" s="2749"/>
      <c r="E25" s="2749"/>
      <c r="F25" s="2820"/>
      <c r="G25" s="2749"/>
      <c r="H25" s="2749"/>
      <c r="I25" s="2749"/>
      <c r="J25" s="2750"/>
      <c r="K25" s="1370"/>
      <c r="N25" s="2821" t="s">
        <v>2911</v>
      </c>
      <c r="O25" s="1565"/>
      <c r="P25" s="1564">
        <f>SUMPRODUCT((地价!A3:A29=YEAR(G19)&amp;"-"&amp;ROUNDUP(MONTH(G19)/3,0))*(地价!AD2:AH2=N25)*(地价!AD3:AH29))</f>
        <v>1.9199999999999998E-2</v>
      </c>
      <c r="R25" s="1376"/>
      <c r="S25" s="1376"/>
      <c r="T25" s="1371"/>
      <c r="U25" s="1371"/>
      <c r="V25" s="1371"/>
      <c r="W25" s="1370"/>
      <c r="X25" s="1370"/>
      <c r="Y25" s="1370"/>
      <c r="Z25" s="1377"/>
      <c r="AA25" s="1378"/>
      <c r="AB25" s="1378"/>
      <c r="AC25" s="1378"/>
      <c r="AD25" s="1378"/>
    </row>
    <row r="26" spans="1:37" ht="14.4">
      <c r="A26" s="2822"/>
      <c r="B26" s="2809" t="s">
        <v>2912</v>
      </c>
      <c r="C26" s="206" t="e">
        <f>E29+SUM(E33:E39)</f>
        <v>#DIV/0!</v>
      </c>
      <c r="D26" s="2823"/>
      <c r="E26" s="2774"/>
      <c r="F26" s="2824"/>
      <c r="G26" s="2774"/>
      <c r="H26" s="2774"/>
      <c r="I26" s="2774"/>
      <c r="J26" s="2825"/>
      <c r="K26" s="1370"/>
      <c r="L26" s="2778" t="s">
        <v>2810</v>
      </c>
      <c r="M26" s="920" t="s">
        <v>2875</v>
      </c>
      <c r="N26" s="920" t="s">
        <v>2876</v>
      </c>
      <c r="O26" s="920" t="s">
        <v>2877</v>
      </c>
      <c r="P26" s="2779" t="s">
        <v>2878</v>
      </c>
      <c r="R26" s="1376"/>
      <c r="S26" s="1376"/>
      <c r="T26" s="1371"/>
      <c r="U26" s="1371"/>
      <c r="V26" s="1371"/>
      <c r="W26" s="1370"/>
      <c r="X26" s="1370"/>
      <c r="Y26" s="1370"/>
      <c r="Z26" s="1377"/>
      <c r="AA26" s="1378"/>
      <c r="AB26" s="1378"/>
      <c r="AC26" s="1378"/>
      <c r="AD26" s="1378"/>
    </row>
    <row r="27" spans="1:37" ht="15" thickBot="1">
      <c r="A27" s="2822"/>
      <c r="B27" s="2826" t="s">
        <v>2913</v>
      </c>
      <c r="C27" s="931" t="e">
        <f>E30+SUM(I33:I39)</f>
        <v>#DIV/0!</v>
      </c>
      <c r="D27" s="2827"/>
      <c r="E27" s="2828"/>
      <c r="F27" s="2829"/>
      <c r="G27" s="2828"/>
      <c r="H27" s="2828"/>
      <c r="I27" s="2828"/>
      <c r="J27" s="2830"/>
      <c r="K27" s="1370"/>
      <c r="L27" s="2782"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31"/>
      <c r="B28" s="2832" t="s">
        <v>2914</v>
      </c>
      <c r="C28" s="2833" t="s">
        <v>2915</v>
      </c>
      <c r="D28" s="2833" t="s">
        <v>2916</v>
      </c>
      <c r="E28" s="2834" t="s">
        <v>2917</v>
      </c>
      <c r="F28" s="2835"/>
      <c r="G28" s="2762"/>
      <c r="H28" s="2762"/>
      <c r="I28" s="2762"/>
      <c r="J28" s="2763"/>
      <c r="K28" s="1370"/>
      <c r="L28" s="2783"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6"/>
      <c r="B29" s="2837" t="s">
        <v>2918</v>
      </c>
      <c r="C29" s="206" t="e">
        <f>ROUND(C5*C18*C19*C20*C21*C24,0)</f>
        <v>#DIV/0!</v>
      </c>
      <c r="D29" s="2838"/>
      <c r="E29" s="942" t="e">
        <f>ROUND(C29*D29/10000,0)</f>
        <v>#DIV/0!</v>
      </c>
      <c r="F29" s="2839" t="s">
        <v>2919</v>
      </c>
      <c r="G29" s="2840"/>
      <c r="H29" s="2840"/>
      <c r="I29" s="2840"/>
      <c r="J29" s="2841"/>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21"/>
      <c r="AH29" s="2721"/>
      <c r="AI29" s="2721"/>
      <c r="AJ29" s="2721"/>
    </row>
    <row r="30" spans="1:37" ht="25.8" thickBot="1">
      <c r="A30" s="2842"/>
      <c r="B30" s="2843" t="s">
        <v>2920</v>
      </c>
      <c r="C30" s="229" t="e">
        <f>ROUND(IF(E2="工业",C29*M39,C29*M38),0)</f>
        <v>#DIV/0!</v>
      </c>
      <c r="D30" s="2844"/>
      <c r="E30" s="942" t="e">
        <f>ROUND(C30*D30/10000,0)</f>
        <v>#DIV/0!</v>
      </c>
      <c r="F30" s="2845" t="s">
        <v>2921</v>
      </c>
      <c r="G30" s="2846"/>
      <c r="H30" s="2846"/>
      <c r="I30" s="2846"/>
      <c r="J30" s="2847"/>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21"/>
      <c r="AH30" s="2721"/>
      <c r="AI30" s="2721"/>
      <c r="AJ30" s="2721"/>
    </row>
    <row r="31" spans="1:37" ht="13.8">
      <c r="A31" s="2848"/>
      <c r="B31" s="2849" t="s">
        <v>2922</v>
      </c>
      <c r="C31" s="2850" t="s">
        <v>2923</v>
      </c>
      <c r="D31" s="2762"/>
      <c r="E31" s="2850"/>
      <c r="F31" s="2850"/>
      <c r="G31" s="2760" t="s">
        <v>2924</v>
      </c>
      <c r="H31" s="2762"/>
      <c r="I31" s="2851"/>
      <c r="J31" s="2763"/>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21"/>
      <c r="AH31" s="2721"/>
      <c r="AI31" s="2721"/>
      <c r="AJ31" s="2721"/>
    </row>
    <row r="32" spans="1:37" ht="36">
      <c r="A32" s="2836"/>
      <c r="B32" s="2852"/>
      <c r="C32" s="501" t="s">
        <v>2915</v>
      </c>
      <c r="D32" s="498" t="s">
        <v>2916</v>
      </c>
      <c r="E32" s="498" t="s">
        <v>2917</v>
      </c>
      <c r="F32" s="388" t="s">
        <v>2925</v>
      </c>
      <c r="G32" s="2853" t="s">
        <v>2915</v>
      </c>
      <c r="H32" s="2853" t="s">
        <v>2916</v>
      </c>
      <c r="I32" s="2853"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21"/>
      <c r="AH32" s="2721"/>
      <c r="AI32" s="2721"/>
      <c r="AJ32" s="2721"/>
    </row>
    <row r="33" spans="1:37" ht="36" customHeight="1">
      <c r="A33" s="3337" t="s">
        <v>2926</v>
      </c>
      <c r="B33" s="2854" t="s">
        <v>2927</v>
      </c>
      <c r="C33" s="206" t="e">
        <f>ROUND(D5*C19*C20*C24*F33,0)</f>
        <v>#DIV/0!</v>
      </c>
      <c r="D33" s="2838"/>
      <c r="E33" s="200" t="e">
        <f>ROUND(C33*D33/10000,0)</f>
        <v>#DIV/0!</v>
      </c>
      <c r="F33" s="200">
        <f>SUMIF(修正!A45:A56,G2,修正!B45:B56)</f>
        <v>0</v>
      </c>
      <c r="G33" s="200" t="e">
        <f t="shared" ref="G33" si="6">ROUND(IF(E2="工业",C33*$M$39,C33*$M$38),0)</f>
        <v>#DIV/0!</v>
      </c>
      <c r="H33" s="200">
        <f>D33</f>
        <v>0</v>
      </c>
      <c r="I33" s="200" t="e">
        <f>ROUND(G33*H33/10000,0)</f>
        <v>#DIV/0!</v>
      </c>
      <c r="J33" s="285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338"/>
      <c r="B34" s="2766" t="s">
        <v>2928</v>
      </c>
      <c r="C34" s="206" t="e">
        <f>ROUND(D5*C19*C20*C24*F34,0)</f>
        <v>#DIV/0!</v>
      </c>
      <c r="D34" s="283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38"/>
      <c r="B35" s="2766" t="s">
        <v>2929</v>
      </c>
      <c r="C35" s="206" t="e">
        <f>ROUND(D5*C19*C20*C24*F35,0)</f>
        <v>#DIV/0!</v>
      </c>
      <c r="D35" s="2838"/>
      <c r="E35" s="200" t="e">
        <f t="shared" si="7"/>
        <v>#DIV/0!</v>
      </c>
      <c r="F35" s="200">
        <f>SUMIF(修正!A45:A56,G2,修正!D45:D56)</f>
        <v>0</v>
      </c>
      <c r="G35" s="200" t="e">
        <f>ROUND(IF(E2="工业",C35*$M$39,C35*$M$38),0)</f>
        <v>#DIV/0!</v>
      </c>
      <c r="H35" s="200">
        <f t="shared" si="8"/>
        <v>0</v>
      </c>
      <c r="I35" s="200" t="e">
        <f t="shared" si="9"/>
        <v>#DIV/0!</v>
      </c>
      <c r="J35" s="2855"/>
      <c r="K35" s="1370"/>
      <c r="L35" s="1370"/>
      <c r="M35" s="1370"/>
      <c r="N35" s="1370"/>
      <c r="O35" s="1370"/>
      <c r="P35" s="1370"/>
      <c r="Q35" s="1370"/>
      <c r="R35" s="1370"/>
      <c r="S35" s="1370"/>
      <c r="T35" s="1370"/>
      <c r="U35" s="1370"/>
      <c r="V35" s="1370"/>
      <c r="W35" s="1370"/>
      <c r="X35" s="1370"/>
      <c r="Y35" s="1370"/>
      <c r="Z35" s="1371"/>
    </row>
    <row r="36" spans="1:37" ht="13.8" thickBot="1">
      <c r="A36" s="3339"/>
      <c r="B36" s="2766" t="s">
        <v>2930</v>
      </c>
      <c r="C36" s="206" t="e">
        <f>ROUND(D5*C19*C20*C24*F36,0)</f>
        <v>#DIV/0!</v>
      </c>
      <c r="D36" s="2838"/>
      <c r="E36" s="200" t="e">
        <f t="shared" si="7"/>
        <v>#DIV/0!</v>
      </c>
      <c r="F36" s="200">
        <f>SUMIF(修正!A45:A56,G2,修正!E45:E56)</f>
        <v>0</v>
      </c>
      <c r="G36" s="200" t="e">
        <f>ROUND(IF(E2="工业",C36*$M$39,C36*$M$38),0)</f>
        <v>#DIV/0!</v>
      </c>
      <c r="H36" s="200">
        <f t="shared" si="8"/>
        <v>0</v>
      </c>
      <c r="I36" s="200" t="e">
        <f t="shared" si="9"/>
        <v>#DIV/0!</v>
      </c>
      <c r="J36" s="2855"/>
      <c r="K36" s="1370"/>
      <c r="L36" s="2720"/>
      <c r="M36" s="2720"/>
      <c r="N36" s="1370"/>
      <c r="O36" s="1370"/>
      <c r="P36" s="1370"/>
      <c r="Q36" s="1370"/>
      <c r="R36" s="1370"/>
      <c r="S36" s="1370"/>
      <c r="T36" s="1370"/>
      <c r="U36" s="1370"/>
      <c r="V36" s="1370"/>
      <c r="W36" s="1370"/>
      <c r="X36" s="1370"/>
      <c r="Y36" s="1370"/>
      <c r="Z36" s="1371"/>
    </row>
    <row r="37" spans="1:37">
      <c r="A37" s="2856"/>
      <c r="B37" s="2766" t="s">
        <v>2931</v>
      </c>
      <c r="C37" s="200" t="e">
        <f>ROUND(D5*C19*C20*C24*F37,0)</f>
        <v>#DIV/0!</v>
      </c>
      <c r="D37" s="2838"/>
      <c r="E37" s="200" t="e">
        <f t="shared" si="7"/>
        <v>#DIV/0!</v>
      </c>
      <c r="F37" s="206">
        <f>SUMIF(修正!A45:A56,G2,修正!F45:F56)</f>
        <v>0</v>
      </c>
      <c r="G37" s="200" t="e">
        <f>ROUND(IF(E2="工业",C37*$M$39,C37*$M$38),0)</f>
        <v>#DIV/0!</v>
      </c>
      <c r="H37" s="200">
        <f t="shared" si="8"/>
        <v>0</v>
      </c>
      <c r="I37" s="200" t="e">
        <f t="shared" si="9"/>
        <v>#DIV/0!</v>
      </c>
      <c r="J37" s="2855"/>
      <c r="K37" s="1370"/>
      <c r="L37" s="2857" t="s">
        <v>2932</v>
      </c>
      <c r="M37" s="2858"/>
      <c r="N37" s="1370"/>
      <c r="O37" s="1370"/>
      <c r="P37" s="1370"/>
      <c r="Q37" s="1370"/>
      <c r="R37" s="1370"/>
      <c r="S37" s="1370"/>
      <c r="T37" s="1370"/>
      <c r="U37" s="1370"/>
      <c r="V37" s="1370"/>
      <c r="W37" s="1370"/>
      <c r="X37" s="1370"/>
      <c r="Y37" s="1370"/>
      <c r="Z37" s="1371"/>
    </row>
    <row r="38" spans="1:37">
      <c r="A38" s="2856"/>
      <c r="B38" s="2766" t="s">
        <v>2933</v>
      </c>
      <c r="C38" s="200" t="e">
        <f>ROUND(D5*C19*C41*C24*F38,0)</f>
        <v>#DIV/0!</v>
      </c>
      <c r="D38" s="2838"/>
      <c r="E38" s="200" t="e">
        <f t="shared" si="7"/>
        <v>#DIV/0!</v>
      </c>
      <c r="F38" s="206">
        <f>SUMIF(修正!A45:A56,G2,修正!G45:G56)</f>
        <v>0</v>
      </c>
      <c r="G38" s="200" t="e">
        <f>ROUND(IF(E2="工业",C38*$M$39,C38*$M$38),0)</f>
        <v>#DIV/0!</v>
      </c>
      <c r="H38" s="200">
        <f t="shared" si="8"/>
        <v>0</v>
      </c>
      <c r="I38" s="200" t="e">
        <f t="shared" si="9"/>
        <v>#DIV/0!</v>
      </c>
      <c r="J38" s="2855"/>
      <c r="K38" s="1370"/>
      <c r="L38" s="1886" t="s">
        <v>2934</v>
      </c>
      <c r="M38" s="2859">
        <v>0.25</v>
      </c>
      <c r="N38" s="1370"/>
      <c r="O38" s="1370"/>
      <c r="P38" s="1370"/>
      <c r="Q38" s="1370"/>
      <c r="R38" s="1370"/>
      <c r="S38" s="1370"/>
      <c r="T38" s="1370"/>
      <c r="U38" s="1370"/>
      <c r="V38" s="1370"/>
      <c r="W38" s="1370"/>
      <c r="X38" s="1370"/>
      <c r="Y38" s="1370"/>
      <c r="Z38" s="1371"/>
    </row>
    <row r="39" spans="1:37" ht="13.8" thickBot="1">
      <c r="A39" s="2842"/>
      <c r="B39" s="2860" t="s">
        <v>2935</v>
      </c>
      <c r="C39" s="229" t="e">
        <f>ROUND(D5*C19*C41*C24*F39,0)</f>
        <v>#DIV/0!</v>
      </c>
      <c r="D39" s="2844"/>
      <c r="E39" s="229" t="e">
        <f t="shared" si="7"/>
        <v>#DIV/0!</v>
      </c>
      <c r="F39" s="932">
        <f>SUMIF(修正!A45:A56,G2,修正!H45:H56)</f>
        <v>0</v>
      </c>
      <c r="G39" s="229" t="e">
        <f>ROUND(IF(E2="工业",C39*$M$39,C39*$M$38),0)</f>
        <v>#DIV/0!</v>
      </c>
      <c r="H39" s="229">
        <f t="shared" si="8"/>
        <v>0</v>
      </c>
      <c r="I39" s="229" t="e">
        <f t="shared" si="9"/>
        <v>#DIV/0!</v>
      </c>
      <c r="J39" s="2861"/>
      <c r="K39" s="1370"/>
      <c r="L39" s="2862" t="s">
        <v>2878</v>
      </c>
      <c r="M39" s="286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31" t="s">
        <v>3043</v>
      </c>
      <c r="C41" s="388" t="e">
        <f>ROUND(POWER(1+E41,H41-G41)*(POWER(1+E41,G41)-1)/(POWER(1+E41,H41)-1),4)</f>
        <v>#DIV/0!</v>
      </c>
      <c r="D41" s="200" t="s">
        <v>2885</v>
      </c>
      <c r="E41" s="2930">
        <f>G20</f>
        <v>0</v>
      </c>
      <c r="F41" s="200" t="s">
        <v>2894</v>
      </c>
      <c r="G41" s="218"/>
      <c r="H41" s="200">
        <v>50</v>
      </c>
      <c r="Z41" s="1371"/>
      <c r="AA41" s="1371"/>
      <c r="AB41" s="1371"/>
      <c r="AC41" s="1371"/>
      <c r="AD41" s="1371"/>
      <c r="AE41" s="1371"/>
      <c r="AF41" s="1371"/>
      <c r="AG41" s="1371"/>
      <c r="AH41" s="1371"/>
      <c r="AI41" s="1371"/>
      <c r="AJ41" s="1371"/>
    </row>
    <row r="42" spans="1:37" s="1370" customFormat="1">
      <c r="A42" s="1371"/>
      <c r="B42" s="2864"/>
      <c r="Z42" s="1371"/>
      <c r="AA42" s="1371"/>
      <c r="AB42" s="1371"/>
      <c r="AC42" s="1371"/>
      <c r="AD42" s="1371"/>
      <c r="AE42" s="1371"/>
      <c r="AF42" s="1371"/>
      <c r="AG42" s="1371"/>
      <c r="AH42" s="1371"/>
      <c r="AI42" s="1371"/>
      <c r="AJ42" s="1371"/>
    </row>
    <row r="43" spans="1:37" s="1370" customFormat="1">
      <c r="A43" s="1371"/>
      <c r="B43" s="2864"/>
      <c r="Z43" s="1371"/>
      <c r="AA43" s="1371"/>
      <c r="AB43" s="1371"/>
      <c r="AC43" s="1371"/>
      <c r="AD43" s="1371"/>
      <c r="AE43" s="1371"/>
      <c r="AF43" s="1371"/>
      <c r="AG43" s="1371"/>
      <c r="AH43" s="1371"/>
      <c r="AI43" s="1371"/>
      <c r="AJ43" s="1371"/>
    </row>
    <row r="44" spans="1:37" s="1370" customFormat="1">
      <c r="A44" s="1371"/>
      <c r="B44" s="2864"/>
      <c r="Z44" s="1371"/>
      <c r="AA44" s="1371"/>
      <c r="AB44" s="1371"/>
      <c r="AC44" s="1371"/>
      <c r="AD44" s="1371"/>
      <c r="AE44" s="1371"/>
      <c r="AF44" s="1371"/>
      <c r="AG44" s="1371"/>
      <c r="AH44" s="1371"/>
      <c r="AI44" s="1371"/>
      <c r="AJ44" s="1371"/>
    </row>
    <row r="45" spans="1:37" s="1370" customFormat="1" ht="15" thickBot="1">
      <c r="A45" s="2865" t="s">
        <v>2936</v>
      </c>
      <c r="B45" s="2866"/>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4.4">
      <c r="A46" s="2867" t="s">
        <v>2937</v>
      </c>
      <c r="B46" s="2868">
        <f>1+E48</f>
        <v>1</v>
      </c>
      <c r="C46" s="2869"/>
      <c r="D46" s="814"/>
      <c r="E46" s="815"/>
      <c r="F46" s="2870"/>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5.2">
      <c r="A47" s="2871" t="s">
        <v>2938</v>
      </c>
      <c r="B47" s="1808" t="s">
        <v>2939</v>
      </c>
      <c r="C47" s="1808" t="s">
        <v>2940</v>
      </c>
      <c r="D47" s="1808" t="s">
        <v>2941</v>
      </c>
      <c r="E47" s="819" t="s">
        <v>2942</v>
      </c>
      <c r="F47" s="2872" t="s">
        <v>2943</v>
      </c>
      <c r="G47" s="1808" t="s">
        <v>754</v>
      </c>
      <c r="H47" s="2873" t="s">
        <v>2944</v>
      </c>
      <c r="I47" s="1808" t="s">
        <v>2945</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52.8">
      <c r="A48" s="2871" t="s">
        <v>2946</v>
      </c>
      <c r="B48" s="2874" t="str">
        <f>估价对象房地状况!C4</f>
        <v>估价对象位于XX商圈，周边商业氛围成熟，人流量大，商业繁华度好</v>
      </c>
      <c r="C48" s="2771"/>
      <c r="D48" s="1286">
        <f t="shared" ref="D48:D56" si="10">SUMIF($J$47:$N$47,C48,J48:N48)</f>
        <v>0</v>
      </c>
      <c r="E48" s="821">
        <f>ROUND(SUM(D48:D56),4)</f>
        <v>0</v>
      </c>
      <c r="F48" s="2502"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c r="A49" s="2871" t="s">
        <v>2947</v>
      </c>
      <c r="B49" s="2875" t="str">
        <f>估价对象房地状况!C18</f>
        <v>估价对象周边道路状况、公共交通通达情况、停车便捷程度，综合评价交通便捷度较好</v>
      </c>
      <c r="C49" s="2771"/>
      <c r="D49" s="1286">
        <f t="shared" si="10"/>
        <v>0</v>
      </c>
      <c r="E49" s="822"/>
      <c r="F49" s="2502"/>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1" t="s">
        <v>2948</v>
      </c>
      <c r="B50" s="2875">
        <f>估价对象房地状况!C19</f>
        <v>0</v>
      </c>
      <c r="C50" s="2771"/>
      <c r="D50" s="1286">
        <f t="shared" si="10"/>
        <v>0</v>
      </c>
      <c r="E50" s="822"/>
      <c r="F50" s="2502"/>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71" t="s">
        <v>2949</v>
      </c>
      <c r="B51" s="2876" t="s">
        <v>2950</v>
      </c>
      <c r="C51" s="2771"/>
      <c r="D51" s="1286">
        <f t="shared" si="10"/>
        <v>0</v>
      </c>
      <c r="E51" s="822"/>
      <c r="F51" s="2502"/>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1" t="s">
        <v>2951</v>
      </c>
      <c r="B52" s="2875">
        <f>估价对象房地状况!C24</f>
        <v>0</v>
      </c>
      <c r="C52" s="2771"/>
      <c r="D52" s="1286">
        <f t="shared" si="10"/>
        <v>0</v>
      </c>
      <c r="E52" s="822"/>
      <c r="F52" s="2502"/>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71" t="s">
        <v>2952</v>
      </c>
      <c r="B53" s="2877" t="s">
        <v>2953</v>
      </c>
      <c r="C53" s="2771"/>
      <c r="D53" s="1286">
        <f t="shared" si="10"/>
        <v>0</v>
      </c>
      <c r="E53" s="822"/>
      <c r="F53" s="2502"/>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c r="A54" s="2878" t="s">
        <v>2954</v>
      </c>
      <c r="B54" s="1724" t="str">
        <f>估价对象房地状况!C21</f>
        <v>估价对象所在区域公共配套设施齐备情况</v>
      </c>
      <c r="C54" s="2771"/>
      <c r="D54" s="1286">
        <f t="shared" si="10"/>
        <v>0</v>
      </c>
      <c r="E54" s="822"/>
      <c r="F54" s="2502"/>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78" t="s">
        <v>2955</v>
      </c>
      <c r="B55" s="2875" t="str">
        <f>估价对象房地状况!C22</f>
        <v>估价对象所在区域基础设施水平</v>
      </c>
      <c r="C55" s="2771"/>
      <c r="D55" s="1286">
        <f t="shared" si="10"/>
        <v>0</v>
      </c>
      <c r="E55" s="822"/>
      <c r="F55" s="2502"/>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79" t="s">
        <v>2956</v>
      </c>
      <c r="B56" s="2880" t="str">
        <f>估价对象房地状况!C20</f>
        <v>区域自然环境：；人文环境；综合评价环境状况一般</v>
      </c>
      <c r="C56" s="2771"/>
      <c r="D56" s="1286">
        <f t="shared" si="10"/>
        <v>0</v>
      </c>
      <c r="E56" s="825"/>
      <c r="F56" s="2502"/>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7" t="s">
        <v>2957</v>
      </c>
      <c r="B57" s="2868">
        <f>1+E59</f>
        <v>1</v>
      </c>
      <c r="C57" s="814"/>
      <c r="D57" s="814"/>
      <c r="E57" s="815"/>
      <c r="F57" s="287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71" t="s">
        <v>2938</v>
      </c>
      <c r="B58" s="1808"/>
      <c r="C58" s="1808" t="s">
        <v>2940</v>
      </c>
      <c r="D58" s="1808" t="s">
        <v>2941</v>
      </c>
      <c r="E58" s="819" t="s">
        <v>2942</v>
      </c>
      <c r="F58" s="2872" t="s">
        <v>2958</v>
      </c>
      <c r="G58" s="1808" t="s">
        <v>754</v>
      </c>
      <c r="H58" s="2873" t="s">
        <v>2944</v>
      </c>
      <c r="I58" s="1808" t="s">
        <v>2945</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52.8">
      <c r="A59" s="2871" t="s">
        <v>2959</v>
      </c>
      <c r="B59" s="2874" t="str">
        <f>估价对象房地状况!C17</f>
        <v>估价对象位于XX商圈，周边办公楼项目较多，入驻率高，办公集聚程度较好</v>
      </c>
      <c r="C59" s="2771"/>
      <c r="D59" s="1286">
        <f t="shared" ref="D59:D67" si="15">SUMIF($J$58:$N$58,C59,J59:N59)</f>
        <v>0</v>
      </c>
      <c r="E59" s="821">
        <f>ROUND(SUM(D59:D67),4)</f>
        <v>0</v>
      </c>
      <c r="F59" s="2502"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6">
      <c r="A60" s="2871" t="s">
        <v>2947</v>
      </c>
      <c r="B60" s="2875" t="str">
        <f>估价对象房地状况!C18</f>
        <v>估价对象周边道路状况、公共交通通达情况、停车便捷程度，综合评价交通便捷度较好</v>
      </c>
      <c r="C60" s="2771"/>
      <c r="D60" s="1286">
        <f t="shared" si="15"/>
        <v>0</v>
      </c>
      <c r="E60" s="822"/>
      <c r="F60" s="2502"/>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1" t="s">
        <v>2948</v>
      </c>
      <c r="B61" s="2875">
        <f>估价对象房地状况!C19</f>
        <v>0</v>
      </c>
      <c r="C61" s="2771"/>
      <c r="D61" s="1286">
        <f t="shared" si="15"/>
        <v>0</v>
      </c>
      <c r="E61" s="822"/>
      <c r="F61" s="2502"/>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71" t="s">
        <v>2949</v>
      </c>
      <c r="B62" s="2876" t="s">
        <v>2950</v>
      </c>
      <c r="C62" s="2771"/>
      <c r="D62" s="1286">
        <f t="shared" si="15"/>
        <v>0</v>
      </c>
      <c r="E62" s="822"/>
      <c r="F62" s="2502"/>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1" t="s">
        <v>2951</v>
      </c>
      <c r="B63" s="2875">
        <f>估价对象房地状况!C24</f>
        <v>0</v>
      </c>
      <c r="C63" s="2771"/>
      <c r="D63" s="1286">
        <f t="shared" si="15"/>
        <v>0</v>
      </c>
      <c r="E63" s="822"/>
      <c r="F63" s="2502"/>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71" t="s">
        <v>2952</v>
      </c>
      <c r="B64" s="2877" t="s">
        <v>2953</v>
      </c>
      <c r="C64" s="2771"/>
      <c r="D64" s="1286">
        <f t="shared" si="15"/>
        <v>0</v>
      </c>
      <c r="E64" s="822"/>
      <c r="F64" s="2502"/>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4">
      <c r="A65" s="2871" t="s">
        <v>2954</v>
      </c>
      <c r="B65" s="1724" t="str">
        <f>估价对象房地状况!C21</f>
        <v>估价对象所在区域公共配套设施齐备情况</v>
      </c>
      <c r="C65" s="2771"/>
      <c r="D65" s="1286">
        <f t="shared" si="15"/>
        <v>0</v>
      </c>
      <c r="E65" s="822"/>
      <c r="F65" s="2502"/>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71" t="s">
        <v>2955</v>
      </c>
      <c r="B66" s="1724" t="str">
        <f>估价对象房地状况!C22</f>
        <v>估价对象所在区域基础设施水平</v>
      </c>
      <c r="C66" s="2771"/>
      <c r="D66" s="1286">
        <f t="shared" si="15"/>
        <v>0</v>
      </c>
      <c r="E66" s="822"/>
      <c r="F66" s="2502"/>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thickBot="1">
      <c r="A67" s="2879" t="s">
        <v>2956</v>
      </c>
      <c r="B67" s="2881" t="str">
        <f>估价对象房地状况!C20</f>
        <v>区域自然环境：；人文环境；综合评价环境状况一般</v>
      </c>
      <c r="C67" s="2771"/>
      <c r="D67" s="1286">
        <f t="shared" si="15"/>
        <v>0</v>
      </c>
      <c r="E67" s="825"/>
      <c r="F67" s="2502"/>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7" t="s">
        <v>2960</v>
      </c>
      <c r="B68" s="2868">
        <f>1+E70</f>
        <v>1</v>
      </c>
      <c r="C68" s="814"/>
      <c r="D68" s="814"/>
      <c r="E68" s="815"/>
      <c r="F68" s="287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71" t="s">
        <v>2938</v>
      </c>
      <c r="B69" s="1808"/>
      <c r="C69" s="1808" t="s">
        <v>2940</v>
      </c>
      <c r="D69" s="1808" t="s">
        <v>2941</v>
      </c>
      <c r="E69" s="819" t="s">
        <v>2942</v>
      </c>
      <c r="F69" s="2872" t="s">
        <v>2958</v>
      </c>
      <c r="G69" s="1808" t="s">
        <v>754</v>
      </c>
      <c r="H69" s="2873" t="s">
        <v>2944</v>
      </c>
      <c r="I69" s="1808" t="s">
        <v>2945</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66">
      <c r="A70" s="2871" t="s">
        <v>2961</v>
      </c>
      <c r="B70" s="2874" t="str">
        <f>估价对象房地状况!C15</f>
        <v>估价对象周边居住用地比例、居住小区规模和社区发展完善程度，综合评价居住社区成熟度一般</v>
      </c>
      <c r="C70" s="2771"/>
      <c r="D70" s="1286">
        <f t="shared" ref="D70:D78" si="20">SUMIF($J$69:$N$69,C70,J70:N70)</f>
        <v>0</v>
      </c>
      <c r="E70" s="821">
        <f>ROUND(SUM(D70:D78),4)</f>
        <v>0</v>
      </c>
      <c r="F70" s="2502"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6">
      <c r="A71" s="2871" t="s">
        <v>2947</v>
      </c>
      <c r="B71" s="2875" t="str">
        <f>估价对象房地状况!C18</f>
        <v>估价对象周边道路状况、公共交通通达情况、停车便捷程度，综合评价交通便捷度较好</v>
      </c>
      <c r="C71" s="2771"/>
      <c r="D71" s="1286">
        <f t="shared" si="20"/>
        <v>0</v>
      </c>
      <c r="E71" s="826"/>
      <c r="F71" s="2502"/>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1" t="s">
        <v>2948</v>
      </c>
      <c r="B72" s="2875">
        <f>估价对象房地状况!C19</f>
        <v>0</v>
      </c>
      <c r="C72" s="2771"/>
      <c r="D72" s="1286">
        <f t="shared" si="20"/>
        <v>0</v>
      </c>
      <c r="E72" s="826"/>
      <c r="F72" s="2502"/>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71" t="s">
        <v>2962</v>
      </c>
      <c r="B73" s="2875">
        <f>估价对象房地状况!C24</f>
        <v>0</v>
      </c>
      <c r="C73" s="2771"/>
      <c r="D73" s="1286">
        <f t="shared" si="20"/>
        <v>0</v>
      </c>
      <c r="E73" s="826"/>
      <c r="F73" s="2502"/>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4">
      <c r="A74" s="2871" t="s">
        <v>2954</v>
      </c>
      <c r="B74" s="1724" t="str">
        <f>估价对象房地状况!C21</f>
        <v>估价对象所在区域公共配套设施齐备情况</v>
      </c>
      <c r="C74" s="2771"/>
      <c r="D74" s="1286">
        <f t="shared" si="20"/>
        <v>0</v>
      </c>
      <c r="E74" s="826"/>
      <c r="F74" s="2502"/>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71" t="s">
        <v>2955</v>
      </c>
      <c r="B75" s="1724" t="str">
        <f>估价对象房地状况!C22</f>
        <v>估价对象所在区域基础设施水平</v>
      </c>
      <c r="C75" s="2771"/>
      <c r="D75" s="1286">
        <f t="shared" si="20"/>
        <v>0</v>
      </c>
      <c r="E75" s="826"/>
      <c r="F75" s="2502"/>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0" customFormat="1" ht="36">
      <c r="A76" s="2871" t="s">
        <v>2952</v>
      </c>
      <c r="B76" s="2877" t="s">
        <v>2953</v>
      </c>
      <c r="C76" s="2771"/>
      <c r="D76" s="1286">
        <f t="shared" si="20"/>
        <v>0</v>
      </c>
      <c r="E76" s="826"/>
      <c r="F76" s="2502"/>
      <c r="G76" s="1284"/>
      <c r="H76" s="1288" t="str">
        <f t="shared" si="21"/>
        <v>——</v>
      </c>
      <c r="I76" s="820">
        <v>0.05</v>
      </c>
      <c r="J76" s="1285">
        <f t="shared" si="22"/>
        <v>0</v>
      </c>
      <c r="K76" s="1285">
        <f t="shared" si="23"/>
        <v>0</v>
      </c>
      <c r="L76" s="1285">
        <v>0</v>
      </c>
      <c r="M76" s="1285">
        <f t="shared" si="24"/>
        <v>0</v>
      </c>
      <c r="N76" s="1285">
        <f t="shared" si="24"/>
        <v>0</v>
      </c>
      <c r="AA76" s="2882"/>
      <c r="AB76" s="1371"/>
      <c r="AC76" s="1371"/>
      <c r="AD76" s="1371"/>
      <c r="AE76" s="1371"/>
      <c r="AF76" s="1371"/>
      <c r="AG76" s="1371"/>
      <c r="AH76" s="2882"/>
      <c r="AI76" s="2882"/>
      <c r="AJ76" s="2882"/>
      <c r="AK76" s="2882"/>
    </row>
    <row r="77" spans="1:37" ht="39.6">
      <c r="A77" s="2871" t="s">
        <v>2956</v>
      </c>
      <c r="B77" s="2874" t="str">
        <f>估价对象房地状况!C20</f>
        <v>区域自然环境：；人文环境；综合评价环境状况一般</v>
      </c>
      <c r="C77" s="2771"/>
      <c r="D77" s="1286">
        <f t="shared" si="20"/>
        <v>0</v>
      </c>
      <c r="E77" s="826"/>
      <c r="F77" s="2502"/>
      <c r="G77" s="1284"/>
      <c r="H77" s="1288" t="str">
        <f t="shared" si="21"/>
        <v>——</v>
      </c>
      <c r="I77" s="820">
        <v>0.15</v>
      </c>
      <c r="J77" s="1285">
        <f t="shared" si="22"/>
        <v>0</v>
      </c>
      <c r="K77" s="1285">
        <f t="shared" si="23"/>
        <v>0</v>
      </c>
      <c r="L77" s="1285">
        <v>0</v>
      </c>
      <c r="M77" s="1285">
        <f t="shared" si="24"/>
        <v>0</v>
      </c>
      <c r="N77" s="1285">
        <f t="shared" si="24"/>
        <v>0</v>
      </c>
      <c r="Z77" s="2721"/>
      <c r="AA77" s="2789"/>
      <c r="AG77" s="1372"/>
      <c r="AK77" s="2789"/>
    </row>
    <row r="78" spans="1:37" ht="36.6" thickBot="1">
      <c r="A78" s="2879" t="s">
        <v>2963</v>
      </c>
      <c r="B78" s="2883"/>
      <c r="C78" s="2771"/>
      <c r="D78" s="1286">
        <f t="shared" si="20"/>
        <v>0</v>
      </c>
      <c r="E78" s="827"/>
      <c r="F78" s="2502"/>
      <c r="G78" s="1284"/>
      <c r="H78" s="1288" t="str">
        <f t="shared" si="21"/>
        <v>——</v>
      </c>
      <c r="I78" s="824">
        <v>0.04</v>
      </c>
      <c r="J78" s="1285">
        <f t="shared" si="22"/>
        <v>0</v>
      </c>
      <c r="K78" s="1285">
        <f t="shared" si="23"/>
        <v>0</v>
      </c>
      <c r="L78" s="1285">
        <v>0</v>
      </c>
      <c r="M78" s="1285">
        <f t="shared" si="24"/>
        <v>0</v>
      </c>
      <c r="N78" s="1285">
        <f t="shared" si="24"/>
        <v>0</v>
      </c>
      <c r="Z78" s="2721"/>
      <c r="AA78" s="2789"/>
      <c r="AG78" s="1372"/>
      <c r="AK78" s="2789"/>
    </row>
    <row r="79" spans="1:37" ht="14.4">
      <c r="A79" s="2867" t="s">
        <v>2964</v>
      </c>
      <c r="B79" s="2868">
        <f>1+E81</f>
        <v>1</v>
      </c>
      <c r="C79" s="814"/>
      <c r="D79" s="814"/>
      <c r="E79" s="815"/>
      <c r="F79" s="2870"/>
      <c r="G79" s="6"/>
      <c r="H79" s="6"/>
      <c r="I79" s="6"/>
      <c r="J79" s="7"/>
      <c r="K79" s="7"/>
      <c r="L79" s="7"/>
      <c r="M79" s="7"/>
      <c r="N79" s="7"/>
      <c r="Z79" s="2721"/>
      <c r="AA79" s="2789"/>
      <c r="AG79" s="1372"/>
      <c r="AK79" s="2789"/>
    </row>
    <row r="80" spans="1:37" ht="25.2">
      <c r="A80" s="2871" t="s">
        <v>2938</v>
      </c>
      <c r="B80" s="1808"/>
      <c r="C80" s="1808" t="s">
        <v>2940</v>
      </c>
      <c r="D80" s="1808" t="s">
        <v>2941</v>
      </c>
      <c r="E80" s="819" t="s">
        <v>2942</v>
      </c>
      <c r="F80" s="2872" t="s">
        <v>2958</v>
      </c>
      <c r="G80" s="1808" t="s">
        <v>754</v>
      </c>
      <c r="H80" s="2873" t="s">
        <v>2944</v>
      </c>
      <c r="I80" s="1808" t="s">
        <v>2945</v>
      </c>
      <c r="J80" s="603" t="s">
        <v>2594</v>
      </c>
      <c r="K80" s="603" t="s">
        <v>2595</v>
      </c>
      <c r="L80" s="603" t="s">
        <v>2596</v>
      </c>
      <c r="M80" s="603" t="s">
        <v>2597</v>
      </c>
      <c r="N80" s="603" t="s">
        <v>2598</v>
      </c>
      <c r="Z80" s="2721"/>
      <c r="AA80" s="2789"/>
      <c r="AG80" s="1372"/>
      <c r="AK80" s="2789"/>
    </row>
    <row r="81" spans="1:37" ht="39.6">
      <c r="A81" s="2871" t="s">
        <v>2965</v>
      </c>
      <c r="B81" s="2875" t="str">
        <f>估价对象房地状况!G15</f>
        <v>估价对象位于XX开发区，园区建设成熟度XX，产业集聚程度XX</v>
      </c>
      <c r="C81" s="2771"/>
      <c r="D81" s="1286">
        <f t="shared" ref="D81:D88" si="25">SUMIF($J$80:$N$80,C81,J81:N81)</f>
        <v>0</v>
      </c>
      <c r="E81" s="821">
        <f>ROUND(SUM(D81:D88),4)</f>
        <v>0</v>
      </c>
      <c r="F81" s="2502"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1"/>
      <c r="AA81" s="2789"/>
      <c r="AG81" s="1372"/>
      <c r="AK81" s="2789"/>
    </row>
    <row r="82" spans="1:37" ht="66">
      <c r="A82" s="2871" t="s">
        <v>2947</v>
      </c>
      <c r="B82" s="2875" t="str">
        <f>估价对象房地状况!G16</f>
        <v>估价对象周边道路状况、公共交通通达情况、停车便捷程度，综合评价交通便捷度较好</v>
      </c>
      <c r="C82" s="2771"/>
      <c r="D82" s="1286">
        <f t="shared" si="25"/>
        <v>0</v>
      </c>
      <c r="E82" s="826"/>
      <c r="F82" s="2502"/>
      <c r="G82" s="1284"/>
      <c r="H82" s="1288" t="str">
        <f t="shared" si="26"/>
        <v>——</v>
      </c>
      <c r="I82" s="820">
        <v>0.33</v>
      </c>
      <c r="J82" s="1285">
        <f t="shared" si="27"/>
        <v>0</v>
      </c>
      <c r="K82" s="1285">
        <f t="shared" si="28"/>
        <v>0</v>
      </c>
      <c r="L82" s="1285">
        <v>0</v>
      </c>
      <c r="M82" s="1285">
        <f t="shared" si="29"/>
        <v>0</v>
      </c>
      <c r="N82" s="1285">
        <f t="shared" si="29"/>
        <v>0</v>
      </c>
      <c r="Z82" s="2721"/>
      <c r="AA82" s="2789"/>
      <c r="AG82" s="1372"/>
      <c r="AK82" s="2789"/>
    </row>
    <row r="83" spans="1:37" ht="24">
      <c r="A83" s="2871" t="s">
        <v>2948</v>
      </c>
      <c r="B83" s="2875">
        <f>估价对象房地状况!G17</f>
        <v>0</v>
      </c>
      <c r="C83" s="2771"/>
      <c r="D83" s="1286">
        <f t="shared" si="25"/>
        <v>0</v>
      </c>
      <c r="E83" s="826"/>
      <c r="F83" s="2502"/>
      <c r="G83" s="1284"/>
      <c r="H83" s="1288" t="str">
        <f t="shared" si="26"/>
        <v>——</v>
      </c>
      <c r="I83" s="820">
        <v>0.05</v>
      </c>
      <c r="J83" s="1285">
        <f t="shared" si="27"/>
        <v>0</v>
      </c>
      <c r="K83" s="1285">
        <f t="shared" si="28"/>
        <v>0</v>
      </c>
      <c r="L83" s="1285">
        <v>0</v>
      </c>
      <c r="M83" s="1285">
        <f t="shared" si="29"/>
        <v>0</v>
      </c>
      <c r="N83" s="1285">
        <f t="shared" si="29"/>
        <v>0</v>
      </c>
      <c r="Z83" s="2721"/>
      <c r="AA83" s="2789"/>
      <c r="AG83" s="1372"/>
      <c r="AK83" s="2789"/>
    </row>
    <row r="84" spans="1:37" ht="13.8">
      <c r="A84" s="2871" t="s">
        <v>2962</v>
      </c>
      <c r="B84" s="2875">
        <f>估价对象房地状况!G22</f>
        <v>0</v>
      </c>
      <c r="C84" s="2771"/>
      <c r="D84" s="1286">
        <f t="shared" si="25"/>
        <v>0</v>
      </c>
      <c r="E84" s="826"/>
      <c r="F84" s="2502"/>
      <c r="G84" s="1284"/>
      <c r="H84" s="1288" t="str">
        <f t="shared" si="26"/>
        <v>——</v>
      </c>
      <c r="I84" s="820">
        <v>0.04</v>
      </c>
      <c r="J84" s="1285">
        <f t="shared" si="27"/>
        <v>0</v>
      </c>
      <c r="K84" s="1285">
        <f t="shared" si="28"/>
        <v>0</v>
      </c>
      <c r="L84" s="1285">
        <v>0</v>
      </c>
      <c r="M84" s="1285">
        <f t="shared" si="29"/>
        <v>0</v>
      </c>
      <c r="N84" s="1285">
        <f t="shared" si="29"/>
        <v>0</v>
      </c>
      <c r="Z84" s="2721"/>
      <c r="AA84" s="2789"/>
      <c r="AG84" s="1372"/>
      <c r="AK84" s="2789"/>
    </row>
    <row r="85" spans="1:37" ht="26.4">
      <c r="A85" s="2871" t="s">
        <v>2954</v>
      </c>
      <c r="B85" s="1724" t="str">
        <f>估价对象房地状况!G19</f>
        <v>估价对象所在区域公共配套设施齐备情况</v>
      </c>
      <c r="C85" s="2771"/>
      <c r="D85" s="1286">
        <f t="shared" si="25"/>
        <v>0</v>
      </c>
      <c r="E85" s="826"/>
      <c r="F85" s="2502"/>
      <c r="G85" s="1284"/>
      <c r="H85" s="1288" t="str">
        <f t="shared" si="26"/>
        <v>——</v>
      </c>
      <c r="I85" s="820">
        <v>0.06</v>
      </c>
      <c r="J85" s="1285">
        <f t="shared" si="27"/>
        <v>0</v>
      </c>
      <c r="K85" s="1285">
        <f t="shared" si="28"/>
        <v>0</v>
      </c>
      <c r="L85" s="1285">
        <v>0</v>
      </c>
      <c r="M85" s="1285">
        <f t="shared" si="29"/>
        <v>0</v>
      </c>
      <c r="N85" s="1285">
        <f t="shared" si="29"/>
        <v>0</v>
      </c>
      <c r="Z85" s="2721"/>
      <c r="AA85" s="2789"/>
      <c r="AG85" s="1372"/>
      <c r="AK85" s="2789"/>
    </row>
    <row r="86" spans="1:37" ht="26.4">
      <c r="A86" s="2871" t="s">
        <v>2955</v>
      </c>
      <c r="B86" s="1724" t="str">
        <f>估价对象房地状况!G20</f>
        <v>估价对象所在区域基础设施水平</v>
      </c>
      <c r="C86" s="2771"/>
      <c r="D86" s="1286">
        <f t="shared" si="25"/>
        <v>0</v>
      </c>
      <c r="E86" s="826"/>
      <c r="F86" s="2502"/>
      <c r="G86" s="1284"/>
      <c r="H86" s="1288" t="str">
        <f t="shared" si="26"/>
        <v>——</v>
      </c>
      <c r="I86" s="820">
        <v>0.15</v>
      </c>
      <c r="J86" s="1285">
        <f t="shared" si="27"/>
        <v>0</v>
      </c>
      <c r="K86" s="1285">
        <f t="shared" si="28"/>
        <v>0</v>
      </c>
      <c r="L86" s="1285">
        <v>0</v>
      </c>
      <c r="M86" s="1285">
        <f t="shared" si="29"/>
        <v>0</v>
      </c>
      <c r="N86" s="1285">
        <f t="shared" si="29"/>
        <v>0</v>
      </c>
      <c r="Z86" s="2721"/>
      <c r="AA86" s="2789"/>
      <c r="AG86" s="1372"/>
      <c r="AK86" s="2789"/>
    </row>
    <row r="87" spans="1:37" ht="36">
      <c r="A87" s="2871" t="s">
        <v>2952</v>
      </c>
      <c r="B87" s="2877" t="s">
        <v>2966</v>
      </c>
      <c r="C87" s="2771"/>
      <c r="D87" s="1286">
        <f t="shared" si="25"/>
        <v>0</v>
      </c>
      <c r="E87" s="826"/>
      <c r="F87" s="2502"/>
      <c r="G87" s="1284"/>
      <c r="H87" s="1288" t="str">
        <f t="shared" si="26"/>
        <v>——</v>
      </c>
      <c r="I87" s="820">
        <v>0.05</v>
      </c>
      <c r="J87" s="1285">
        <f t="shared" si="27"/>
        <v>0</v>
      </c>
      <c r="K87" s="1285">
        <f t="shared" si="28"/>
        <v>0</v>
      </c>
      <c r="L87" s="1285">
        <v>0</v>
      </c>
      <c r="M87" s="1285">
        <f t="shared" si="29"/>
        <v>0</v>
      </c>
      <c r="N87" s="1285">
        <f t="shared" si="29"/>
        <v>0</v>
      </c>
      <c r="Z87" s="2721"/>
      <c r="AA87" s="2789"/>
      <c r="AG87" s="1372"/>
      <c r="AK87" s="2789"/>
    </row>
    <row r="88" spans="1:37" ht="53.4" thickBot="1">
      <c r="A88" s="2879" t="s">
        <v>2967</v>
      </c>
      <c r="B88" s="2884" t="str">
        <f>估价对象房地状况!G18</f>
        <v>该园区内是否有污染型企业，绿化情况，卫生条件，整体环境状况判断</v>
      </c>
      <c r="C88" s="2771"/>
      <c r="D88" s="1286">
        <f t="shared" si="25"/>
        <v>0</v>
      </c>
      <c r="E88" s="827"/>
      <c r="F88" s="2502"/>
      <c r="G88" s="1284"/>
      <c r="H88" s="1288" t="str">
        <f t="shared" si="26"/>
        <v>——</v>
      </c>
      <c r="I88" s="824">
        <v>0.06</v>
      </c>
      <c r="J88" s="1285">
        <f t="shared" si="27"/>
        <v>0</v>
      </c>
      <c r="K88" s="1285">
        <f t="shared" si="28"/>
        <v>0</v>
      </c>
      <c r="L88" s="1285">
        <v>0</v>
      </c>
      <c r="M88" s="1285">
        <f t="shared" si="29"/>
        <v>0</v>
      </c>
      <c r="N88" s="1285">
        <f t="shared" si="29"/>
        <v>0</v>
      </c>
      <c r="Z88" s="2721"/>
      <c r="AA88" s="2789"/>
      <c r="AG88" s="1372"/>
      <c r="AK88" s="2789"/>
    </row>
    <row r="90" spans="1:37">
      <c r="A90" s="3331" t="s">
        <v>2968</v>
      </c>
      <c r="B90" s="3331"/>
      <c r="C90" s="3331"/>
      <c r="D90" s="3331"/>
      <c r="E90" s="3331"/>
      <c r="F90" s="3331"/>
      <c r="G90" s="3331"/>
      <c r="H90" s="3331"/>
      <c r="I90" s="3331"/>
      <c r="J90" s="3331"/>
      <c r="K90" s="2885"/>
      <c r="L90" s="2885"/>
      <c r="M90" s="2885"/>
      <c r="N90" s="2885"/>
    </row>
    <row r="91" spans="1:37">
      <c r="A91" s="3333" t="s">
        <v>2969</v>
      </c>
      <c r="B91" s="3333" t="s">
        <v>2970</v>
      </c>
      <c r="C91" s="2839" t="s">
        <v>2971</v>
      </c>
      <c r="D91" s="2840"/>
      <c r="E91" s="2840"/>
      <c r="F91" s="2840"/>
      <c r="G91" s="2840"/>
      <c r="H91" s="2840"/>
      <c r="I91" s="2840"/>
      <c r="J91" s="2886"/>
      <c r="K91" s="2887"/>
      <c r="L91" s="2887"/>
      <c r="M91" s="2887"/>
      <c r="N91" s="2887"/>
    </row>
    <row r="92" spans="1:37">
      <c r="A92" s="3333"/>
      <c r="B92" s="3333"/>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334" t="s">
        <v>2972</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335"/>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335"/>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335"/>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335"/>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335"/>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335"/>
      <c r="B99" s="2888" t="s">
        <v>2853</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336"/>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334" t="s">
        <v>2973</v>
      </c>
      <c r="B101" s="2892" t="s">
        <v>2974</v>
      </c>
      <c r="C101" s="2893" t="e">
        <f>$G$3</f>
        <v>#DIV/0!</v>
      </c>
      <c r="D101" s="2893" t="e">
        <f t="shared" ref="D101:N101" si="31">$G$3</f>
        <v>#DIV/0!</v>
      </c>
      <c r="E101" s="2893" t="e">
        <f t="shared" si="31"/>
        <v>#DIV/0!</v>
      </c>
      <c r="F101" s="2893" t="e">
        <f t="shared" si="31"/>
        <v>#DIV/0!</v>
      </c>
      <c r="G101" s="2893" t="e">
        <f t="shared" si="31"/>
        <v>#DIV/0!</v>
      </c>
      <c r="H101" s="2893" t="e">
        <f t="shared" si="31"/>
        <v>#DIV/0!</v>
      </c>
      <c r="I101" s="2893" t="e">
        <f t="shared" si="31"/>
        <v>#DIV/0!</v>
      </c>
      <c r="J101" s="2893" t="e">
        <f t="shared" si="31"/>
        <v>#DIV/0!</v>
      </c>
      <c r="K101" s="2893" t="e">
        <f t="shared" si="31"/>
        <v>#DIV/0!</v>
      </c>
      <c r="L101" s="2893" t="e">
        <f t="shared" si="31"/>
        <v>#DIV/0!</v>
      </c>
      <c r="M101" s="2893" t="e">
        <f t="shared" si="31"/>
        <v>#DIV/0!</v>
      </c>
      <c r="N101" s="2893" t="e">
        <f t="shared" si="31"/>
        <v>#DIV/0!</v>
      </c>
    </row>
    <row r="102" spans="1:14">
      <c r="A102" s="3335"/>
      <c r="B102" s="2888">
        <v>1</v>
      </c>
      <c r="C102" s="2889" t="e">
        <f>1.9362/C101</f>
        <v>#DIV/0!</v>
      </c>
      <c r="D102" s="2889" t="e">
        <f>1.9362/D101</f>
        <v>#DIV/0!</v>
      </c>
      <c r="E102" s="2889" t="e">
        <f>1.8629/E101</f>
        <v>#DIV/0!</v>
      </c>
      <c r="F102" s="2889" t="e">
        <f>1.8629/F101</f>
        <v>#DIV/0!</v>
      </c>
      <c r="G102" s="2889" t="e">
        <f>1.8629/G101</f>
        <v>#DIV/0!</v>
      </c>
      <c r="H102" s="2889" t="e">
        <f>1.8629/H101</f>
        <v>#DIV/0!</v>
      </c>
      <c r="I102" s="2889" t="e">
        <f>1.8629/I101</f>
        <v>#DIV/0!</v>
      </c>
      <c r="J102" s="2889" t="e">
        <f>1.942/J101</f>
        <v>#DIV/0!</v>
      </c>
      <c r="K102" s="2889" t="e">
        <f>1.942/K101</f>
        <v>#DIV/0!</v>
      </c>
      <c r="L102" s="2889" t="e">
        <f>1.942/L101</f>
        <v>#DIV/0!</v>
      </c>
      <c r="M102" s="2889" t="e">
        <f>1.942/M101</f>
        <v>#DIV/0!</v>
      </c>
      <c r="N102" s="2889" t="e">
        <f>1.942/N101</f>
        <v>#DIV/0!</v>
      </c>
    </row>
    <row r="103" spans="1:14">
      <c r="A103" s="3335"/>
      <c r="B103" s="2888">
        <v>2</v>
      </c>
      <c r="C103" s="2889" t="e">
        <f>1.4198/C101</f>
        <v>#DIV/0!</v>
      </c>
      <c r="D103" s="2889" t="e">
        <f>1.4198/D101</f>
        <v>#DIV/0!</v>
      </c>
      <c r="E103" s="2889" t="e">
        <f>1.3372/E101</f>
        <v>#DIV/0!</v>
      </c>
      <c r="F103" s="2889" t="e">
        <f>1.3372/F101</f>
        <v>#DIV/0!</v>
      </c>
      <c r="G103" s="2889" t="e">
        <f>1.3372/G101</f>
        <v>#DIV/0!</v>
      </c>
      <c r="H103" s="2889" t="e">
        <f>1.3372/H101</f>
        <v>#DIV/0!</v>
      </c>
      <c r="I103" s="2889" t="e">
        <f>1.3372/I101</f>
        <v>#DIV/0!</v>
      </c>
      <c r="J103" s="2889" t="e">
        <f>1.2799/J101</f>
        <v>#DIV/0!</v>
      </c>
      <c r="K103" s="2889" t="e">
        <f>1.2799/K101</f>
        <v>#DIV/0!</v>
      </c>
      <c r="L103" s="2889" t="e">
        <f>1.2799/L101</f>
        <v>#DIV/0!</v>
      </c>
      <c r="M103" s="2889" t="e">
        <f>1.2799/M101</f>
        <v>#DIV/0!</v>
      </c>
      <c r="N103" s="2889" t="e">
        <f>1.2799/N101</f>
        <v>#DIV/0!</v>
      </c>
    </row>
    <row r="104" spans="1:14">
      <c r="A104" s="3335"/>
      <c r="B104" s="2888">
        <v>3</v>
      </c>
      <c r="C104" s="2889" t="e">
        <f>1.1594/C101</f>
        <v>#DIV/0!</v>
      </c>
      <c r="D104" s="2889" t="e">
        <f>1.1594/D101</f>
        <v>#DIV/0!</v>
      </c>
      <c r="E104" s="2889" t="e">
        <f>1.0788/E101</f>
        <v>#DIV/0!</v>
      </c>
      <c r="F104" s="2889" t="e">
        <f>1.0788/F101</f>
        <v>#DIV/0!</v>
      </c>
      <c r="G104" s="2889" t="e">
        <f>1.0788/G101</f>
        <v>#DIV/0!</v>
      </c>
      <c r="H104" s="2889" t="e">
        <f>1.0788/H101</f>
        <v>#DIV/0!</v>
      </c>
      <c r="I104" s="2889" t="e">
        <f>1.0788/I101</f>
        <v>#DIV/0!</v>
      </c>
      <c r="J104" s="2889" t="e">
        <f>1.0072/J101</f>
        <v>#DIV/0!</v>
      </c>
      <c r="K104" s="2889" t="e">
        <f>1.0072/K101</f>
        <v>#DIV/0!</v>
      </c>
      <c r="L104" s="2889" t="e">
        <f>1.0072/L101</f>
        <v>#DIV/0!</v>
      </c>
      <c r="M104" s="2889" t="e">
        <f>1.0072/M101</f>
        <v>#DIV/0!</v>
      </c>
      <c r="N104" s="2889" t="e">
        <f>1.0072/N101</f>
        <v>#DIV/0!</v>
      </c>
    </row>
    <row r="105" spans="1:14">
      <c r="A105" s="3335"/>
      <c r="B105" s="2888">
        <v>4</v>
      </c>
      <c r="C105" s="2889" t="e">
        <f>0.9622/C101</f>
        <v>#DIV/0!</v>
      </c>
      <c r="D105" s="2889" t="e">
        <f>0.9622/D101</f>
        <v>#DIV/0!</v>
      </c>
      <c r="E105" s="2889" t="e">
        <f>0.8656/E101</f>
        <v>#DIV/0!</v>
      </c>
      <c r="F105" s="2889" t="e">
        <f>0.8656/F101</f>
        <v>#DIV/0!</v>
      </c>
      <c r="G105" s="2889" t="e">
        <f>0.8656/G101</f>
        <v>#DIV/0!</v>
      </c>
      <c r="H105" s="2889" t="e">
        <f>0.8656/H101</f>
        <v>#DIV/0!</v>
      </c>
      <c r="I105" s="2889" t="e">
        <f>0.8656/I101</f>
        <v>#DIV/0!</v>
      </c>
      <c r="J105" s="2889" t="e">
        <f>0.7525/J101</f>
        <v>#DIV/0!</v>
      </c>
      <c r="K105" s="2889" t="e">
        <f>0.7525/K101</f>
        <v>#DIV/0!</v>
      </c>
      <c r="L105" s="2889" t="e">
        <f>0.7525/L101</f>
        <v>#DIV/0!</v>
      </c>
      <c r="M105" s="2889" t="e">
        <f>0.7525/M101</f>
        <v>#DIV/0!</v>
      </c>
      <c r="N105" s="2889" t="e">
        <f>0.7525/N101</f>
        <v>#DIV/0!</v>
      </c>
    </row>
    <row r="106" spans="1:14">
      <c r="A106" s="3335"/>
      <c r="B106" s="2888">
        <v>5</v>
      </c>
      <c r="C106" s="2889" t="e">
        <f>0.8417/C101</f>
        <v>#DIV/0!</v>
      </c>
      <c r="D106" s="2889" t="e">
        <f>0.8417/D101</f>
        <v>#DIV/0!</v>
      </c>
      <c r="E106" s="2889" t="e">
        <f>0.7371/E101</f>
        <v>#DIV/0!</v>
      </c>
      <c r="F106" s="2889" t="e">
        <f>0.7371/F101</f>
        <v>#DIV/0!</v>
      </c>
      <c r="G106" s="2889" t="e">
        <f>0.7371/G101</f>
        <v>#DIV/0!</v>
      </c>
      <c r="H106" s="2889" t="e">
        <f>0.7371/H101</f>
        <v>#DIV/0!</v>
      </c>
      <c r="I106" s="2889" t="e">
        <f>0.7371/I101</f>
        <v>#DIV/0!</v>
      </c>
      <c r="J106" s="2889" t="e">
        <f>0.5659/J101</f>
        <v>#DIV/0!</v>
      </c>
      <c r="K106" s="2889" t="e">
        <f>0.5659/K101</f>
        <v>#DIV/0!</v>
      </c>
      <c r="L106" s="2889" t="e">
        <f>0.5659/L101</f>
        <v>#DIV/0!</v>
      </c>
      <c r="M106" s="2889" t="e">
        <f>0.5659/M101</f>
        <v>#DIV/0!</v>
      </c>
      <c r="N106" s="2889" t="e">
        <f>0.5659/N101</f>
        <v>#DIV/0!</v>
      </c>
    </row>
    <row r="107" spans="1:14">
      <c r="A107" s="3335"/>
      <c r="B107" s="2888">
        <v>6</v>
      </c>
      <c r="C107" s="2889" t="e">
        <f>0.7608/C101</f>
        <v>#DIV/0!</v>
      </c>
      <c r="D107" s="2889" t="e">
        <f>0.7608/D101</f>
        <v>#DIV/0!</v>
      </c>
      <c r="E107" s="2889" t="e">
        <f>0.6482/E101</f>
        <v>#DIV/0!</v>
      </c>
      <c r="F107" s="2889" t="e">
        <f>0.6482/F101</f>
        <v>#DIV/0!</v>
      </c>
      <c r="G107" s="2889" t="e">
        <f>0.6482/G101</f>
        <v>#DIV/0!</v>
      </c>
      <c r="H107" s="2889" t="e">
        <f>0.6482/H101</f>
        <v>#DIV/0!</v>
      </c>
      <c r="I107" s="2889" t="e">
        <f>0.6482/I101</f>
        <v>#DIV/0!</v>
      </c>
      <c r="J107" s="2889" t="e">
        <f>0.4525/J101</f>
        <v>#DIV/0!</v>
      </c>
      <c r="K107" s="2889" t="e">
        <f>0.4525/K101</f>
        <v>#DIV/0!</v>
      </c>
      <c r="L107" s="2889" t="e">
        <f>0.4525/L101</f>
        <v>#DIV/0!</v>
      </c>
      <c r="M107" s="2889" t="e">
        <f>0.4525/M101</f>
        <v>#DIV/0!</v>
      </c>
      <c r="N107" s="2889" t="e">
        <f>0.4525/N101</f>
        <v>#DIV/0!</v>
      </c>
    </row>
    <row r="108" spans="1:14">
      <c r="A108" s="3335"/>
      <c r="B108" s="3162" t="s">
        <v>2975</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336"/>
      <c r="B109" s="3163"/>
      <c r="C109" s="2891" t="e">
        <f>(-0.163*(C108^2)-0.59*C108+7617)*(10^(-4))/C101</f>
        <v>#DIV/0!</v>
      </c>
      <c r="D109" s="2891" t="e">
        <f>(-0.163*(D108^2)-0.59*D108+7617)*(10^(-4))/D101</f>
        <v>#DIV/0!</v>
      </c>
      <c r="E109" s="2891" t="e">
        <f>(-0.161*(E108^2)-7.509*E108+6533)*(10^(-4))/E101</f>
        <v>#DIV/0!</v>
      </c>
      <c r="F109" s="2891" t="e">
        <f>(-0.161*(F108^2)-7.509*F108+6533)*(10^(-4))/F101</f>
        <v>#DIV/0!</v>
      </c>
      <c r="G109" s="2891" t="e">
        <f>(-0.161*(G108^2)-7.509*G108+6533)*(10^(-4))/G101</f>
        <v>#DIV/0!</v>
      </c>
      <c r="H109" s="2891" t="e">
        <f>(-0.161*(H108^2)-7.509*H108+6533)*(10^(-4))/H101</f>
        <v>#DIV/0!</v>
      </c>
      <c r="I109" s="2891" t="e">
        <f>(-0.161*(I108^2)-7.509*I108+6533)*(10^(-4))/I101</f>
        <v>#DIV/0!</v>
      </c>
      <c r="J109" s="2891" t="e">
        <f>(-0.214*(J108^2)-21.991*J108+4665)*(10^(-4))/J101</f>
        <v>#DIV/0!</v>
      </c>
      <c r="K109" s="2891" t="e">
        <f>(-0.214*(K108^2)-21.991*K108+4665)*(10^(-4))/K101</f>
        <v>#DIV/0!</v>
      </c>
      <c r="L109" s="2891" t="e">
        <f>(-0.214*(L108^2)-21.991*L108+4665)*(10^(-4))/L101</f>
        <v>#DIV/0!</v>
      </c>
      <c r="M109" s="2891" t="e">
        <f>(-0.214*(M108^2)-21.991*M108+4665)*(10^(-4))/M101</f>
        <v>#DIV/0!</v>
      </c>
      <c r="N109" s="2891" t="e">
        <f>(-0.214*(N108^2)-21.991*N108+4665)*(10^(-4))/N101</f>
        <v>#DIV/0!</v>
      </c>
    </row>
    <row r="110" spans="1:14">
      <c r="A110" s="3332" t="s">
        <v>2976</v>
      </c>
      <c r="B110" s="3332"/>
      <c r="C110" s="3332"/>
      <c r="D110" s="3332"/>
      <c r="E110" s="3332"/>
      <c r="F110" s="3332"/>
      <c r="G110" s="3332"/>
      <c r="H110" s="3332"/>
      <c r="I110" s="3332"/>
      <c r="J110" s="3332"/>
      <c r="K110" s="2894"/>
      <c r="L110" s="2894"/>
      <c r="M110" s="2894"/>
      <c r="N110" s="2894"/>
    </row>
    <row r="112" spans="1:14" ht="13.8" thickBot="1"/>
    <row r="113" spans="1:13" ht="25.8" thickBot="1">
      <c r="A113" s="903" t="s">
        <v>2977</v>
      </c>
      <c r="B113" s="1287" t="e">
        <f>G3</f>
        <v>#DIV/0!</v>
      </c>
      <c r="C113" s="904" t="s">
        <v>2978</v>
      </c>
      <c r="D113" s="905" t="e">
        <f>SUMPRODUCT((A115:A118=F113)*(B114:M114=H113)*B115:M118)</f>
        <v>#DIV/0!</v>
      </c>
      <c r="E113" s="2725" t="s">
        <v>2810</v>
      </c>
      <c r="F113" s="2896">
        <f>E2</f>
        <v>0</v>
      </c>
      <c r="G113" s="2725" t="s">
        <v>2811</v>
      </c>
      <c r="H113" s="2896">
        <f>G2</f>
        <v>0</v>
      </c>
      <c r="I113" s="2725"/>
      <c r="J113" s="2897"/>
      <c r="K113" s="2897"/>
      <c r="L113" s="2897"/>
      <c r="M113" s="2897"/>
    </row>
    <row r="114" spans="1:13">
      <c r="A114" s="908"/>
      <c r="B114" s="2898" t="s">
        <v>2979</v>
      </c>
      <c r="C114" s="2898" t="s">
        <v>2980</v>
      </c>
      <c r="D114" s="2898" t="s">
        <v>2981</v>
      </c>
      <c r="E114" s="2899" t="s">
        <v>2982</v>
      </c>
      <c r="F114" s="2899" t="s">
        <v>2983</v>
      </c>
      <c r="G114" s="2899" t="s">
        <v>2984</v>
      </c>
      <c r="H114" s="2900" t="s">
        <v>2985</v>
      </c>
      <c r="I114" s="2900" t="s">
        <v>2986</v>
      </c>
      <c r="J114" s="2901" t="s">
        <v>2987</v>
      </c>
      <c r="K114" s="2901" t="s">
        <v>2988</v>
      </c>
      <c r="L114" s="2901" t="s">
        <v>2989</v>
      </c>
      <c r="M114" s="2902" t="s">
        <v>2990</v>
      </c>
    </row>
    <row r="115" spans="1:13">
      <c r="A115" s="909" t="s">
        <v>2875</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2876</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2877</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8" thickBot="1">
      <c r="A118" s="714" t="s">
        <v>2878</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49" priority="5" stopIfTrue="1" operator="notEqual">
      <formula>"——"</formula>
    </cfRule>
  </conditionalFormatting>
  <conditionalFormatting sqref="F59">
    <cfRule type="cellIs" dxfId="48" priority="4" stopIfTrue="1" operator="notEqual">
      <formula>"——"</formula>
    </cfRule>
  </conditionalFormatting>
  <conditionalFormatting sqref="F70">
    <cfRule type="cellIs" dxfId="47" priority="3" stopIfTrue="1" operator="notEqual">
      <formula>"——"</formula>
    </cfRule>
  </conditionalFormatting>
  <conditionalFormatting sqref="F81">
    <cfRule type="cellIs" dxfId="46" priority="2" stopIfTrue="1" operator="notEqual">
      <formula>"——"</formula>
    </cfRule>
  </conditionalFormatting>
  <conditionalFormatting sqref="H48:H56 H59:H67 H70:H78 H81:H88">
    <cfRule type="cellIs" dxfId="45"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52" t="s">
        <v>183</v>
      </c>
      <c r="B18" s="882" t="s">
        <v>560</v>
      </c>
      <c r="C18" s="883" t="s">
        <v>561</v>
      </c>
      <c r="D18" s="884"/>
      <c r="E18" s="882">
        <v>1</v>
      </c>
      <c r="F18" s="885" t="s">
        <v>562</v>
      </c>
      <c r="G18" s="886"/>
      <c r="H18" s="878"/>
      <c r="I18" s="878"/>
    </row>
    <row r="19" spans="1:9" s="887" customFormat="1" ht="19.5" customHeight="1">
      <c r="A19" s="3352"/>
      <c r="B19" s="3352" t="s">
        <v>563</v>
      </c>
      <c r="C19" s="883" t="s">
        <v>564</v>
      </c>
      <c r="D19" s="884"/>
      <c r="E19" s="882">
        <v>0.9</v>
      </c>
      <c r="F19" s="885" t="s">
        <v>565</v>
      </c>
      <c r="G19" s="886"/>
      <c r="H19" s="878"/>
      <c r="I19" s="878"/>
    </row>
    <row r="20" spans="1:9" s="887" customFormat="1" ht="19.5" customHeight="1">
      <c r="A20" s="3352"/>
      <c r="B20" s="3352"/>
      <c r="C20" s="883" t="s">
        <v>566</v>
      </c>
      <c r="D20" s="884"/>
      <c r="E20" s="882">
        <v>1.1000000000000001</v>
      </c>
      <c r="F20" s="885" t="s">
        <v>567</v>
      </c>
      <c r="G20" s="886"/>
      <c r="H20" s="878"/>
      <c r="I20" s="878"/>
    </row>
    <row r="21" spans="1:9" s="887" customFormat="1" ht="19.5" customHeight="1">
      <c r="A21" s="3352"/>
      <c r="B21" s="3352"/>
      <c r="C21" s="883" t="s">
        <v>568</v>
      </c>
      <c r="D21" s="884"/>
      <c r="E21" s="882">
        <v>0.8</v>
      </c>
      <c r="F21" s="885" t="s">
        <v>569</v>
      </c>
      <c r="G21" s="886"/>
      <c r="H21" s="878"/>
      <c r="I21" s="878"/>
    </row>
    <row r="22" spans="1:9" s="887" customFormat="1" ht="19.5" customHeight="1">
      <c r="A22" s="3352"/>
      <c r="B22" s="3352"/>
      <c r="C22" s="883" t="s">
        <v>570</v>
      </c>
      <c r="D22" s="884"/>
      <c r="E22" s="882">
        <v>0.5</v>
      </c>
      <c r="F22" s="885"/>
      <c r="G22" s="886"/>
      <c r="H22" s="878"/>
      <c r="I22" s="878"/>
    </row>
    <row r="23" spans="1:9" s="887" customFormat="1" ht="19.5" customHeight="1">
      <c r="A23" s="3352" t="s">
        <v>184</v>
      </c>
      <c r="B23" s="882" t="s">
        <v>560</v>
      </c>
      <c r="C23" s="883" t="s">
        <v>571</v>
      </c>
      <c r="D23" s="884"/>
      <c r="E23" s="882">
        <v>1</v>
      </c>
      <c r="F23" s="885" t="s">
        <v>572</v>
      </c>
      <c r="G23" s="886"/>
      <c r="H23" s="878"/>
      <c r="I23" s="878"/>
    </row>
    <row r="24" spans="1:9" s="887" customFormat="1" ht="19.5" customHeight="1">
      <c r="A24" s="3352"/>
      <c r="B24" s="3352" t="s">
        <v>563</v>
      </c>
      <c r="C24" s="883" t="s">
        <v>573</v>
      </c>
      <c r="D24" s="884"/>
      <c r="E24" s="882">
        <v>0.5</v>
      </c>
      <c r="F24" s="885"/>
      <c r="G24" s="886"/>
      <c r="H24" s="878"/>
      <c r="I24" s="878"/>
    </row>
    <row r="25" spans="1:9" s="887" customFormat="1" ht="19.5" customHeight="1">
      <c r="A25" s="3352"/>
      <c r="B25" s="3352"/>
      <c r="C25" s="883" t="s">
        <v>574</v>
      </c>
      <c r="D25" s="884"/>
      <c r="E25" s="882">
        <v>1.1000000000000001</v>
      </c>
      <c r="F25" s="885"/>
      <c r="G25" s="886"/>
      <c r="H25" s="878"/>
      <c r="I25" s="878"/>
    </row>
    <row r="26" spans="1:9" s="887" customFormat="1" ht="19.5" customHeight="1">
      <c r="A26" s="3352"/>
      <c r="B26" s="3352"/>
      <c r="C26" s="883" t="s">
        <v>575</v>
      </c>
      <c r="D26" s="884"/>
      <c r="E26" s="882">
        <v>1.1000000000000001</v>
      </c>
      <c r="F26" s="885"/>
      <c r="G26" s="886"/>
      <c r="H26" s="878"/>
      <c r="I26" s="878"/>
    </row>
    <row r="27" spans="1:9" s="887" customFormat="1" ht="19.5" customHeight="1">
      <c r="A27" s="3352"/>
      <c r="B27" s="3352"/>
      <c r="C27" s="883" t="s">
        <v>576</v>
      </c>
      <c r="D27" s="884"/>
      <c r="E27" s="882">
        <v>0.9</v>
      </c>
      <c r="F27" s="885" t="s">
        <v>577</v>
      </c>
      <c r="G27" s="886"/>
      <c r="H27" s="878"/>
      <c r="I27" s="878"/>
    </row>
    <row r="28" spans="1:9" s="887" customFormat="1" ht="19.5" customHeight="1">
      <c r="A28" s="3352"/>
      <c r="B28" s="3352"/>
      <c r="C28" s="883" t="s">
        <v>578</v>
      </c>
      <c r="D28" s="884"/>
      <c r="E28" s="882">
        <v>0.9</v>
      </c>
      <c r="F28" s="885" t="s">
        <v>579</v>
      </c>
      <c r="G28" s="886"/>
      <c r="H28" s="878"/>
      <c r="I28" s="878"/>
    </row>
    <row r="29" spans="1:9" s="887" customFormat="1" ht="19.5" customHeight="1">
      <c r="A29" s="3352"/>
      <c r="B29" s="3352"/>
      <c r="C29" s="883" t="s">
        <v>580</v>
      </c>
      <c r="D29" s="884"/>
      <c r="E29" s="882">
        <v>0.9</v>
      </c>
      <c r="F29" s="885" t="s">
        <v>581</v>
      </c>
      <c r="G29" s="886"/>
      <c r="H29" s="878"/>
      <c r="I29" s="878"/>
    </row>
    <row r="30" spans="1:9" s="887" customFormat="1" ht="19.5" customHeight="1">
      <c r="A30" s="3352"/>
      <c r="B30" s="3352"/>
      <c r="C30" s="883" t="s">
        <v>582</v>
      </c>
      <c r="D30" s="884"/>
      <c r="E30" s="882">
        <v>0.9</v>
      </c>
      <c r="F30" s="885" t="s">
        <v>583</v>
      </c>
      <c r="G30" s="886"/>
      <c r="H30" s="878"/>
      <c r="I30" s="878"/>
    </row>
    <row r="31" spans="1:9" s="887" customFormat="1" ht="19.5" customHeight="1">
      <c r="A31" s="3352"/>
      <c r="B31" s="3352"/>
      <c r="C31" s="883" t="s">
        <v>584</v>
      </c>
      <c r="D31" s="884"/>
      <c r="E31" s="882">
        <v>0.8</v>
      </c>
      <c r="F31" s="885" t="s">
        <v>585</v>
      </c>
      <c r="G31" s="886"/>
      <c r="H31" s="878"/>
      <c r="I31" s="878"/>
    </row>
    <row r="32" spans="1:9" s="887" customFormat="1" ht="19.5" customHeight="1">
      <c r="A32" s="3352"/>
      <c r="B32" s="3352"/>
      <c r="C32" s="883" t="s">
        <v>586</v>
      </c>
      <c r="D32" s="884"/>
      <c r="E32" s="882">
        <v>0.8</v>
      </c>
      <c r="F32" s="885" t="s">
        <v>587</v>
      </c>
      <c r="G32" s="886"/>
      <c r="H32" s="878"/>
      <c r="I32" s="878"/>
    </row>
    <row r="33" spans="1:9" s="887" customFormat="1" ht="19.5" customHeight="1">
      <c r="A33" s="3352" t="s">
        <v>185</v>
      </c>
      <c r="B33" s="882" t="s">
        <v>560</v>
      </c>
      <c r="C33" s="883" t="s">
        <v>588</v>
      </c>
      <c r="D33" s="884"/>
      <c r="E33" s="882">
        <v>1</v>
      </c>
      <c r="F33" s="885" t="s">
        <v>589</v>
      </c>
      <c r="G33" s="886"/>
      <c r="H33" s="878"/>
      <c r="I33" s="878"/>
    </row>
    <row r="34" spans="1:9" s="887" customFormat="1" ht="19.5" customHeight="1">
      <c r="A34" s="3352"/>
      <c r="B34" s="882" t="s">
        <v>563</v>
      </c>
      <c r="C34" s="883" t="s">
        <v>590</v>
      </c>
      <c r="D34" s="884"/>
      <c r="E34" s="882">
        <v>1.5</v>
      </c>
      <c r="F34" s="885" t="s">
        <v>591</v>
      </c>
      <c r="G34" s="886"/>
      <c r="H34" s="878"/>
      <c r="I34" s="878"/>
    </row>
    <row r="35" spans="1:9" s="887" customFormat="1" ht="19.5" customHeight="1">
      <c r="A35" s="3352" t="s">
        <v>186</v>
      </c>
      <c r="B35" s="882" t="s">
        <v>560</v>
      </c>
      <c r="C35" s="883" t="s">
        <v>592</v>
      </c>
      <c r="D35" s="884"/>
      <c r="E35" s="882">
        <v>1</v>
      </c>
      <c r="F35" s="885" t="s">
        <v>593</v>
      </c>
      <c r="G35" s="886"/>
      <c r="H35" s="878"/>
      <c r="I35" s="878"/>
    </row>
    <row r="36" spans="1:9" s="887" customFormat="1" ht="19.5" customHeight="1">
      <c r="A36" s="3352"/>
      <c r="B36" s="3352" t="s">
        <v>563</v>
      </c>
      <c r="C36" s="883" t="s">
        <v>594</v>
      </c>
      <c r="D36" s="884"/>
      <c r="E36" s="882">
        <v>1</v>
      </c>
      <c r="F36" s="885" t="s">
        <v>595</v>
      </c>
      <c r="G36" s="886"/>
      <c r="H36" s="878"/>
      <c r="I36" s="878"/>
    </row>
    <row r="37" spans="1:9" s="887" customFormat="1" ht="19.5" customHeight="1">
      <c r="A37" s="3352"/>
      <c r="B37" s="3352"/>
      <c r="C37" s="883" t="s">
        <v>596</v>
      </c>
      <c r="D37" s="884"/>
      <c r="E37" s="882">
        <v>1.5</v>
      </c>
      <c r="F37" s="885" t="s">
        <v>597</v>
      </c>
      <c r="G37" s="886"/>
      <c r="H37" s="878"/>
      <c r="I37" s="878"/>
    </row>
    <row r="38" spans="1:9" s="887" customFormat="1" ht="19.5" customHeight="1">
      <c r="A38" s="3352"/>
      <c r="B38" s="3352"/>
      <c r="C38" s="883" t="s">
        <v>598</v>
      </c>
      <c r="D38" s="884"/>
      <c r="E38" s="882">
        <v>1</v>
      </c>
      <c r="F38" s="885" t="s">
        <v>599</v>
      </c>
      <c r="G38" s="886"/>
      <c r="H38" s="878"/>
      <c r="I38" s="878"/>
    </row>
    <row r="39" spans="1:9" s="887" customFormat="1" ht="19.5" customHeight="1">
      <c r="A39" s="3352"/>
      <c r="B39" s="335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352" t="s">
        <v>614</v>
      </c>
      <c r="C61" s="818" t="s">
        <v>615</v>
      </c>
      <c r="D61" s="818" t="s">
        <v>616</v>
      </c>
      <c r="E61" s="895">
        <v>0.5</v>
      </c>
      <c r="F61" s="882">
        <v>80</v>
      </c>
    </row>
    <row r="62" spans="1:8" s="878" customFormat="1" ht="36">
      <c r="A62" s="882">
        <v>2</v>
      </c>
      <c r="B62" s="3352"/>
      <c r="C62" s="818" t="s">
        <v>617</v>
      </c>
      <c r="D62" s="818" t="s">
        <v>618</v>
      </c>
      <c r="E62" s="895">
        <v>0.5</v>
      </c>
      <c r="F62" s="882">
        <v>80</v>
      </c>
    </row>
    <row r="63" spans="1:8" s="878" customFormat="1" ht="48">
      <c r="A63" s="882">
        <v>3</v>
      </c>
      <c r="B63" s="3352"/>
      <c r="C63" s="818" t="s">
        <v>619</v>
      </c>
      <c r="D63" s="818" t="s">
        <v>620</v>
      </c>
      <c r="E63" s="895">
        <v>0.5</v>
      </c>
      <c r="F63" s="882">
        <v>80</v>
      </c>
    </row>
    <row r="64" spans="1:8" s="878" customFormat="1" ht="48">
      <c r="A64" s="882">
        <v>4</v>
      </c>
      <c r="B64" s="3352"/>
      <c r="C64" s="818" t="s">
        <v>621</v>
      </c>
      <c r="D64" s="818" t="s">
        <v>622</v>
      </c>
      <c r="E64" s="895">
        <v>0.4</v>
      </c>
      <c r="F64" s="882">
        <v>60</v>
      </c>
    </row>
    <row r="65" spans="1:6" s="878" customFormat="1" ht="48">
      <c r="A65" s="882">
        <v>5</v>
      </c>
      <c r="B65" s="3352"/>
      <c r="C65" s="818" t="s">
        <v>623</v>
      </c>
      <c r="D65" s="818" t="s">
        <v>624</v>
      </c>
      <c r="E65" s="895">
        <v>0.2</v>
      </c>
      <c r="F65" s="882">
        <v>30</v>
      </c>
    </row>
    <row r="66" spans="1:6" s="878" customFormat="1" ht="48">
      <c r="A66" s="882">
        <v>6</v>
      </c>
      <c r="B66" s="3352"/>
      <c r="C66" s="818" t="s">
        <v>625</v>
      </c>
      <c r="D66" s="818" t="s">
        <v>626</v>
      </c>
      <c r="E66" s="895">
        <v>0.3</v>
      </c>
      <c r="F66" s="882">
        <v>50</v>
      </c>
    </row>
    <row r="67" spans="1:6" s="878" customFormat="1" ht="48">
      <c r="A67" s="882">
        <v>7</v>
      </c>
      <c r="B67" s="3352"/>
      <c r="C67" s="818" t="s">
        <v>627</v>
      </c>
      <c r="D67" s="818" t="s">
        <v>628</v>
      </c>
      <c r="E67" s="895">
        <v>0.2</v>
      </c>
      <c r="F67" s="882">
        <v>30</v>
      </c>
    </row>
    <row r="68" spans="1:6" s="878" customFormat="1" ht="48">
      <c r="A68" s="882">
        <v>8</v>
      </c>
      <c r="B68" s="3352"/>
      <c r="C68" s="818" t="s">
        <v>629</v>
      </c>
      <c r="D68" s="818" t="s">
        <v>630</v>
      </c>
      <c r="E68" s="895">
        <v>0.2</v>
      </c>
      <c r="F68" s="882">
        <v>30</v>
      </c>
    </row>
    <row r="69" spans="1:6" s="878" customFormat="1" ht="48">
      <c r="A69" s="882">
        <v>9</v>
      </c>
      <c r="B69" s="3352"/>
      <c r="C69" s="818" t="s">
        <v>631</v>
      </c>
      <c r="D69" s="818" t="s">
        <v>632</v>
      </c>
      <c r="E69" s="895">
        <v>0.2</v>
      </c>
      <c r="F69" s="882">
        <v>30</v>
      </c>
    </row>
    <row r="70" spans="1:6" s="878" customFormat="1" ht="60">
      <c r="A70" s="882">
        <v>10</v>
      </c>
      <c r="B70" s="3352"/>
      <c r="C70" s="818" t="s">
        <v>633</v>
      </c>
      <c r="D70" s="818" t="s">
        <v>634</v>
      </c>
      <c r="E70" s="895">
        <v>0.2</v>
      </c>
      <c r="F70" s="882">
        <v>30</v>
      </c>
    </row>
    <row r="71" spans="1:6" s="878" customFormat="1" ht="60">
      <c r="A71" s="882">
        <v>11</v>
      </c>
      <c r="B71" s="3352"/>
      <c r="C71" s="818" t="s">
        <v>635</v>
      </c>
      <c r="D71" s="818" t="s">
        <v>636</v>
      </c>
      <c r="E71" s="895">
        <v>0.2</v>
      </c>
      <c r="F71" s="882">
        <v>30</v>
      </c>
    </row>
    <row r="72" spans="1:6" s="878" customFormat="1" ht="36">
      <c r="A72" s="882">
        <v>12</v>
      </c>
      <c r="B72" s="3352"/>
      <c r="C72" s="818" t="s">
        <v>637</v>
      </c>
      <c r="D72" s="818" t="s">
        <v>638</v>
      </c>
      <c r="E72" s="895">
        <v>0.5</v>
      </c>
      <c r="F72" s="882">
        <v>80</v>
      </c>
    </row>
    <row r="73" spans="1:6" s="878" customFormat="1" ht="36">
      <c r="A73" s="882">
        <v>13</v>
      </c>
      <c r="B73" s="3352"/>
      <c r="C73" s="818" t="s">
        <v>639</v>
      </c>
      <c r="D73" s="818" t="s">
        <v>640</v>
      </c>
      <c r="E73" s="895">
        <v>0.4</v>
      </c>
      <c r="F73" s="882">
        <v>60</v>
      </c>
    </row>
    <row r="74" spans="1:6" s="878" customFormat="1" ht="36">
      <c r="A74" s="882">
        <v>14</v>
      </c>
      <c r="B74" s="3352"/>
      <c r="C74" s="818" t="s">
        <v>641</v>
      </c>
      <c r="D74" s="818" t="s">
        <v>642</v>
      </c>
      <c r="E74" s="895">
        <v>0.2</v>
      </c>
      <c r="F74" s="882">
        <v>30</v>
      </c>
    </row>
    <row r="75" spans="1:6" s="878" customFormat="1" ht="36">
      <c r="A75" s="882">
        <v>15</v>
      </c>
      <c r="B75" s="3352"/>
      <c r="C75" s="818" t="s">
        <v>643</v>
      </c>
      <c r="D75" s="818" t="s">
        <v>644</v>
      </c>
      <c r="E75" s="895">
        <v>0.2</v>
      </c>
      <c r="F75" s="882">
        <v>30</v>
      </c>
    </row>
    <row r="76" spans="1:6" s="878" customFormat="1" ht="36">
      <c r="A76" s="882">
        <v>16</v>
      </c>
      <c r="B76" s="3352" t="s">
        <v>645</v>
      </c>
      <c r="C76" s="818" t="s">
        <v>646</v>
      </c>
      <c r="D76" s="818" t="s">
        <v>647</v>
      </c>
      <c r="E76" s="895">
        <v>0.5</v>
      </c>
      <c r="F76" s="882">
        <v>80</v>
      </c>
    </row>
    <row r="77" spans="1:6" s="878" customFormat="1" ht="36">
      <c r="A77" s="882">
        <v>17</v>
      </c>
      <c r="B77" s="3352"/>
      <c r="C77" s="818" t="s">
        <v>648</v>
      </c>
      <c r="D77" s="818" t="s">
        <v>649</v>
      </c>
      <c r="E77" s="895">
        <v>0.5</v>
      </c>
      <c r="F77" s="882">
        <v>80</v>
      </c>
    </row>
    <row r="78" spans="1:6" s="878" customFormat="1" ht="36">
      <c r="A78" s="882">
        <v>18</v>
      </c>
      <c r="B78" s="3352"/>
      <c r="C78" s="818" t="s">
        <v>650</v>
      </c>
      <c r="D78" s="818" t="s">
        <v>651</v>
      </c>
      <c r="E78" s="895">
        <v>0.2</v>
      </c>
      <c r="F78" s="882">
        <v>30</v>
      </c>
    </row>
    <row r="79" spans="1:6" s="878" customFormat="1" ht="36">
      <c r="A79" s="882">
        <v>19</v>
      </c>
      <c r="B79" s="3352"/>
      <c r="C79" s="818" t="s">
        <v>652</v>
      </c>
      <c r="D79" s="818" t="s">
        <v>653</v>
      </c>
      <c r="E79" s="895">
        <v>0.5</v>
      </c>
      <c r="F79" s="882">
        <v>80</v>
      </c>
    </row>
    <row r="80" spans="1:6" s="878" customFormat="1" ht="36">
      <c r="A80" s="882">
        <v>20</v>
      </c>
      <c r="B80" s="3352"/>
      <c r="C80" s="818" t="s">
        <v>654</v>
      </c>
      <c r="D80" s="818" t="s">
        <v>655</v>
      </c>
      <c r="E80" s="895">
        <v>0.2</v>
      </c>
      <c r="F80" s="882">
        <v>30</v>
      </c>
    </row>
    <row r="81" spans="1:6" s="878" customFormat="1" ht="36">
      <c r="A81" s="882">
        <v>21</v>
      </c>
      <c r="B81" s="3352"/>
      <c r="C81" s="818" t="s">
        <v>656</v>
      </c>
      <c r="D81" s="818" t="s">
        <v>657</v>
      </c>
      <c r="E81" s="895">
        <v>0.2</v>
      </c>
      <c r="F81" s="882">
        <v>30</v>
      </c>
    </row>
    <row r="82" spans="1:6" s="878" customFormat="1" ht="60">
      <c r="A82" s="882">
        <v>22</v>
      </c>
      <c r="B82" s="3352"/>
      <c r="C82" s="818" t="s">
        <v>658</v>
      </c>
      <c r="D82" s="818" t="s">
        <v>659</v>
      </c>
      <c r="E82" s="895">
        <v>0.2</v>
      </c>
      <c r="F82" s="882">
        <v>30</v>
      </c>
    </row>
    <row r="83" spans="1:6" s="878" customFormat="1" ht="60">
      <c r="A83" s="882">
        <v>23</v>
      </c>
      <c r="B83" s="3352"/>
      <c r="C83" s="818" t="s">
        <v>660</v>
      </c>
      <c r="D83" s="818" t="s">
        <v>661</v>
      </c>
      <c r="E83" s="895">
        <v>0.2</v>
      </c>
      <c r="F83" s="882">
        <v>30</v>
      </c>
    </row>
    <row r="84" spans="1:6" s="878" customFormat="1" ht="48">
      <c r="A84" s="882">
        <v>24</v>
      </c>
      <c r="B84" s="3352"/>
      <c r="C84" s="818" t="s">
        <v>662</v>
      </c>
      <c r="D84" s="818" t="s">
        <v>663</v>
      </c>
      <c r="E84" s="895">
        <v>0.2</v>
      </c>
      <c r="F84" s="882">
        <v>30</v>
      </c>
    </row>
    <row r="85" spans="1:6" s="878" customFormat="1" ht="36">
      <c r="A85" s="882">
        <v>25</v>
      </c>
      <c r="B85" s="3352"/>
      <c r="C85" s="818" t="s">
        <v>664</v>
      </c>
      <c r="D85" s="818" t="s">
        <v>665</v>
      </c>
      <c r="E85" s="895">
        <v>0.5</v>
      </c>
      <c r="F85" s="882">
        <v>80</v>
      </c>
    </row>
    <row r="86" spans="1:6" s="878" customFormat="1" ht="36">
      <c r="A86" s="882">
        <v>26</v>
      </c>
      <c r="B86" s="3352"/>
      <c r="C86" s="818" t="s">
        <v>666</v>
      </c>
      <c r="D86" s="818" t="s">
        <v>667</v>
      </c>
      <c r="E86" s="895">
        <v>0.2</v>
      </c>
      <c r="F86" s="882">
        <v>30</v>
      </c>
    </row>
    <row r="87" spans="1:6" s="878" customFormat="1" ht="36">
      <c r="A87" s="882">
        <v>27</v>
      </c>
      <c r="B87" s="3352"/>
      <c r="C87" s="818" t="s">
        <v>668</v>
      </c>
      <c r="D87" s="818" t="s">
        <v>669</v>
      </c>
      <c r="E87" s="895">
        <v>0.2</v>
      </c>
      <c r="F87" s="882">
        <v>30</v>
      </c>
    </row>
    <row r="88" spans="1:6" s="878" customFormat="1" ht="36">
      <c r="A88" s="882">
        <v>28</v>
      </c>
      <c r="B88" s="3352"/>
      <c r="C88" s="818" t="s">
        <v>670</v>
      </c>
      <c r="D88" s="818" t="s">
        <v>671</v>
      </c>
      <c r="E88" s="895">
        <v>0.2</v>
      </c>
      <c r="F88" s="882">
        <v>30</v>
      </c>
    </row>
    <row r="89" spans="1:6" s="878" customFormat="1" ht="36">
      <c r="A89" s="882">
        <v>29</v>
      </c>
      <c r="B89" s="3352"/>
      <c r="C89" s="818" t="s">
        <v>672</v>
      </c>
      <c r="D89" s="818" t="s">
        <v>673</v>
      </c>
      <c r="E89" s="895">
        <v>0.2</v>
      </c>
      <c r="F89" s="882">
        <v>30</v>
      </c>
    </row>
    <row r="90" spans="1:6" s="878" customFormat="1" ht="36">
      <c r="A90" s="882">
        <v>30</v>
      </c>
      <c r="B90" s="3352"/>
      <c r="C90" s="818" t="s">
        <v>674</v>
      </c>
      <c r="D90" s="818" t="s">
        <v>675</v>
      </c>
      <c r="E90" s="895">
        <v>0.2</v>
      </c>
      <c r="F90" s="882">
        <v>30</v>
      </c>
    </row>
    <row r="91" spans="1:6" s="878" customFormat="1" ht="48">
      <c r="A91" s="882">
        <v>31</v>
      </c>
      <c r="B91" s="3352"/>
      <c r="C91" s="818" t="s">
        <v>676</v>
      </c>
      <c r="D91" s="818" t="s">
        <v>677</v>
      </c>
      <c r="E91" s="895">
        <v>0.2</v>
      </c>
      <c r="F91" s="882">
        <v>30</v>
      </c>
    </row>
    <row r="92" spans="1:6" s="878" customFormat="1" ht="36">
      <c r="A92" s="882">
        <v>32</v>
      </c>
      <c r="B92" s="3352" t="s">
        <v>678</v>
      </c>
      <c r="C92" s="882" t="s">
        <v>679</v>
      </c>
      <c r="D92" s="818" t="s">
        <v>680</v>
      </c>
      <c r="E92" s="895">
        <v>0.2</v>
      </c>
      <c r="F92" s="882">
        <v>30</v>
      </c>
    </row>
    <row r="93" spans="1:6" s="878" customFormat="1" ht="36">
      <c r="A93" s="882">
        <v>33</v>
      </c>
      <c r="B93" s="3352"/>
      <c r="C93" s="882" t="s">
        <v>681</v>
      </c>
      <c r="D93" s="818" t="s">
        <v>682</v>
      </c>
      <c r="E93" s="895">
        <v>0.2</v>
      </c>
      <c r="F93" s="882">
        <v>30</v>
      </c>
    </row>
    <row r="94" spans="1:6" s="878" customFormat="1" ht="60">
      <c r="A94" s="882">
        <v>34</v>
      </c>
      <c r="B94" s="3352"/>
      <c r="C94" s="882" t="s">
        <v>683</v>
      </c>
      <c r="D94" s="818" t="s">
        <v>684</v>
      </c>
      <c r="E94" s="895">
        <v>0.2</v>
      </c>
      <c r="F94" s="882">
        <v>30</v>
      </c>
    </row>
    <row r="95" spans="1:6" s="878" customFormat="1" ht="48">
      <c r="A95" s="882">
        <v>35</v>
      </c>
      <c r="B95" s="3352"/>
      <c r="C95" s="882" t="s">
        <v>685</v>
      </c>
      <c r="D95" s="818" t="s">
        <v>686</v>
      </c>
      <c r="E95" s="895">
        <v>0.2</v>
      </c>
      <c r="F95" s="882">
        <v>30</v>
      </c>
    </row>
    <row r="96" spans="1:6" s="878" customFormat="1" ht="72">
      <c r="A96" s="882">
        <v>36</v>
      </c>
      <c r="B96" s="3352"/>
      <c r="C96" s="818" t="s">
        <v>687</v>
      </c>
      <c r="D96" s="818" t="s">
        <v>688</v>
      </c>
      <c r="E96" s="895">
        <v>0.2</v>
      </c>
      <c r="F96" s="882">
        <v>30</v>
      </c>
    </row>
    <row r="97" spans="1:6" s="878" customFormat="1" ht="36">
      <c r="A97" s="882">
        <v>37</v>
      </c>
      <c r="B97" s="3352"/>
      <c r="C97" s="882" t="s">
        <v>689</v>
      </c>
      <c r="D97" s="818" t="s">
        <v>690</v>
      </c>
      <c r="E97" s="895">
        <v>0.2</v>
      </c>
      <c r="F97" s="882">
        <v>30</v>
      </c>
    </row>
    <row r="98" spans="1:6" s="878" customFormat="1" ht="36">
      <c r="A98" s="882">
        <v>38</v>
      </c>
      <c r="B98" s="3352"/>
      <c r="C98" s="882" t="s">
        <v>691</v>
      </c>
      <c r="D98" s="818" t="s">
        <v>692</v>
      </c>
      <c r="E98" s="895">
        <v>0.2</v>
      </c>
      <c r="F98" s="882">
        <v>30</v>
      </c>
    </row>
    <row r="99" spans="1:6" s="878" customFormat="1" ht="36">
      <c r="A99" s="882">
        <v>39</v>
      </c>
      <c r="B99" s="3352" t="s">
        <v>693</v>
      </c>
      <c r="C99" s="882" t="s">
        <v>694</v>
      </c>
      <c r="D99" s="818" t="s">
        <v>695</v>
      </c>
      <c r="E99" s="895">
        <v>0.3</v>
      </c>
      <c r="F99" s="882">
        <v>50</v>
      </c>
    </row>
    <row r="100" spans="1:6" s="878" customFormat="1" ht="36">
      <c r="A100" s="882">
        <v>40</v>
      </c>
      <c r="B100" s="3352"/>
      <c r="C100" s="882" t="s">
        <v>696</v>
      </c>
      <c r="D100" s="818" t="s">
        <v>697</v>
      </c>
      <c r="E100" s="895">
        <v>0.2</v>
      </c>
      <c r="F100" s="882">
        <v>30</v>
      </c>
    </row>
    <row r="101" spans="1:6" s="878" customFormat="1" ht="36">
      <c r="A101" s="882">
        <v>41</v>
      </c>
      <c r="B101" s="3352"/>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352" t="s">
        <v>708</v>
      </c>
      <c r="C105" s="882" t="s">
        <v>709</v>
      </c>
      <c r="D105" s="818" t="s">
        <v>710</v>
      </c>
      <c r="E105" s="895">
        <v>0.2</v>
      </c>
      <c r="F105" s="882">
        <v>30</v>
      </c>
    </row>
    <row r="106" spans="1:6" s="878" customFormat="1" ht="48">
      <c r="A106" s="882">
        <v>46</v>
      </c>
      <c r="B106" s="3352"/>
      <c r="C106" s="882" t="s">
        <v>711</v>
      </c>
      <c r="D106" s="818" t="s">
        <v>712</v>
      </c>
      <c r="E106" s="895">
        <v>0.2</v>
      </c>
      <c r="F106" s="882">
        <v>30</v>
      </c>
    </row>
    <row r="107" spans="1:6" s="878" customFormat="1" ht="36">
      <c r="A107" s="882">
        <v>47</v>
      </c>
      <c r="B107" s="3352" t="s">
        <v>713</v>
      </c>
      <c r="C107" s="882" t="s">
        <v>714</v>
      </c>
      <c r="D107" s="818" t="s">
        <v>715</v>
      </c>
      <c r="E107" s="895">
        <v>0.3</v>
      </c>
      <c r="F107" s="882">
        <v>50</v>
      </c>
    </row>
    <row r="108" spans="1:6" s="878" customFormat="1" ht="48">
      <c r="A108" s="882">
        <v>48</v>
      </c>
      <c r="B108" s="335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352" t="s">
        <v>724</v>
      </c>
      <c r="C111" s="882" t="s">
        <v>725</v>
      </c>
      <c r="D111" s="818" t="s">
        <v>726</v>
      </c>
      <c r="E111" s="895">
        <v>0.2</v>
      </c>
      <c r="F111" s="882">
        <v>30</v>
      </c>
    </row>
    <row r="112" spans="1:6" s="878" customFormat="1" ht="36">
      <c r="A112" s="882">
        <v>52</v>
      </c>
      <c r="B112" s="3352"/>
      <c r="C112" s="882" t="s">
        <v>727</v>
      </c>
      <c r="D112" s="818" t="s">
        <v>728</v>
      </c>
      <c r="E112" s="895">
        <v>0.2</v>
      </c>
      <c r="F112" s="882">
        <v>30</v>
      </c>
    </row>
    <row r="113" spans="1:6" s="878" customFormat="1" ht="36">
      <c r="A113" s="882">
        <v>53</v>
      </c>
      <c r="B113" s="3352"/>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352" t="s">
        <v>737</v>
      </c>
      <c r="C116" s="882" t="s">
        <v>738</v>
      </c>
      <c r="D116" s="818" t="s">
        <v>739</v>
      </c>
      <c r="E116" s="895">
        <v>0.2</v>
      </c>
      <c r="F116" s="882">
        <v>30</v>
      </c>
    </row>
    <row r="117" spans="1:6" ht="36">
      <c r="A117" s="882">
        <v>57</v>
      </c>
      <c r="B117" s="3352"/>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tabColor rgb="FF92D050"/>
  </sheetPr>
  <dimension ref="A1:E13"/>
  <sheetViews>
    <sheetView workbookViewId="0">
      <selection activeCell="F7" sqref="F7"/>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62" t="s">
        <v>2999</v>
      </c>
    </row>
    <row r="2" spans="1:5" ht="15.6">
      <c r="A2" s="2903" t="s">
        <v>2991</v>
      </c>
      <c r="B2" s="2904" t="e">
        <f ca="1">SUMIF(B6:B13,"&lt;&gt;#ref!",B6:B13)</f>
        <v>#DIV/0!</v>
      </c>
      <c r="C2" s="2903" t="s">
        <v>2992</v>
      </c>
      <c r="D2" s="2903" t="s">
        <v>2993</v>
      </c>
      <c r="E2" s="2904">
        <f ca="1">SUMIF(E6:E13,"&lt;&gt;#ref!",E6:E13)</f>
        <v>0</v>
      </c>
    </row>
    <row r="3" spans="1:5" ht="15.6">
      <c r="A3" s="2903" t="s">
        <v>2994</v>
      </c>
      <c r="B3" s="2904" t="e">
        <f ca="1">ROUND(B2*10000/E2,0)</f>
        <v>#DIV/0!</v>
      </c>
      <c r="C3" s="2903" t="s">
        <v>3000</v>
      </c>
      <c r="D3" s="2905"/>
      <c r="E3" s="2905"/>
    </row>
    <row r="4" spans="1:5" ht="15.6">
      <c r="A4" s="2906"/>
      <c r="B4" s="2905"/>
      <c r="C4" s="2905"/>
      <c r="D4" s="2905"/>
      <c r="E4" s="2905"/>
    </row>
    <row r="5" spans="1:5" ht="31.2">
      <c r="A5" s="2907" t="s">
        <v>2995</v>
      </c>
      <c r="B5" s="2903" t="s">
        <v>2996</v>
      </c>
      <c r="C5" s="2904"/>
      <c r="D5" s="2905"/>
      <c r="E5" s="2903" t="s">
        <v>2997</v>
      </c>
    </row>
    <row r="6" spans="1:5" ht="15.6">
      <c r="A6" s="2908" t="s">
        <v>2998</v>
      </c>
      <c r="B6" s="2904" t="e">
        <f ca="1">SUMIF(INDIRECT("'"&amp;A6&amp;"'"&amp;"!A:A"),"总价",INDIRECT("'"&amp;A6&amp;"'"&amp;"!B:B"))</f>
        <v>#DIV/0!</v>
      </c>
      <c r="C6" s="2903" t="s">
        <v>2992</v>
      </c>
      <c r="D6" s="2905"/>
      <c r="E6" s="2576">
        <f ca="1">SUMIF(INDIRECT("'"&amp;A6&amp;"'"&amp;"!C:C"),"建筑面积",INDIRECT("'"&amp;A6&amp;"'"&amp;"!D:D"))</f>
        <v>0</v>
      </c>
    </row>
    <row r="7" spans="1:5" ht="15.6">
      <c r="A7" s="2908"/>
      <c r="B7" s="2904" t="e">
        <f ca="1">SUMIF(INDIRECT("'"&amp;A7&amp;"'"&amp;"!A:A"),"总价",INDIRECT("'"&amp;A7&amp;"'"&amp;"!B:B"))</f>
        <v>#REF!</v>
      </c>
      <c r="C7" s="2903" t="s">
        <v>2992</v>
      </c>
      <c r="D7" s="2905"/>
      <c r="E7" s="2576" t="e">
        <f t="shared" ref="E7:E13" ca="1" si="0">SUMIF(INDIRECT("'"&amp;A7&amp;"'"&amp;"!C:C"),"建筑面积",INDIRECT("'"&amp;A7&amp;"'"&amp;"!D:D"))</f>
        <v>#REF!</v>
      </c>
    </row>
    <row r="8" spans="1:5" ht="15.6">
      <c r="A8" s="2908"/>
      <c r="B8" s="2904" t="e">
        <f t="shared" ref="B8:B13" ca="1" si="1">SUMIF(INDIRECT("'"&amp;A8&amp;"'"&amp;"!A:A"),"总价",INDIRECT("'"&amp;A8&amp;"'"&amp;"!B:B"))</f>
        <v>#REF!</v>
      </c>
      <c r="C8" s="2903" t="s">
        <v>2992</v>
      </c>
      <c r="D8" s="2905"/>
      <c r="E8" s="2576" t="e">
        <f t="shared" ca="1" si="0"/>
        <v>#REF!</v>
      </c>
    </row>
    <row r="9" spans="1:5" ht="15.6">
      <c r="A9" s="2908"/>
      <c r="B9" s="2904" t="e">
        <f t="shared" ca="1" si="1"/>
        <v>#REF!</v>
      </c>
      <c r="C9" s="2903" t="s">
        <v>2992</v>
      </c>
      <c r="D9" s="2905"/>
      <c r="E9" s="2576" t="e">
        <f t="shared" ca="1" si="0"/>
        <v>#REF!</v>
      </c>
    </row>
    <row r="10" spans="1:5" ht="15.6">
      <c r="A10" s="2908"/>
      <c r="B10" s="2904" t="e">
        <f t="shared" ca="1" si="1"/>
        <v>#REF!</v>
      </c>
      <c r="C10" s="2903" t="s">
        <v>2992</v>
      </c>
      <c r="D10" s="2905"/>
      <c r="E10" s="2576" t="e">
        <f t="shared" ca="1" si="0"/>
        <v>#REF!</v>
      </c>
    </row>
    <row r="11" spans="1:5" ht="15.6">
      <c r="A11" s="2908"/>
      <c r="B11" s="2904" t="e">
        <f t="shared" ca="1" si="1"/>
        <v>#REF!</v>
      </c>
      <c r="C11" s="2903" t="s">
        <v>2992</v>
      </c>
      <c r="D11" s="2905"/>
      <c r="E11" s="2576" t="e">
        <f t="shared" ca="1" si="0"/>
        <v>#REF!</v>
      </c>
    </row>
    <row r="12" spans="1:5" ht="15.6">
      <c r="A12" s="2908"/>
      <c r="B12" s="2904" t="e">
        <f t="shared" ca="1" si="1"/>
        <v>#REF!</v>
      </c>
      <c r="C12" s="2903" t="s">
        <v>2992</v>
      </c>
      <c r="D12" s="2905"/>
      <c r="E12" s="2576" t="e">
        <f t="shared" ca="1" si="0"/>
        <v>#REF!</v>
      </c>
    </row>
    <row r="13" spans="1:5" ht="15.6">
      <c r="A13" s="2908"/>
      <c r="B13" s="2904" t="e">
        <f t="shared" ca="1" si="1"/>
        <v>#REF!</v>
      </c>
      <c r="C13" s="2903" t="s">
        <v>2992</v>
      </c>
      <c r="D13" s="2905"/>
      <c r="E13" s="2576" t="e">
        <f t="shared" ca="1" si="0"/>
        <v>#REF!</v>
      </c>
    </row>
  </sheetData>
  <sheetProtection password="C66D" sheet="1" objects="1" scenarios="1" formatCells="0"/>
  <phoneticPr fontId="14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0">
    <tabColor rgb="FF92D050"/>
  </sheetPr>
  <dimension ref="A1:AK83"/>
  <sheetViews>
    <sheetView zoomScale="70" zoomScaleNormal="70" zoomScaleSheetLayoutView="90" workbookViewId="0">
      <selection activeCell="C1" sqref="C1"/>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1583</v>
      </c>
      <c r="B1" s="782"/>
      <c r="C1" s="1836" t="s">
        <v>3084</v>
      </c>
      <c r="D1" s="1819" t="s">
        <v>70</v>
      </c>
      <c r="E1" s="1820" t="s">
        <v>1381</v>
      </c>
      <c r="F1" s="1283">
        <f ca="1">J53</f>
        <v>36.97</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1923</v>
      </c>
      <c r="C2" s="1844" t="s">
        <v>1510</v>
      </c>
      <c r="D2" s="1844"/>
      <c r="E2" s="1845"/>
      <c r="F2" s="1846"/>
      <c r="G2" s="1847"/>
      <c r="H2" s="1839"/>
      <c r="I2" s="1839"/>
      <c r="J2" s="1839"/>
      <c r="K2" s="1840"/>
      <c r="L2" s="1839"/>
      <c r="M2" s="1839"/>
    </row>
    <row r="3" spans="1:37" ht="18" customHeight="1" thickBot="1">
      <c r="A3" s="1848" t="s">
        <v>1511</v>
      </c>
      <c r="B3" s="1849">
        <f ca="1">IF(ISERROR(B2*10000/F43),0,ROUND(B2*10000/F43,0))</f>
        <v>2617</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176</v>
      </c>
      <c r="D5" s="1821" t="s">
        <v>1396</v>
      </c>
      <c r="E5" s="1293"/>
      <c r="F5" s="1294"/>
      <c r="G5" s="1850"/>
      <c r="H5" s="344">
        <v>1</v>
      </c>
      <c r="I5" s="345" t="s">
        <v>1395</v>
      </c>
      <c r="J5" s="1292">
        <f ca="1">J6+J10+J12</f>
        <v>0</v>
      </c>
      <c r="K5" s="1821" t="s">
        <v>1396</v>
      </c>
      <c r="L5" s="1293"/>
      <c r="M5" s="1294"/>
    </row>
    <row r="6" spans="1:37" ht="18" customHeight="1">
      <c r="A6" s="1291" t="s">
        <v>1031</v>
      </c>
      <c r="B6" s="3278" t="s">
        <v>1397</v>
      </c>
      <c r="C6" s="1296">
        <f ca="1">ROUND(F6*F8*F7*(1-F9)/10000,0)</f>
        <v>176</v>
      </c>
      <c r="D6" s="164" t="s">
        <v>3028</v>
      </c>
      <c r="E6" s="347" t="s">
        <v>1399</v>
      </c>
      <c r="F6" s="348">
        <f ca="1">INDIRECT("'数据-取费表'!u"&amp;$G$1)</f>
        <v>0.73</v>
      </c>
      <c r="G6" s="1850"/>
      <c r="H6" s="1291" t="s">
        <v>1031</v>
      </c>
      <c r="I6" s="3278" t="s">
        <v>1397</v>
      </c>
      <c r="J6" s="346">
        <f ca="1">ROUND(M6*M8*M7*(1-M9)/10000,0)</f>
        <v>0</v>
      </c>
      <c r="K6" s="164" t="s">
        <v>3027</v>
      </c>
      <c r="L6" s="347" t="s">
        <v>1399</v>
      </c>
      <c r="M6" s="348">
        <f ca="1">INDIRECT("'数据-取费表'!z"&amp;$G$1)</f>
        <v>0</v>
      </c>
    </row>
    <row r="7" spans="1:37" ht="18" customHeight="1">
      <c r="A7" s="1295"/>
      <c r="B7" s="3279"/>
      <c r="C7" s="1297"/>
      <c r="D7" s="352"/>
      <c r="E7" s="2957" t="s">
        <v>1400</v>
      </c>
      <c r="F7" s="348">
        <f ca="1">IF(INDIRECT("'数据-取费表'!ah"&amp;$G$1)="",INDIRECT("'数据-取费表'!k"&amp;$G$1),INDIRECT("'数据-取费表'!ah"&amp;$G$1))</f>
        <v>7349.44</v>
      </c>
      <c r="G7" s="1850"/>
      <c r="H7" s="349"/>
      <c r="I7" s="3279"/>
      <c r="J7" s="351"/>
      <c r="K7" s="352"/>
      <c r="L7" s="347" t="s">
        <v>1400</v>
      </c>
      <c r="M7" s="348">
        <f ca="1">F7</f>
        <v>7349.44</v>
      </c>
    </row>
    <row r="8" spans="1:37" ht="18" customHeight="1">
      <c r="A8" s="349"/>
      <c r="B8" s="3279"/>
      <c r="C8" s="351"/>
      <c r="D8" s="352"/>
      <c r="E8" s="347" t="s">
        <v>1401</v>
      </c>
      <c r="F8" s="348">
        <f ca="1">INDIRECT("'数据-取费表'!ai"&amp;$G$1)</f>
        <v>365</v>
      </c>
      <c r="G8" s="1850"/>
      <c r="H8" s="349"/>
      <c r="I8" s="3279"/>
      <c r="J8" s="351"/>
      <c r="K8" s="352"/>
      <c r="L8" s="347" t="s">
        <v>1401</v>
      </c>
      <c r="M8" s="348">
        <f ca="1">INDIRECT("'数据-取费表'!ai"&amp;$G$1)</f>
        <v>365</v>
      </c>
    </row>
    <row r="9" spans="1:37" ht="18" customHeight="1">
      <c r="A9" s="349"/>
      <c r="B9" s="3280"/>
      <c r="C9" s="351"/>
      <c r="D9" s="352"/>
      <c r="E9" s="347" t="s">
        <v>1402</v>
      </c>
      <c r="F9" s="357">
        <f ca="1">INDIRECT("'数据-取费表'!w"&amp;$G$1)</f>
        <v>0.1</v>
      </c>
      <c r="G9" s="1850"/>
      <c r="H9" s="349"/>
      <c r="I9" s="3280"/>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3036</v>
      </c>
      <c r="E10" s="358" t="s">
        <v>1404</v>
      </c>
      <c r="F10" s="1366" t="s">
        <v>3083</v>
      </c>
      <c r="G10" s="1850"/>
      <c r="H10" s="1291" t="s">
        <v>1035</v>
      </c>
      <c r="I10" s="1822" t="s">
        <v>1403</v>
      </c>
      <c r="J10" s="346">
        <f ca="1">ROUND(IF(M10="押一",J6/12*M11,IF(M10="押二",J6/12*2*M11,IF(M10="押三",J6/12*3*M11,J11*M11))),0)</f>
        <v>0</v>
      </c>
      <c r="K10" s="1823" t="s">
        <v>3036</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3828</v>
      </c>
      <c r="D13" s="1331" t="s">
        <v>1409</v>
      </c>
      <c r="E13" s="1331" t="s">
        <v>1410</v>
      </c>
      <c r="F13" s="1332">
        <f ca="1">INDIRECT("'数据-取费表'!y"&amp;$G$1)</f>
        <v>0.97</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2572</v>
      </c>
      <c r="D14" s="2960" t="s">
        <v>1412</v>
      </c>
      <c r="E14" s="2959"/>
      <c r="F14" s="364"/>
      <c r="G14" s="1850"/>
      <c r="H14" s="1201" t="s">
        <v>1031</v>
      </c>
      <c r="I14" s="347" t="s">
        <v>1413</v>
      </c>
      <c r="J14" s="24">
        <f ca="1">C29</f>
        <v>3946</v>
      </c>
      <c r="K14" s="2956"/>
      <c r="L14" s="979"/>
      <c r="M14" s="980"/>
    </row>
    <row r="15" spans="1:37" s="1857" customFormat="1" ht="18" customHeight="1" thickBot="1">
      <c r="A15" s="1201" t="s">
        <v>1032</v>
      </c>
      <c r="B15" s="347" t="s">
        <v>1414</v>
      </c>
      <c r="C15" s="24">
        <f ca="1">ROUND(C14*F15,0)</f>
        <v>103</v>
      </c>
      <c r="D15" s="365" t="s">
        <v>1415</v>
      </c>
      <c r="E15" s="365" t="s">
        <v>1416</v>
      </c>
      <c r="F15" s="366">
        <f>'数据-取费表'!B33</f>
        <v>0.04</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92</v>
      </c>
      <c r="K16" s="1337" t="s">
        <v>1419</v>
      </c>
      <c r="L16" s="2962"/>
      <c r="M16" s="1294"/>
    </row>
    <row r="17" spans="1:37" s="1857" customFormat="1" ht="18" customHeight="1">
      <c r="A17" s="1201" t="s">
        <v>1384</v>
      </c>
      <c r="B17" s="347" t="s">
        <v>1420</v>
      </c>
      <c r="C17" s="24">
        <f ca="1">ROUND(F17*(F43+INDIRECT("'数据-取费表'!S"&amp;$G$1))/10000,0)</f>
        <v>147</v>
      </c>
      <c r="D17" s="347" t="s">
        <v>1421</v>
      </c>
      <c r="E17" s="347" t="s">
        <v>1422</v>
      </c>
      <c r="F17" s="26">
        <f>'数据-取费表'!B35</f>
        <v>200</v>
      </c>
      <c r="G17" s="1853"/>
      <c r="H17" s="1201" t="s">
        <v>1031</v>
      </c>
      <c r="I17" s="347" t="s">
        <v>1423</v>
      </c>
      <c r="J17" s="24">
        <f ca="1">ROUND(IF(项目基本情况!B11="自然人",J6*M17/(1+'数据-取费表'!C42),J18+J19+J20),1)</f>
        <v>33.200000000000003</v>
      </c>
      <c r="K17" s="2960" t="s">
        <v>1424</v>
      </c>
      <c r="L17" s="2961"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39</v>
      </c>
      <c r="D18" s="347" t="s">
        <v>1415</v>
      </c>
      <c r="E18" s="347" t="s">
        <v>1416</v>
      </c>
      <c r="F18" s="367">
        <f>'数据-取费表'!B36</f>
        <v>1.4999999999999999E-2</v>
      </c>
      <c r="G18" s="1853"/>
      <c r="H18" s="1201" t="s">
        <v>1030</v>
      </c>
      <c r="I18" s="347" t="s">
        <v>1427</v>
      </c>
      <c r="J18" s="24">
        <f ca="1">ROUND(J6*M18/(1+'数据-取费表'!C42),2)</f>
        <v>0</v>
      </c>
      <c r="K18" s="2961"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2861</v>
      </c>
      <c r="D19" s="140" t="s">
        <v>1430</v>
      </c>
      <c r="E19" s="2955"/>
      <c r="F19" s="26"/>
      <c r="G19" s="1850"/>
      <c r="H19" s="1201" t="s">
        <v>1032</v>
      </c>
      <c r="I19" s="347" t="s">
        <v>1431</v>
      </c>
      <c r="J19" s="24">
        <f ca="1">IF(K19="按租金收入计税",ROUND(J6*M19/(1+'数据-取费表'!C42),2),ROUND(C29*M19*0.7,2))</f>
        <v>33.15</v>
      </c>
      <c r="K19" s="1827" t="s">
        <v>1432</v>
      </c>
      <c r="L19" s="347" t="s">
        <v>1416</v>
      </c>
      <c r="M19" s="367">
        <f>IF(K19="按租金收入计税",'数据-取费表'!B51,'数据-取费表'!B50)</f>
        <v>1.2E-2</v>
      </c>
    </row>
    <row r="20" spans="1:37" s="1857" customFormat="1" ht="18" customHeight="1">
      <c r="A20" s="1201" t="s">
        <v>1035</v>
      </c>
      <c r="B20" s="347" t="s">
        <v>1433</v>
      </c>
      <c r="C20" s="24">
        <f ca="1">ROUND(C19*F20,0)</f>
        <v>57</v>
      </c>
      <c r="D20" s="369" t="s">
        <v>1434</v>
      </c>
      <c r="E20" s="347" t="s">
        <v>1416</v>
      </c>
      <c r="F20" s="367">
        <f>'数据-取费表'!B37</f>
        <v>0.02</v>
      </c>
      <c r="G20" s="1853"/>
      <c r="H20" s="1201" t="s">
        <v>1383</v>
      </c>
      <c r="I20" s="164" t="s">
        <v>1435</v>
      </c>
      <c r="J20" s="25">
        <f ca="1">ROUND(M20*M21/10000,2)</f>
        <v>0</v>
      </c>
      <c r="K20" s="370" t="s">
        <v>1436</v>
      </c>
      <c r="L20" s="347" t="s">
        <v>1437</v>
      </c>
      <c r="M20" s="371">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5"/>
      <c r="F22" s="26"/>
      <c r="G22" s="1850"/>
      <c r="H22" s="1201" t="s">
        <v>1035</v>
      </c>
      <c r="I22" s="347" t="s">
        <v>1443</v>
      </c>
      <c r="J22" s="24">
        <f ca="1">ROUND(J14*M22,1)</f>
        <v>59.2</v>
      </c>
      <c r="K22" s="2961"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139</v>
      </c>
      <c r="D23" s="375" t="str">
        <f>IF(F23&lt;=1,"(建造成本+管理费用)×利率×(建设周期÷2)","(建造成本+管理费用)×((1+利率)^(建设周期÷2)-1)")</f>
        <v>(建造成本+管理费用)×((1+利率)^(建设周期÷2)-1)</v>
      </c>
      <c r="E23" s="347" t="s">
        <v>1446</v>
      </c>
      <c r="F23" s="371">
        <f>'数据-取费表'!B20</f>
        <v>2</v>
      </c>
      <c r="G23" s="1853"/>
      <c r="H23" s="1201" t="s">
        <v>1071</v>
      </c>
      <c r="I23" s="347" t="s">
        <v>1447</v>
      </c>
      <c r="J23" s="24">
        <f ca="1">ROUND(J13*M23,1)</f>
        <v>0</v>
      </c>
      <c r="K23" s="2961" t="s">
        <v>1448</v>
      </c>
      <c r="L23" s="347" t="s">
        <v>1416</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9" t="s">
        <v>1386</v>
      </c>
      <c r="I24" s="1340" t="s">
        <v>1433</v>
      </c>
      <c r="J24" s="1341">
        <f ca="1">ROUND(J5*M24,1)</f>
        <v>0</v>
      </c>
      <c r="K24" s="1342" t="s">
        <v>1453</v>
      </c>
      <c r="L24" s="1340" t="s">
        <v>1416</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2955"/>
      <c r="F25" s="26"/>
      <c r="G25" s="1850"/>
      <c r="H25" s="1329" t="s">
        <v>1027</v>
      </c>
      <c r="I25" s="1344" t="s">
        <v>1457</v>
      </c>
      <c r="J25" s="355">
        <f ca="1">J5-J16</f>
        <v>-92</v>
      </c>
      <c r="K25" s="1345" t="s">
        <v>1458</v>
      </c>
      <c r="L25" s="1346"/>
      <c r="M25" s="1347"/>
    </row>
    <row r="26" spans="1:37">
      <c r="A26" s="1201" t="s">
        <v>1030</v>
      </c>
      <c r="B26" s="347" t="s">
        <v>1459</v>
      </c>
      <c r="C26" s="24">
        <f ca="1">ROUND((C19+C20)*F26,0)</f>
        <v>584</v>
      </c>
      <c r="D26" s="369" t="s">
        <v>1460</v>
      </c>
      <c r="E26" s="358" t="s">
        <v>1461</v>
      </c>
      <c r="F26" s="357">
        <f ca="1">INDIRECT("'数据-取费表'!q"&amp;$G$1)</f>
        <v>0.2</v>
      </c>
      <c r="G26" s="1850"/>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3946</v>
      </c>
      <c r="D29" s="1342"/>
      <c r="E29" s="1340"/>
      <c r="F29" s="1343"/>
      <c r="G29" s="1853"/>
      <c r="H29" s="380" t="s">
        <v>1029</v>
      </c>
      <c r="I29" s="381" t="s">
        <v>1473</v>
      </c>
      <c r="J29" s="382">
        <f ca="1">ROUND(J26/(1+F40)^F41,0)</f>
        <v>0</v>
      </c>
      <c r="K29" s="383" t="s">
        <v>1474</v>
      </c>
      <c r="L29" s="384"/>
      <c r="M29" s="385">
        <f ca="1">INDIRECT("'数据-取费表'!k"&amp;$G$1)</f>
        <v>7349.44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97</v>
      </c>
      <c r="D30" s="1337" t="s">
        <v>1419</v>
      </c>
      <c r="E30" s="2962"/>
      <c r="F30" s="1294"/>
      <c r="G30" s="1850"/>
      <c r="H30" s="745"/>
      <c r="I30" s="746"/>
      <c r="J30" s="747"/>
      <c r="K30" s="748"/>
      <c r="L30" s="749"/>
      <c r="M30" s="750"/>
    </row>
    <row r="31" spans="1:37" ht="18" customHeight="1">
      <c r="A31" s="1201" t="s">
        <v>1031</v>
      </c>
      <c r="B31" s="347" t="s">
        <v>1423</v>
      </c>
      <c r="C31" s="24">
        <f ca="1">ROUND(IF(项目基本情况!B11="自然人",C6*F31/(1+'数据-取费表'!C42),C32+C33+C34),1)</f>
        <v>29.3</v>
      </c>
      <c r="D31" s="2960" t="s">
        <v>1424</v>
      </c>
      <c r="E31" s="2961"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9.2200000000000006</v>
      </c>
      <c r="D32" s="2961"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20.11</v>
      </c>
      <c r="D33" s="1827" t="s">
        <v>3080</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0</v>
      </c>
      <c r="D34" s="370" t="s">
        <v>1436</v>
      </c>
      <c r="E34" s="347" t="s">
        <v>1437</v>
      </c>
      <c r="F34" s="371">
        <f>'数据-取费表'!B52</f>
        <v>5</v>
      </c>
      <c r="G34" s="1850"/>
      <c r="H34" s="745"/>
      <c r="I34" s="1859"/>
      <c r="J34" s="1860"/>
      <c r="K34" s="1862"/>
      <c r="L34" s="1863"/>
      <c r="M34" s="1863"/>
    </row>
    <row r="35" spans="1:18" ht="18" customHeight="1">
      <c r="A35" s="1353"/>
      <c r="B35" s="1351"/>
      <c r="C35" s="29"/>
      <c r="D35" s="373"/>
      <c r="E35" s="347" t="s">
        <v>1441</v>
      </c>
      <c r="F35" s="348">
        <f ca="1">INDIRECT("'数据-取费表'!r"&amp;$G$1)</f>
        <v>0</v>
      </c>
      <c r="G35" s="1850"/>
      <c r="H35" s="745"/>
      <c r="I35" s="1859"/>
      <c r="J35" s="1860"/>
      <c r="K35" s="1861"/>
      <c r="L35" s="1858"/>
      <c r="M35" s="1858"/>
    </row>
    <row r="36" spans="1:18" ht="18" customHeight="1">
      <c r="A36" s="1352" t="s">
        <v>1035</v>
      </c>
      <c r="B36" s="347" t="s">
        <v>1443</v>
      </c>
      <c r="C36" s="24">
        <f ca="1">ROUND(C29*F36,1)</f>
        <v>59.2</v>
      </c>
      <c r="D36" s="2961"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5.7</v>
      </c>
      <c r="D37" s="2961" t="s">
        <v>1448</v>
      </c>
      <c r="E37" s="347" t="s">
        <v>1416</v>
      </c>
      <c r="F37" s="376">
        <f ca="1">INDIRECT("'数据-取费表'!Al"&amp;$G$1)</f>
        <v>1.5E-3</v>
      </c>
      <c r="G37" s="1850"/>
      <c r="H37" s="1858"/>
      <c r="I37" s="1859"/>
      <c r="J37" s="1860"/>
      <c r="K37" s="751"/>
      <c r="L37" s="1858"/>
      <c r="M37" s="1858"/>
    </row>
    <row r="38" spans="1:18" ht="18" customHeight="1" thickBot="1">
      <c r="A38" s="1339" t="s">
        <v>1386</v>
      </c>
      <c r="B38" s="1340" t="s">
        <v>1433</v>
      </c>
      <c r="C38" s="1341">
        <f ca="1">ROUND(C5*F38,1)</f>
        <v>2.6</v>
      </c>
      <c r="D38" s="1342" t="s">
        <v>1453</v>
      </c>
      <c r="E38" s="1340" t="s">
        <v>1416</v>
      </c>
      <c r="F38" s="1336">
        <f ca="1">INDIRECT("'数据-取费表'!Am"&amp;$G$1)</f>
        <v>1.4999999999999999E-2</v>
      </c>
      <c r="G38" s="1850"/>
      <c r="H38" s="1858"/>
      <c r="I38" s="1859"/>
      <c r="J38" s="1860"/>
      <c r="K38" s="1864"/>
      <c r="L38" s="1858"/>
      <c r="M38" s="1858"/>
    </row>
    <row r="39" spans="1:18" ht="24.6" customHeight="1" thickTop="1">
      <c r="A39" s="1329" t="s">
        <v>1027</v>
      </c>
      <c r="B39" s="1344" t="s">
        <v>1457</v>
      </c>
      <c r="C39" s="355">
        <f ca="1">C5-C30</f>
        <v>79</v>
      </c>
      <c r="D39" s="1345" t="s">
        <v>1458</v>
      </c>
      <c r="E39" s="1346"/>
      <c r="F39" s="1347"/>
      <c r="G39" s="1850"/>
      <c r="H39" s="1858"/>
      <c r="I39" s="1859"/>
      <c r="J39" s="1860"/>
      <c r="K39" s="1864"/>
      <c r="L39" s="1858"/>
      <c r="M39" s="1858"/>
    </row>
    <row r="40" spans="1:18" ht="18" customHeight="1">
      <c r="A40" s="344" t="s">
        <v>1028</v>
      </c>
      <c r="B40" s="345" t="s">
        <v>1479</v>
      </c>
      <c r="C40" s="346">
        <f ca="1">ROUND(C39*(1-((1+F42)/(1+F40))^F41)/(F40-F42),0)</f>
        <v>1858</v>
      </c>
      <c r="D40" s="370" t="s">
        <v>1463</v>
      </c>
      <c r="E40" s="347" t="s">
        <v>1464</v>
      </c>
      <c r="F40" s="357">
        <f ca="1">INDIRECT("'数据-取费表'!I"&amp;$G$1)</f>
        <v>5.5E-2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36.97</v>
      </c>
      <c r="G41" s="1850"/>
      <c r="H41" s="732"/>
      <c r="I41" s="1859"/>
      <c r="J41" s="1860"/>
      <c r="K41" s="751"/>
      <c r="L41" s="732"/>
      <c r="M41" s="732"/>
    </row>
    <row r="42" spans="1:18" ht="18" customHeight="1">
      <c r="A42" s="353"/>
      <c r="B42" s="354"/>
      <c r="C42" s="355"/>
      <c r="D42" s="373"/>
      <c r="E42" s="347" t="s">
        <v>1471</v>
      </c>
      <c r="F42" s="357">
        <f ca="1">INDIRECT("'数据-取费表'!v"&amp;$G$1)</f>
        <v>0.03</v>
      </c>
      <c r="G42" s="1850"/>
      <c r="H42" s="732"/>
      <c r="I42" s="1859"/>
      <c r="J42" s="1860"/>
      <c r="K42" s="751"/>
      <c r="L42" s="732"/>
      <c r="M42" s="732"/>
    </row>
    <row r="43" spans="1:18" ht="18" customHeight="1" thickBot="1">
      <c r="A43" s="380" t="s">
        <v>1029</v>
      </c>
      <c r="B43" s="381" t="s">
        <v>1481</v>
      </c>
      <c r="C43" s="382">
        <f ca="1">ROUND(C40*10000/F43,0)</f>
        <v>2528</v>
      </c>
      <c r="D43" s="383" t="s">
        <v>1482</v>
      </c>
      <c r="E43" s="384" t="s">
        <v>1483</v>
      </c>
      <c r="F43" s="385">
        <f ca="1">INDIRECT("'数据-取费表'!k"&amp;$G$1)</f>
        <v>7349.44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8" thickBot="1">
      <c r="A46" s="1869" t="s">
        <v>1514</v>
      </c>
      <c r="C46" s="1870">
        <f ca="1">C68-C40</f>
        <v>-8063</v>
      </c>
      <c r="D46" s="1871" t="str">
        <f>C2</f>
        <v>万元</v>
      </c>
      <c r="E46" s="1865"/>
      <c r="F46" s="1865"/>
      <c r="I46" s="1872" t="s">
        <v>1515</v>
      </c>
      <c r="J46" s="1873"/>
      <c r="K46" s="1874"/>
      <c r="L46" s="1875">
        <f ca="1">IF(M47="住宅",0,IF(L48&gt;J51,L60,J60))</f>
        <v>65</v>
      </c>
      <c r="O46" s="1876" t="s">
        <v>1516</v>
      </c>
      <c r="P46" s="1877" t="s">
        <v>1517</v>
      </c>
      <c r="Q46" s="1878" t="s">
        <v>1518</v>
      </c>
      <c r="R46" s="1878" t="s">
        <v>1519</v>
      </c>
    </row>
    <row r="47" spans="1:18" s="1841" customFormat="1" ht="13.8" thickBot="1">
      <c r="A47" s="1165" t="s">
        <v>1390</v>
      </c>
      <c r="B47" s="1197" t="s">
        <v>1391</v>
      </c>
      <c r="C47" s="1367" t="s">
        <v>1392</v>
      </c>
      <c r="D47" s="1197" t="s">
        <v>1393</v>
      </c>
      <c r="E47" s="1279" t="s">
        <v>1394</v>
      </c>
      <c r="F47" s="1280"/>
      <c r="G47" s="792"/>
      <c r="I47" s="1879" t="s">
        <v>1520</v>
      </c>
      <c r="J47" s="1880" t="s">
        <v>3081</v>
      </c>
      <c r="K47" s="1881" t="s">
        <v>1521</v>
      </c>
      <c r="L47" s="1882">
        <f ca="1">INDIRECT("'数据-取费表'!d"&amp;$G$1)</f>
        <v>40</v>
      </c>
      <c r="M47" s="1837" t="str">
        <f>IF(ISNUMBER(FIND("住宅",C1)),"住宅","非住宅")</f>
        <v>非住宅</v>
      </c>
      <c r="O47" s="1883" t="s">
        <v>1036</v>
      </c>
      <c r="P47" s="1884" t="s">
        <v>1522</v>
      </c>
      <c r="Q47" s="1885">
        <f ca="1">C40+J29</f>
        <v>1858</v>
      </c>
      <c r="R47" s="1885" t="s">
        <v>1523</v>
      </c>
    </row>
    <row r="48" spans="1:18" s="1841" customFormat="1" ht="40.200000000000003" thickBot="1">
      <c r="A48" s="1360" t="s">
        <v>1131</v>
      </c>
      <c r="B48" s="345" t="s">
        <v>1395</v>
      </c>
      <c r="C48" s="2954">
        <f ca="1">C49+C53+C55</f>
        <v>0</v>
      </c>
      <c r="D48" s="1362"/>
      <c r="E48" s="1363"/>
      <c r="F48" s="1181"/>
      <c r="G48" s="792"/>
      <c r="H48" s="793"/>
      <c r="I48" s="1886" t="s">
        <v>1524</v>
      </c>
      <c r="J48" s="1887" t="s">
        <v>3082</v>
      </c>
      <c r="K48" s="1888" t="s">
        <v>1525</v>
      </c>
      <c r="L48" s="1889">
        <f ca="1">INDIRECT("'数据-取费表'!f"&amp;$G$1)</f>
        <v>36.97</v>
      </c>
      <c r="O48" s="1883" t="s">
        <v>1037</v>
      </c>
      <c r="P48" s="1884" t="s">
        <v>1526</v>
      </c>
      <c r="Q48" s="1885">
        <f ca="1">J60</f>
        <v>65</v>
      </c>
      <c r="R48" s="1885" t="s">
        <v>1527</v>
      </c>
    </row>
    <row r="49" spans="1:18" s="1841" customFormat="1" ht="13.8" thickBot="1">
      <c r="A49" s="1194" t="s">
        <v>1132</v>
      </c>
      <c r="B49" s="1828" t="s">
        <v>1484</v>
      </c>
      <c r="C49" s="1364">
        <f ca="1">ROUND(F49*F51*F50*(1-F52)/10000,0)</f>
        <v>0</v>
      </c>
      <c r="D49" s="1276" t="s">
        <v>3027</v>
      </c>
      <c r="E49" s="1829" t="s">
        <v>1485</v>
      </c>
      <c r="F49" s="1281"/>
      <c r="G49" s="1890"/>
      <c r="H49" s="793"/>
      <c r="I49" s="1886" t="s">
        <v>1528</v>
      </c>
      <c r="J49" s="1891">
        <v>2018</v>
      </c>
      <c r="K49" s="1888" t="s">
        <v>1529</v>
      </c>
      <c r="L49" s="1892"/>
      <c r="O49" s="1893" t="s">
        <v>1038</v>
      </c>
      <c r="P49" s="1884" t="s">
        <v>1530</v>
      </c>
      <c r="Q49" s="1885">
        <f ca="1">C29</f>
        <v>3946</v>
      </c>
      <c r="R49" s="1885" t="s">
        <v>1523</v>
      </c>
    </row>
    <row r="50" spans="1:18" s="1841" customFormat="1" ht="13.8" thickBot="1">
      <c r="A50" s="1195"/>
      <c r="B50" s="1198"/>
      <c r="C50" s="1368"/>
      <c r="D50" s="1172"/>
      <c r="E50" s="1277" t="s">
        <v>1400</v>
      </c>
      <c r="F50" s="1278">
        <f ca="1">F7</f>
        <v>7349.44</v>
      </c>
      <c r="H50" s="793"/>
      <c r="I50" s="1886" t="s">
        <v>1531</v>
      </c>
      <c r="J50" s="1894">
        <f>SUMPRODUCT((I63:I65=J47)*(J62:L62=J48)*(J63:L65))</f>
        <v>60</v>
      </c>
      <c r="K50" s="1888" t="s">
        <v>1532</v>
      </c>
      <c r="L50" s="1892"/>
      <c r="M50" s="1895"/>
      <c r="O50" s="1893" t="s">
        <v>1039</v>
      </c>
      <c r="P50" s="1884" t="s">
        <v>1533</v>
      </c>
      <c r="Q50" s="1896">
        <f ca="1">J58</f>
        <v>0.4</v>
      </c>
      <c r="R50" s="1885"/>
    </row>
    <row r="51" spans="1:18" s="1841" customFormat="1" ht="13.8" thickBot="1">
      <c r="A51" s="1196"/>
      <c r="B51" s="1198"/>
      <c r="C51" s="1199"/>
      <c r="D51" s="1172"/>
      <c r="E51" s="1200" t="s">
        <v>1401</v>
      </c>
      <c r="F51" s="348">
        <f ca="1">F8</f>
        <v>365</v>
      </c>
      <c r="I51" s="1897" t="s">
        <v>1534</v>
      </c>
      <c r="J51" s="1898">
        <f>IF(J49="",J50,J49+J50-YEAR('数据-取费表'!B2))</f>
        <v>58</v>
      </c>
      <c r="K51" s="1899" t="s">
        <v>1535</v>
      </c>
      <c r="L51" s="1900">
        <f ca="1">ROUND(-PV(INDIRECT("'数据-取费表'!h"&amp;$G$1),L48,(C39-C13*C76),0),0)</f>
        <v>-4116</v>
      </c>
      <c r="M51" s="1901"/>
      <c r="O51" s="1893" t="s">
        <v>1040</v>
      </c>
      <c r="P51" s="1884" t="s">
        <v>1536</v>
      </c>
      <c r="Q51" s="1896">
        <f>J52</f>
        <v>0.09</v>
      </c>
      <c r="R51" s="1885"/>
    </row>
    <row r="52" spans="1:18" s="1841" customFormat="1" ht="13.8" thickBot="1">
      <c r="A52" s="1196"/>
      <c r="B52" s="1198"/>
      <c r="C52" s="1199"/>
      <c r="D52" s="1172"/>
      <c r="E52" s="1200" t="s">
        <v>1402</v>
      </c>
      <c r="F52" s="1275"/>
      <c r="I52" s="1902" t="s">
        <v>1537</v>
      </c>
      <c r="J52" s="1903">
        <v>0.09</v>
      </c>
      <c r="K52" s="1902" t="s">
        <v>1538</v>
      </c>
      <c r="L52" s="1903"/>
      <c r="O52" s="1893" t="s">
        <v>1041</v>
      </c>
      <c r="P52" s="1884" t="s">
        <v>1539</v>
      </c>
      <c r="Q52" s="1885">
        <f ca="1">J53</f>
        <v>36.97</v>
      </c>
      <c r="R52" s="1885" t="s">
        <v>1540</v>
      </c>
    </row>
    <row r="53" spans="1:18" s="1841" customFormat="1" ht="36.6" thickBot="1">
      <c r="A53" s="1405" t="s">
        <v>1133</v>
      </c>
      <c r="B53" s="1830" t="s">
        <v>1403</v>
      </c>
      <c r="C53" s="361">
        <f ca="1">ROUND(IF(F53="押一",C49/12*F11,IF(F53="押二",C49/12*2*F11,IF(F53="押三",C49/12*3*F11,C54*F11))),0)</f>
        <v>0</v>
      </c>
      <c r="D53" s="1823" t="s">
        <v>3036</v>
      </c>
      <c r="E53" s="358" t="s">
        <v>1404</v>
      </c>
      <c r="F53" s="1366"/>
      <c r="I53" s="1904" t="s">
        <v>1541</v>
      </c>
      <c r="J53" s="2951">
        <f ca="1">IF(M47="住宅",IF(D1="——",MAX(J51,L48),MAX(J51,L48-'数据-取费表'!B24)),IF(D1="——",MIN(J51,L48),MIN(J51,L48-'数据-取费表'!B24)))</f>
        <v>36.97</v>
      </c>
      <c r="K53" s="3276" t="s">
        <v>1542</v>
      </c>
      <c r="L53" s="3277"/>
      <c r="O53" s="1883" t="s">
        <v>1042</v>
      </c>
      <c r="P53" s="1884" t="s">
        <v>1543</v>
      </c>
      <c r="Q53" s="1885">
        <f ca="1">Q47+Q48</f>
        <v>1923</v>
      </c>
      <c r="R53" s="1885" t="s">
        <v>1043</v>
      </c>
    </row>
    <row r="54" spans="1:18" s="1841" customFormat="1" ht="24.6" thickBot="1">
      <c r="A54" s="1406"/>
      <c r="B54" s="1824" t="s">
        <v>1382</v>
      </c>
      <c r="C54" s="1178"/>
      <c r="D54" s="1823"/>
      <c r="E54" s="2958"/>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8" thickBot="1">
      <c r="A55" s="1333" t="s">
        <v>1071</v>
      </c>
      <c r="B55" s="1826" t="s">
        <v>1407</v>
      </c>
      <c r="C55" s="1334"/>
      <c r="D55" s="1823"/>
      <c r="E55" s="2958"/>
      <c r="F55" s="1905"/>
      <c r="I55" s="1908" t="s">
        <v>1545</v>
      </c>
      <c r="J55" s="1909">
        <f ca="1">ROUND(IF(J47="钢混",J57/J50,1-(1-2%)*(J50-J57)/J50),3)</f>
        <v>0.35099999999999998</v>
      </c>
      <c r="K55" s="1910" t="s">
        <v>1546</v>
      </c>
      <c r="L55" s="1911" t="s">
        <v>1547</v>
      </c>
      <c r="O55" s="1876" t="s">
        <v>1516</v>
      </c>
      <c r="P55" s="1877" t="s">
        <v>1517</v>
      </c>
      <c r="Q55" s="1878" t="s">
        <v>1518</v>
      </c>
      <c r="R55" s="1878" t="s">
        <v>1519</v>
      </c>
    </row>
    <row r="56" spans="1:18" s="1841" customFormat="1" ht="37.200000000000003" thickTop="1" thickBot="1">
      <c r="A56" s="1176">
        <v>2</v>
      </c>
      <c r="B56" s="1177" t="s">
        <v>1408</v>
      </c>
      <c r="C56" s="276">
        <f ca="1">C13</f>
        <v>3828</v>
      </c>
      <c r="D56" s="1912"/>
      <c r="E56" s="1913"/>
      <c r="F56" s="1905"/>
      <c r="I56" s="1914" t="s">
        <v>1548</v>
      </c>
      <c r="J56" s="1915" t="s">
        <v>3059</v>
      </c>
      <c r="K56" s="1886" t="s">
        <v>1549</v>
      </c>
      <c r="L56" s="1889" t="str">
        <f ca="1">IF(L48&lt;J51,"——",L48-J53)</f>
        <v>——</v>
      </c>
      <c r="O56" s="1883" t="s">
        <v>1036</v>
      </c>
      <c r="P56" s="1884" t="s">
        <v>1522</v>
      </c>
      <c r="Q56" s="1885">
        <f ca="1">C40+J29</f>
        <v>1858</v>
      </c>
      <c r="R56" s="1885" t="s">
        <v>1523</v>
      </c>
    </row>
    <row r="57" spans="1:18" s="1841" customFormat="1" ht="24.6" thickBot="1">
      <c r="A57" s="1916"/>
      <c r="B57" s="1169" t="s">
        <v>1472</v>
      </c>
      <c r="C57" s="282">
        <f ca="1">C29</f>
        <v>3946</v>
      </c>
      <c r="D57" s="1917"/>
      <c r="E57" s="1918"/>
      <c r="F57" s="1919"/>
      <c r="I57" s="1920" t="s">
        <v>1550</v>
      </c>
      <c r="J57" s="1921">
        <f ca="1">IF(OR(M47="住宅",J51&lt;L48,J56="是"),"——",J51-L48)</f>
        <v>21.03</v>
      </c>
      <c r="K57" s="1886" t="s">
        <v>1551</v>
      </c>
      <c r="L57" s="1889" t="str">
        <f ca="1">IF(L48&lt;J51,"——",IF(L55="比较法",L49,IF(L55="基准地价",L50,L51)))</f>
        <v>——</v>
      </c>
      <c r="O57" s="1883" t="s">
        <v>1037</v>
      </c>
      <c r="P57" s="1884" t="s">
        <v>1552</v>
      </c>
      <c r="Q57" s="1885">
        <f ca="1">L60</f>
        <v>0</v>
      </c>
      <c r="R57" s="1885" t="s">
        <v>1553</v>
      </c>
    </row>
    <row r="58" spans="1:18" s="1841" customFormat="1" ht="24.6" thickBot="1">
      <c r="A58" s="360" t="s">
        <v>1026</v>
      </c>
      <c r="B58" s="1177" t="s">
        <v>1418</v>
      </c>
      <c r="C58" s="361">
        <f ca="1">ROUND(C59+C64+C65+C66,0)</f>
        <v>396</v>
      </c>
      <c r="D58" s="1179" t="s">
        <v>1419</v>
      </c>
      <c r="E58" s="1180"/>
      <c r="F58" s="1181"/>
      <c r="I58" s="1920" t="s">
        <v>1554</v>
      </c>
      <c r="J58" s="1922">
        <f ca="1">IF(J55&lt;0.4,0.4,J55)</f>
        <v>0.4</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6" thickBot="1">
      <c r="A59" s="1201" t="s">
        <v>1031</v>
      </c>
      <c r="B59" s="1169" t="s">
        <v>1423</v>
      </c>
      <c r="C59" s="24">
        <f ca="1">ROUND(IF(项目基本情况!B11="自然人",C48*F59,C60+C61+C62),1)</f>
        <v>331.5</v>
      </c>
      <c r="D59" s="1182" t="s">
        <v>1424</v>
      </c>
      <c r="E59" s="1183" t="s">
        <v>1425</v>
      </c>
      <c r="F59" s="368" t="str">
        <f ca="1">IF(项目基本情况!B11="企业","",IF(INDIRECT("'数据-取费表'!c"&amp;$G$1)="住宅",5%,IF(F49*F50*F51/12/(1+'数据-取费表'!C42)&gt;20000,12%,7%)))</f>
        <v/>
      </c>
      <c r="I59" s="1920" t="s">
        <v>1557</v>
      </c>
      <c r="J59" s="1921">
        <f ca="1">IF(OR(M47="住宅",J51&lt;L48,J56="是"),"——",ROUND(C29*J58,0))</f>
        <v>1578</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2"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f ca="1">IF(OR(M47="住宅",J51&lt;L48,J56="是"),"0",ROUND(J59/(1+J52)^J53,0))</f>
        <v>65</v>
      </c>
      <c r="K60" s="1925" t="s">
        <v>1560</v>
      </c>
      <c r="L60" s="1924">
        <f ca="1">IF(OR(M47="住宅",L48&lt;J51),0,ROUND(L57*(L58/L59-1),0))</f>
        <v>0</v>
      </c>
      <c r="O60" s="1893" t="s">
        <v>1040</v>
      </c>
      <c r="P60" s="1884" t="s">
        <v>1561</v>
      </c>
      <c r="Q60" s="1885" t="e">
        <f ca="1">L58</f>
        <v>#DIV/0!</v>
      </c>
      <c r="R60" s="1885" t="s">
        <v>1562</v>
      </c>
    </row>
    <row r="61" spans="1:18" s="1841" customFormat="1" ht="13.8" thickBot="1">
      <c r="A61" s="1201" t="s">
        <v>1486</v>
      </c>
      <c r="B61" s="1169" t="s">
        <v>1431</v>
      </c>
      <c r="C61" s="24">
        <f ca="1">IF(项目基本情况!B11="自然人","——",IF(D61="按租金收入计税",ROUND(C48*F61,2),IF(D61="按房产原值计税",ROUND(C57*F61*0.7,2),INDIRECT("'数据-取费表'!Aj"&amp;$G$1))))</f>
        <v>331.46</v>
      </c>
      <c r="D61" s="1827" t="s">
        <v>1432</v>
      </c>
      <c r="E61" s="1169" t="s">
        <v>1416</v>
      </c>
      <c r="F61" s="367">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8" thickBot="1">
      <c r="A62" s="1201" t="s">
        <v>1489</v>
      </c>
      <c r="B62" s="1168" t="s">
        <v>1435</v>
      </c>
      <c r="C62" s="25">
        <f ca="1">IF(项目基本情况!B11="自然人","——",ROUND(F62*F63/10000,2))</f>
        <v>0</v>
      </c>
      <c r="D62" s="1184" t="s">
        <v>1436</v>
      </c>
      <c r="E62" s="1169" t="s">
        <v>1437</v>
      </c>
      <c r="F62" s="371">
        <f t="shared" si="0"/>
        <v>5</v>
      </c>
      <c r="I62" s="1927" t="s">
        <v>1564</v>
      </c>
      <c r="J62" s="1928" t="s">
        <v>1565</v>
      </c>
      <c r="K62" s="1928" t="s">
        <v>1566</v>
      </c>
      <c r="L62" s="1928" t="s">
        <v>1567</v>
      </c>
      <c r="M62" s="1929" t="s">
        <v>1568</v>
      </c>
      <c r="O62" s="1883" t="s">
        <v>1042</v>
      </c>
      <c r="P62" s="1884" t="s">
        <v>1543</v>
      </c>
      <c r="Q62" s="1885">
        <f ca="1">Q56+Q57</f>
        <v>1858</v>
      </c>
      <c r="R62" s="1885" t="s">
        <v>1043</v>
      </c>
    </row>
    <row r="63" spans="1:18" s="1841" customFormat="1" ht="13.8" thickBot="1">
      <c r="A63" s="372"/>
      <c r="B63" s="1175"/>
      <c r="C63" s="29"/>
      <c r="D63" s="1185"/>
      <c r="E63" s="1169" t="s">
        <v>1441</v>
      </c>
      <c r="F63" s="348">
        <f t="shared" ca="1" si="0"/>
        <v>0</v>
      </c>
      <c r="I63" s="1927" t="s">
        <v>1570</v>
      </c>
      <c r="J63" s="1928">
        <v>70</v>
      </c>
      <c r="K63" s="1928">
        <v>50</v>
      </c>
      <c r="L63" s="1928">
        <v>80</v>
      </c>
      <c r="M63" s="1930">
        <v>0.02</v>
      </c>
      <c r="O63" s="1868" t="s">
        <v>1571</v>
      </c>
      <c r="P63" s="1838"/>
      <c r="Q63" s="1838"/>
      <c r="R63" s="1838"/>
    </row>
    <row r="64" spans="1:18" s="1841" customFormat="1" ht="13.8" thickBot="1">
      <c r="A64" s="1201" t="s">
        <v>1035</v>
      </c>
      <c r="B64" s="1169" t="s">
        <v>1443</v>
      </c>
      <c r="C64" s="24">
        <f ca="1">ROUND(C57*F64,1)</f>
        <v>59.2</v>
      </c>
      <c r="D64" s="1183" t="s">
        <v>1476</v>
      </c>
      <c r="E64" s="1169" t="s">
        <v>1416</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8" thickBot="1">
      <c r="A65" s="1201" t="s">
        <v>1497</v>
      </c>
      <c r="B65" s="1169" t="s">
        <v>1447</v>
      </c>
      <c r="C65" s="24">
        <f ca="1">ROUND(C56*F65,1)</f>
        <v>5.7</v>
      </c>
      <c r="D65" s="1183" t="s">
        <v>1448</v>
      </c>
      <c r="E65" s="1169" t="s">
        <v>1416</v>
      </c>
      <c r="F65" s="376">
        <f t="shared" ca="1" si="0"/>
        <v>1.5E-3</v>
      </c>
      <c r="I65" s="1927" t="s">
        <v>1573</v>
      </c>
      <c r="J65" s="1928">
        <v>40</v>
      </c>
      <c r="K65" s="1928">
        <v>30</v>
      </c>
      <c r="L65" s="1928">
        <v>50</v>
      </c>
      <c r="M65" s="1930">
        <v>0.02</v>
      </c>
      <c r="O65" s="1883" t="s">
        <v>1036</v>
      </c>
      <c r="P65" s="1884" t="s">
        <v>1522</v>
      </c>
      <c r="Q65" s="1885">
        <f ca="1">C40+J29</f>
        <v>1858</v>
      </c>
      <c r="R65" s="1885" t="s">
        <v>1523</v>
      </c>
    </row>
    <row r="66" spans="1:18" s="1841" customFormat="1" ht="16.2" thickBot="1">
      <c r="A66" s="1201" t="s">
        <v>1498</v>
      </c>
      <c r="B66" s="1169" t="s">
        <v>1433</v>
      </c>
      <c r="C66" s="24">
        <f ca="1">ROUND(C48*F66,1)</f>
        <v>0</v>
      </c>
      <c r="D66" s="1183" t="s">
        <v>1453</v>
      </c>
      <c r="E66" s="1169" t="s">
        <v>1416</v>
      </c>
      <c r="F66" s="357">
        <f t="shared" ca="1" si="0"/>
        <v>1.4999999999999999E-2</v>
      </c>
      <c r="O66" s="1883" t="s">
        <v>1037</v>
      </c>
      <c r="P66" s="1884" t="s">
        <v>1552</v>
      </c>
      <c r="Q66" s="1885">
        <f ca="1">L60</f>
        <v>0</v>
      </c>
      <c r="R66" s="1885" t="s">
        <v>1575</v>
      </c>
    </row>
    <row r="67" spans="1:18" s="1841" customFormat="1" ht="24.6" thickBot="1">
      <c r="A67" s="1176" t="s">
        <v>1027</v>
      </c>
      <c r="B67" s="1186" t="s">
        <v>1457</v>
      </c>
      <c r="C67" s="361">
        <f ca="1">C48-C58</f>
        <v>-396</v>
      </c>
      <c r="D67" s="1182" t="s">
        <v>1458</v>
      </c>
      <c r="E67" s="1187"/>
      <c r="F67" s="1188"/>
      <c r="O67" s="1893" t="s">
        <v>1038</v>
      </c>
      <c r="P67" s="1884" t="s">
        <v>1556</v>
      </c>
      <c r="Q67" s="1931">
        <f ca="1">L51</f>
        <v>-4116</v>
      </c>
      <c r="R67" s="1885" t="s">
        <v>1576</v>
      </c>
    </row>
    <row r="68" spans="1:18" s="1841" customFormat="1" ht="16.2" thickBot="1">
      <c r="A68" s="1166" t="s">
        <v>1028</v>
      </c>
      <c r="B68" s="1167" t="s">
        <v>1479</v>
      </c>
      <c r="C68" s="346">
        <f ca="1">ROUND(C67*(1-((1+F70)/(1+F68))^F69)/(F68-F70),0)</f>
        <v>-6205</v>
      </c>
      <c r="D68" s="1184" t="s">
        <v>1463</v>
      </c>
      <c r="E68" s="1169" t="s">
        <v>1464</v>
      </c>
      <c r="F68" s="357">
        <f ca="1">F40</f>
        <v>5.5E-2</v>
      </c>
      <c r="O68" s="1893" t="s">
        <v>1039</v>
      </c>
      <c r="P68" s="1932" t="s">
        <v>1577</v>
      </c>
      <c r="Q68" s="1885">
        <f ca="1">ROUND(Q69-Q70*Q71,0)</f>
        <v>-246</v>
      </c>
      <c r="R68" s="1885" t="s">
        <v>1047</v>
      </c>
    </row>
    <row r="69" spans="1:18" s="1841" customFormat="1" ht="13.8" thickBot="1">
      <c r="A69" s="1170"/>
      <c r="B69" s="1171"/>
      <c r="C69" s="351"/>
      <c r="D69" s="1189" t="s">
        <v>1467</v>
      </c>
      <c r="E69" s="1169" t="s">
        <v>1468</v>
      </c>
      <c r="F69" s="379">
        <f ca="1">F41</f>
        <v>36.97</v>
      </c>
      <c r="O69" s="1893" t="s">
        <v>1044</v>
      </c>
      <c r="P69" s="1932" t="s">
        <v>1578</v>
      </c>
      <c r="Q69" s="1885">
        <f ca="1">C39</f>
        <v>79</v>
      </c>
      <c r="R69" s="1885" t="s">
        <v>1523</v>
      </c>
    </row>
    <row r="70" spans="1:18" s="1841" customFormat="1" ht="13.8" thickBot="1">
      <c r="A70" s="1173"/>
      <c r="B70" s="1174"/>
      <c r="C70" s="355"/>
      <c r="D70" s="1185"/>
      <c r="E70" s="1169" t="s">
        <v>1471</v>
      </c>
      <c r="F70" s="1275"/>
      <c r="O70" s="1893" t="s">
        <v>1045</v>
      </c>
      <c r="P70" s="1932" t="s">
        <v>1579</v>
      </c>
      <c r="Q70" s="1885">
        <f ca="1">C13</f>
        <v>3828</v>
      </c>
      <c r="R70" s="1885" t="s">
        <v>1523</v>
      </c>
    </row>
    <row r="71" spans="1:18" s="1841" customFormat="1" ht="13.8" thickBot="1">
      <c r="A71" s="1190" t="s">
        <v>1029</v>
      </c>
      <c r="B71" s="1191" t="s">
        <v>1481</v>
      </c>
      <c r="C71" s="382">
        <f ca="1">ROUND(C68*10000/F71,0)</f>
        <v>-8443</v>
      </c>
      <c r="D71" s="1192" t="s">
        <v>1482</v>
      </c>
      <c r="E71" s="1193" t="s">
        <v>1483</v>
      </c>
      <c r="F71" s="385">
        <f ca="1">F43</f>
        <v>7349.44</v>
      </c>
      <c r="O71" s="1893" t="s">
        <v>1046</v>
      </c>
      <c r="P71" s="1932" t="s">
        <v>1580</v>
      </c>
      <c r="Q71" s="1896">
        <f ca="1">C76</f>
        <v>8.5000000000000006E-2</v>
      </c>
      <c r="R71" s="1885"/>
    </row>
    <row r="72" spans="1:18" s="1841" customFormat="1" ht="13.8" thickBot="1">
      <c r="B72" s="796"/>
      <c r="C72" s="796"/>
      <c r="O72" s="1893" t="s">
        <v>1040</v>
      </c>
      <c r="P72" s="1884" t="s">
        <v>1558</v>
      </c>
      <c r="Q72" s="1896">
        <f>L52</f>
        <v>0</v>
      </c>
      <c r="R72" s="1885"/>
    </row>
    <row r="73" spans="1:18" ht="16.2" thickBot="1">
      <c r="A73" s="1841"/>
      <c r="B73" s="796"/>
      <c r="C73" s="796"/>
      <c r="D73" s="1841"/>
      <c r="E73" s="1841"/>
      <c r="F73" s="1841"/>
      <c r="O73" s="1893" t="s">
        <v>1041</v>
      </c>
      <c r="P73" s="1884" t="s">
        <v>1561</v>
      </c>
      <c r="Q73" s="1885" t="e">
        <f ca="1">L58</f>
        <v>#DIV/0!</v>
      </c>
      <c r="R73" s="1885" t="s">
        <v>1562</v>
      </c>
    </row>
    <row r="74" spans="1:18" ht="13.8" thickBot="1">
      <c r="A74" s="1841"/>
      <c r="B74" s="317" t="s">
        <v>1581</v>
      </c>
      <c r="C74" s="1934"/>
      <c r="D74" s="1841"/>
      <c r="E74" s="1841"/>
      <c r="F74" s="1841"/>
      <c r="O74" s="1893" t="s">
        <v>1048</v>
      </c>
      <c r="P74" s="1884" t="str">
        <f>K59</f>
        <v>建筑物剩余耐用年限下的土地年期修正系数Kn</v>
      </c>
      <c r="Q74" s="1885" t="e">
        <f ca="1">L59</f>
        <v>#DIV/0!</v>
      </c>
      <c r="R74" s="1885" t="s">
        <v>1563</v>
      </c>
    </row>
    <row r="75" spans="1:18" ht="13.8" thickBot="1">
      <c r="A75" s="1841"/>
      <c r="B75" s="386" t="s">
        <v>1500</v>
      </c>
      <c r="C75" s="387">
        <f ca="1">ROUND(C13*C76,0)</f>
        <v>325</v>
      </c>
      <c r="D75" s="1841"/>
      <c r="E75" s="1841"/>
      <c r="F75" s="1841"/>
      <c r="K75" s="1867"/>
      <c r="L75" s="1841"/>
      <c r="O75" s="1883" t="s">
        <v>1042</v>
      </c>
      <c r="P75" s="1884" t="s">
        <v>1543</v>
      </c>
      <c r="Q75" s="1885">
        <f ca="1">Q65+Q66</f>
        <v>1858</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-3.1139999999999999</v>
      </c>
    </row>
    <row r="80" spans="1:18">
      <c r="B80" s="386" t="s">
        <v>1505</v>
      </c>
      <c r="C80" s="318">
        <f ca="1">ROUND(C75/C39,3)</f>
        <v>4.1139999999999999</v>
      </c>
    </row>
    <row r="81" spans="2:3">
      <c r="B81" s="314" t="s">
        <v>1506</v>
      </c>
      <c r="C81" s="282"/>
    </row>
    <row r="82" spans="2:3">
      <c r="B82" s="317" t="s">
        <v>1507</v>
      </c>
      <c r="C82" s="319">
        <f ca="1">1-C83</f>
        <v>-1.06</v>
      </c>
    </row>
    <row r="83" spans="2:3">
      <c r="B83" s="317" t="s">
        <v>1508</v>
      </c>
      <c r="C83" s="318">
        <f ca="1">ROUND(C13/C40,3)</f>
        <v>2.06</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4" priority="4">
      <formula>$L$48&gt;$J$51</formula>
    </cfRule>
  </conditionalFormatting>
  <conditionalFormatting sqref="I55 I60">
    <cfRule type="expression" dxfId="43" priority="5">
      <formula>$J$51&gt;$L$48</formula>
    </cfRule>
  </conditionalFormatting>
  <conditionalFormatting sqref="C11">
    <cfRule type="expression" dxfId="42" priority="3">
      <formula>$F$10="自定义"</formula>
    </cfRule>
  </conditionalFormatting>
  <conditionalFormatting sqref="J11">
    <cfRule type="expression" dxfId="41" priority="2">
      <formula>$M$10="自定义"</formula>
    </cfRule>
  </conditionalFormatting>
  <conditionalFormatting sqref="C54">
    <cfRule type="expression" dxfId="40" priority="1">
      <formula>$F$53="自定义"</formula>
    </cfRule>
  </conditionalFormatting>
  <dataValidations count="9">
    <dataValidation type="list" allowBlank="1" showInputMessage="1" showErrorMessage="1" sqref="D1" xr:uid="{00000000-0002-0000-2500-000000000000}">
      <formula1>"在建（套用方法）,土地（套用方法）,——"</formula1>
    </dataValidation>
    <dataValidation type="list" allowBlank="1" showInputMessage="1" showErrorMessage="1" sqref="M10 F10 F53" xr:uid="{00000000-0002-0000-2500-000001000000}">
      <formula1>"押一,押二,押三,自定义"</formula1>
    </dataValidation>
    <dataValidation type="list" allowBlank="1" showInputMessage="1" showErrorMessage="1" sqref="L55" xr:uid="{00000000-0002-0000-2500-000002000000}">
      <formula1>"比较法,基准地价,收益还原"</formula1>
    </dataValidation>
    <dataValidation type="list" allowBlank="1" showInputMessage="1" showErrorMessage="1" sqref="J56" xr:uid="{00000000-0002-0000-2500-000003000000}">
      <formula1>判定</formula1>
    </dataValidation>
    <dataValidation type="list" allowBlank="1" showInputMessage="1" showErrorMessage="1" sqref="J48" xr:uid="{00000000-0002-0000-2500-000004000000}">
      <formula1>"非生产用房,生产用房,受腐蚀的生产用房"</formula1>
    </dataValidation>
    <dataValidation type="list" allowBlank="1" showInputMessage="1" showErrorMessage="1" sqref="J47" xr:uid="{00000000-0002-0000-2500-000005000000}">
      <formula1>"钢,钢混,砖混"</formula1>
    </dataValidation>
    <dataValidation type="list" allowBlank="1" showInputMessage="1" showErrorMessage="1" sqref="C1" xr:uid="{00000000-0002-0000-2500-000006000000}">
      <formula1>项目类型</formula1>
    </dataValidation>
    <dataValidation type="list" allowBlank="1" showInputMessage="1" showErrorMessage="1" sqref="D33 D61" xr:uid="{00000000-0002-0000-2500-000007000000}">
      <formula1>"按租金收入计税,按房产原值计税,按票据"</formula1>
    </dataValidation>
    <dataValidation type="list" allowBlank="1" showInputMessage="1" showErrorMessage="1" sqref="K19" xr:uid="{00000000-0002-0000-25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7"/>
  <dimension ref="A3:G31"/>
  <sheetViews>
    <sheetView topLeftCell="A4" workbookViewId="0">
      <selection activeCell="F26" sqref="F26"/>
    </sheetView>
  </sheetViews>
  <sheetFormatPr defaultColWidth="9" defaultRowHeight="14.4"/>
  <cols>
    <col min="1" max="1" width="15" style="2972" customWidth="1"/>
    <col min="2" max="2" width="17.6640625" style="2972" customWidth="1"/>
    <col min="3" max="3" width="19.77734375" style="2972" customWidth="1"/>
    <col min="4" max="4" width="22" style="2972" customWidth="1"/>
    <col min="5" max="6" width="4" style="2972" customWidth="1"/>
    <col min="7" max="7" width="10.21875" style="2972" customWidth="1"/>
    <col min="8" max="8" width="5.77734375" style="2972" customWidth="1"/>
    <col min="9" max="16384" width="9" style="2972"/>
  </cols>
  <sheetData>
    <row r="3" spans="1:7">
      <c r="B3" s="2976" t="s">
        <v>3288</v>
      </c>
    </row>
    <row r="4" spans="1:7">
      <c r="A4" s="2976" t="s">
        <v>3287</v>
      </c>
      <c r="B4" s="2972" t="s">
        <v>3286</v>
      </c>
      <c r="C4" s="2972" t="s">
        <v>3285</v>
      </c>
      <c r="D4" s="2972" t="s">
        <v>3284</v>
      </c>
      <c r="G4" s="2972" t="s">
        <v>3283</v>
      </c>
    </row>
    <row r="5" spans="1:7">
      <c r="A5" s="2974" t="s">
        <v>3282</v>
      </c>
      <c r="B5" s="2973">
        <v>8454.5700000000015</v>
      </c>
      <c r="C5" s="2973">
        <v>188.48559999999998</v>
      </c>
      <c r="D5" s="2973">
        <v>51.42</v>
      </c>
      <c r="F5" s="2972" t="s">
        <v>3281</v>
      </c>
      <c r="G5" s="2972">
        <f>SUM(租赁商户明细!K6:K55)</f>
        <v>8454.5700000000015</v>
      </c>
    </row>
    <row r="6" spans="1:7">
      <c r="A6" s="2975" t="s">
        <v>3269</v>
      </c>
      <c r="B6" s="2973">
        <v>825.59</v>
      </c>
      <c r="C6" s="2973">
        <v>155.78800000000001</v>
      </c>
      <c r="D6" s="2973">
        <v>39</v>
      </c>
    </row>
    <row r="7" spans="1:7">
      <c r="A7" s="2975" t="s">
        <v>3268</v>
      </c>
      <c r="B7" s="2973">
        <v>2081.84</v>
      </c>
      <c r="C7" s="2973">
        <v>221.417</v>
      </c>
      <c r="D7" s="2973">
        <v>53.75</v>
      </c>
    </row>
    <row r="8" spans="1:7">
      <c r="A8" s="2975" t="s">
        <v>3278</v>
      </c>
      <c r="B8" s="2973">
        <v>3277.78</v>
      </c>
      <c r="C8" s="2973">
        <v>178.04347826086956</v>
      </c>
      <c r="D8" s="2973">
        <v>55</v>
      </c>
    </row>
    <row r="9" spans="1:7">
      <c r="A9" s="2975" t="s">
        <v>3272</v>
      </c>
      <c r="B9" s="2973">
        <v>2269.3599999999997</v>
      </c>
      <c r="C9" s="2973">
        <v>61</v>
      </c>
      <c r="D9" s="2973">
        <v>18</v>
      </c>
    </row>
    <row r="10" spans="1:7">
      <c r="A10" s="2974" t="s">
        <v>3280</v>
      </c>
      <c r="B10" s="2973">
        <v>8915.7800000000007</v>
      </c>
      <c r="C10" s="2973">
        <v>181.99066666666667</v>
      </c>
      <c r="D10" s="2973">
        <v>52.561555555555557</v>
      </c>
      <c r="F10" s="2972" t="s">
        <v>3279</v>
      </c>
      <c r="G10" s="2972">
        <f>SUM(租赁商户明细!K57,租赁商户明细!K58:K101)</f>
        <v>8915.7800000000007</v>
      </c>
    </row>
    <row r="11" spans="1:7">
      <c r="A11" s="2975" t="s">
        <v>3269</v>
      </c>
      <c r="B11" s="2973">
        <v>1078.76</v>
      </c>
      <c r="C11" s="2973">
        <v>179.79</v>
      </c>
      <c r="D11" s="2973">
        <v>41.134999999999998</v>
      </c>
    </row>
    <row r="12" spans="1:7">
      <c r="A12" s="2975" t="s">
        <v>3268</v>
      </c>
      <c r="B12" s="2973">
        <v>1821.8599999999997</v>
      </c>
      <c r="C12" s="2973">
        <v>198.52941176470588</v>
      </c>
      <c r="D12" s="2973">
        <v>55</v>
      </c>
    </row>
    <row r="13" spans="1:7">
      <c r="A13" s="2975" t="s">
        <v>3278</v>
      </c>
      <c r="B13" s="2973">
        <v>2137.79</v>
      </c>
      <c r="C13" s="2973">
        <v>194.41176470588235</v>
      </c>
      <c r="D13" s="2973">
        <v>55</v>
      </c>
    </row>
    <row r="14" spans="1:7">
      <c r="A14" s="2975" t="s">
        <v>3267</v>
      </c>
      <c r="B14" s="2973">
        <v>1315.83</v>
      </c>
      <c r="C14" s="2973">
        <v>150.71428571428572</v>
      </c>
      <c r="D14" s="2973">
        <v>54.285714285714285</v>
      </c>
    </row>
    <row r="15" spans="1:7">
      <c r="A15" s="2975" t="s">
        <v>3272</v>
      </c>
      <c r="B15" s="2973">
        <v>2561.54</v>
      </c>
      <c r="C15" s="2973">
        <v>47.5</v>
      </c>
      <c r="D15" s="2973">
        <v>16.5</v>
      </c>
    </row>
    <row r="16" spans="1:7">
      <c r="A16" s="2974" t="s">
        <v>3277</v>
      </c>
      <c r="B16" s="2973">
        <v>11832.51</v>
      </c>
      <c r="C16" s="2973">
        <v>133.13953488372093</v>
      </c>
      <c r="D16" s="2973">
        <v>51.720930232558139</v>
      </c>
      <c r="F16" s="2972" t="s">
        <v>3276</v>
      </c>
      <c r="G16" s="2972">
        <f>SUM(租赁商户明细!K103:K145)</f>
        <v>11832.51</v>
      </c>
    </row>
    <row r="17" spans="1:7">
      <c r="A17" s="2975" t="s">
        <v>3269</v>
      </c>
      <c r="B17" s="2973">
        <v>1300.0299999999997</v>
      </c>
      <c r="C17" s="2973">
        <v>167.5</v>
      </c>
      <c r="D17" s="2973">
        <v>55</v>
      </c>
    </row>
    <row r="18" spans="1:7">
      <c r="A18" s="2975" t="s">
        <v>3275</v>
      </c>
      <c r="B18" s="2973">
        <v>3945.68</v>
      </c>
      <c r="C18" s="2973">
        <v>131.66666666666666</v>
      </c>
      <c r="D18" s="2973">
        <v>54.444444444444443</v>
      </c>
    </row>
    <row r="19" spans="1:7">
      <c r="A19" s="2975" t="s">
        <v>3268</v>
      </c>
      <c r="B19" s="2973">
        <v>161.4</v>
      </c>
      <c r="C19" s="2973">
        <v>100</v>
      </c>
      <c r="D19" s="2973">
        <v>55</v>
      </c>
    </row>
    <row r="20" spans="1:7">
      <c r="A20" s="2975" t="s">
        <v>3267</v>
      </c>
      <c r="B20" s="2973">
        <v>218.35999999999999</v>
      </c>
      <c r="C20" s="2973">
        <v>127.5</v>
      </c>
      <c r="D20" s="2973">
        <v>52.5</v>
      </c>
    </row>
    <row r="21" spans="1:7">
      <c r="A21" s="2975" t="s">
        <v>3272</v>
      </c>
      <c r="B21" s="2973">
        <v>6207.04</v>
      </c>
      <c r="C21" s="2973">
        <v>46.666666666666664</v>
      </c>
      <c r="D21" s="2973">
        <v>14.666666666666666</v>
      </c>
    </row>
    <row r="22" spans="1:7">
      <c r="A22" s="2974" t="s">
        <v>3274</v>
      </c>
      <c r="B22" s="2973">
        <v>11642.04</v>
      </c>
      <c r="C22" s="2973">
        <v>138.6261111111111</v>
      </c>
      <c r="D22" s="2973">
        <v>53.744722222222222</v>
      </c>
      <c r="F22" s="2972" t="s">
        <v>3273</v>
      </c>
      <c r="G22" s="2972">
        <f>SUM(租赁商户明细!K147:K182)</f>
        <v>11642.040000000003</v>
      </c>
    </row>
    <row r="23" spans="1:7">
      <c r="A23" s="2975" t="s">
        <v>3269</v>
      </c>
      <c r="B23" s="2973">
        <v>6000.54</v>
      </c>
      <c r="C23" s="2973">
        <v>142</v>
      </c>
      <c r="D23" s="2973">
        <v>55</v>
      </c>
    </row>
    <row r="24" spans="1:7">
      <c r="A24" s="2975" t="s">
        <v>3272</v>
      </c>
      <c r="B24" s="2973">
        <v>5641.5</v>
      </c>
      <c r="C24" s="2973">
        <v>20.54</v>
      </c>
      <c r="D24" s="2973">
        <v>9.81</v>
      </c>
    </row>
    <row r="25" spans="1:7">
      <c r="A25" s="2974" t="s">
        <v>3271</v>
      </c>
      <c r="B25" s="2973">
        <v>2635.6600000000003</v>
      </c>
      <c r="C25" s="2973">
        <v>84.241176470588229</v>
      </c>
      <c r="D25" s="2973">
        <v>20.882352941176471</v>
      </c>
      <c r="F25" s="2972" t="s">
        <v>3270</v>
      </c>
      <c r="G25" s="2972">
        <f>SUM(租赁商户明细!K184:K217)</f>
        <v>2635.6600000000003</v>
      </c>
    </row>
    <row r="26" spans="1:7">
      <c r="A26" s="2975" t="s">
        <v>3269</v>
      </c>
      <c r="B26" s="2973">
        <v>31.46</v>
      </c>
      <c r="C26" s="2973">
        <v>92.5</v>
      </c>
      <c r="D26" s="2973">
        <v>42.5</v>
      </c>
    </row>
    <row r="27" spans="1:7">
      <c r="A27" s="2975" t="s">
        <v>3268</v>
      </c>
      <c r="B27" s="2973">
        <v>57.98</v>
      </c>
      <c r="C27" s="2973">
        <v>108</v>
      </c>
      <c r="D27" s="2973">
        <v>30</v>
      </c>
    </row>
    <row r="28" spans="1:7">
      <c r="A28" s="2975" t="s">
        <v>3267</v>
      </c>
      <c r="B28" s="2973">
        <v>2546.2200000000003</v>
      </c>
      <c r="C28" s="2973">
        <v>82.941935483870964</v>
      </c>
      <c r="D28" s="2973">
        <v>19.193548387096776</v>
      </c>
    </row>
    <row r="29" spans="1:7">
      <c r="A29" s="2974" t="s">
        <v>3266</v>
      </c>
      <c r="B29" s="2973"/>
      <c r="C29" s="2973"/>
      <c r="D29" s="2973"/>
    </row>
    <row r="30" spans="1:7">
      <c r="A30" s="2975" t="s">
        <v>3266</v>
      </c>
      <c r="B30" s="2973"/>
      <c r="C30" s="2973"/>
      <c r="D30" s="2973"/>
    </row>
    <row r="31" spans="1:7">
      <c r="A31" s="2974" t="s">
        <v>3265</v>
      </c>
      <c r="B31" s="2973">
        <v>43480.560000000012</v>
      </c>
      <c r="C31" s="2973">
        <v>149.96923076923079</v>
      </c>
      <c r="D31" s="2973">
        <v>47.139807692307691</v>
      </c>
      <c r="G31" s="2972">
        <f>SUM(G5,G10,G16,G22,G25)</f>
        <v>43480.560000000005</v>
      </c>
    </row>
  </sheetData>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1615</v>
      </c>
      <c r="B1" s="1957"/>
      <c r="C1" s="1957"/>
      <c r="D1" s="1957"/>
      <c r="E1" s="1957"/>
    </row>
    <row r="2" spans="1:5" ht="78" customHeight="1">
      <c r="A2" s="30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7"/>
      <c r="C2" s="3047"/>
      <c r="D2" s="3047"/>
      <c r="E2" s="3047"/>
    </row>
    <row r="3" spans="1:5" ht="17.399999999999999">
      <c r="A3" s="3048" t="str">
        <f>IF(项目基本情况!B9="房地产市场价值","估价结果一览表（市场价值不需“结果表-1”）","估价结果一览表")</f>
        <v>估价结果一览表</v>
      </c>
      <c r="B3" s="3048"/>
      <c r="C3" s="3048"/>
      <c r="D3" s="3048"/>
      <c r="E3" s="3048"/>
    </row>
    <row r="4" spans="1:5" ht="18" thickBot="1">
      <c r="A4" s="1959"/>
      <c r="B4" s="3046" t="s">
        <v>1624</v>
      </c>
      <c r="C4" s="3046"/>
      <c r="D4" s="3046"/>
      <c r="E4" s="1959"/>
    </row>
    <row r="5" spans="1:5" ht="16.2" thickTop="1">
      <c r="A5" s="1957"/>
      <c r="B5" s="3044" t="s">
        <v>1616</v>
      </c>
      <c r="C5" s="1960" t="s">
        <v>1617</v>
      </c>
      <c r="D5" s="1040">
        <f ca="1">结果表!H101</f>
        <v>88217</v>
      </c>
      <c r="E5" s="1957"/>
    </row>
    <row r="6" spans="1:5" ht="15.6">
      <c r="A6" s="1957"/>
      <c r="B6" s="3044"/>
      <c r="C6" s="1960" t="s">
        <v>1618</v>
      </c>
      <c r="D6" s="1040" t="str">
        <f ca="1">NUMBERSTRING(INT(D5*10000),2)&amp;"元整"</f>
        <v>捌亿捌仟贰佰壹拾柒万元整</v>
      </c>
      <c r="E6" s="1957"/>
    </row>
    <row r="7" spans="1:5" ht="15.6">
      <c r="A7" s="1957"/>
      <c r="B7" s="3049"/>
      <c r="C7" s="1961" t="s">
        <v>1619</v>
      </c>
      <c r="D7" s="1041">
        <f ca="1">结果表!H102</f>
        <v>12084</v>
      </c>
      <c r="E7" s="1957"/>
    </row>
    <row r="8" spans="1:5" ht="15.6">
      <c r="A8" s="1957"/>
      <c r="B8" s="3050" t="str">
        <f>结果表!E103</f>
        <v>2.估价师知悉的法定优先受偿款</v>
      </c>
      <c r="C8" s="1962" t="s">
        <v>1620</v>
      </c>
      <c r="D8" s="1041">
        <f>结果表!H103</f>
        <v>0</v>
      </c>
      <c r="E8" s="1957"/>
    </row>
    <row r="9" spans="1:5" ht="15.6">
      <c r="A9" s="1957"/>
      <c r="B9" s="3052"/>
      <c r="C9" s="1960" t="s">
        <v>1618</v>
      </c>
      <c r="D9" s="1040" t="str">
        <f>NUMBERSTRING(INT(D8*10000),2)&amp;"元整"</f>
        <v>零元整</v>
      </c>
      <c r="E9" s="1957"/>
    </row>
    <row r="10" spans="1:5" ht="15.6">
      <c r="A10" s="1957"/>
      <c r="B10" s="1963" t="s">
        <v>1623</v>
      </c>
      <c r="C10" s="1964" t="s">
        <v>1621</v>
      </c>
      <c r="D10" s="1042">
        <f>结果表!H104</f>
        <v>0</v>
      </c>
      <c r="E10" s="1957"/>
    </row>
    <row r="11" spans="1:5" ht="15.6">
      <c r="A11" s="1957"/>
      <c r="B11" s="1963" t="s">
        <v>1625</v>
      </c>
      <c r="C11" s="1964" t="s">
        <v>1626</v>
      </c>
      <c r="D11" s="1042">
        <f>结果表!H105</f>
        <v>0</v>
      </c>
      <c r="E11" s="1957"/>
    </row>
    <row r="12" spans="1:5" ht="15.6">
      <c r="A12" s="1957"/>
      <c r="B12" s="1963" t="s">
        <v>1627</v>
      </c>
      <c r="C12" s="1964" t="s">
        <v>1626</v>
      </c>
      <c r="D12" s="1042">
        <f>结果表!H106</f>
        <v>0</v>
      </c>
      <c r="E12" s="1957"/>
    </row>
    <row r="13" spans="1:5" ht="15.6">
      <c r="A13" s="1957"/>
      <c r="B13" s="3043" t="str">
        <f>结果表!E107</f>
        <v>3.房地产抵押价值</v>
      </c>
      <c r="C13" s="1965" t="s">
        <v>1617</v>
      </c>
      <c r="D13" s="1043">
        <f ca="1">结果表!H107</f>
        <v>88217</v>
      </c>
      <c r="E13" s="1957"/>
    </row>
    <row r="14" spans="1:5" ht="15.6">
      <c r="A14" s="1957"/>
      <c r="B14" s="3044"/>
      <c r="C14" s="1960" t="s">
        <v>1618</v>
      </c>
      <c r="D14" s="1040" t="str">
        <f ca="1">NUMBERSTRING(INT(D13*10000),2)&amp;"元整"</f>
        <v>捌亿捌仟贰佰壹拾柒万元整</v>
      </c>
      <c r="E14" s="1957"/>
    </row>
    <row r="15" spans="1:5" ht="15.6">
      <c r="A15" s="1957"/>
      <c r="B15" s="3049"/>
      <c r="C15" s="1961" t="s">
        <v>1628</v>
      </c>
      <c r="D15" s="1052">
        <f ca="1">结果表!H108</f>
        <v>12084</v>
      </c>
      <c r="E15" s="1957"/>
    </row>
    <row r="16" spans="1:5" ht="15.6">
      <c r="A16" s="1957"/>
      <c r="B16" s="3050" t="str">
        <f>结果表!E109</f>
        <v>——</v>
      </c>
      <c r="C16" s="1965" t="s">
        <v>1629</v>
      </c>
      <c r="D16" s="1966" t="str">
        <f>结果表!H109</f>
        <v>——</v>
      </c>
      <c r="E16" s="1957"/>
    </row>
    <row r="17" spans="1:5" ht="15.6">
      <c r="A17" s="1957"/>
      <c r="B17" s="3051"/>
      <c r="C17" s="1960" t="s">
        <v>1630</v>
      </c>
      <c r="D17" s="1040" t="e">
        <f>NUMBERSTRING(INT(D16*10000),2)&amp;"元整"</f>
        <v>#VALUE!</v>
      </c>
      <c r="E17" s="1957"/>
    </row>
    <row r="18" spans="1:5" ht="15.6">
      <c r="A18" s="1957"/>
      <c r="B18" s="3052"/>
      <c r="C18" s="1961" t="s">
        <v>1619</v>
      </c>
      <c r="D18" s="1052" t="str">
        <f>结果表!H110</f>
        <v>——</v>
      </c>
      <c r="E18" s="1957"/>
    </row>
    <row r="19" spans="1:5" ht="15.6">
      <c r="A19" s="1957"/>
      <c r="B19" s="3043" t="str">
        <f>结果表!E111</f>
        <v>——</v>
      </c>
      <c r="C19" s="1965" t="s">
        <v>1617</v>
      </c>
      <c r="D19" s="1041" t="str">
        <f>结果表!H111</f>
        <v>——</v>
      </c>
      <c r="E19" s="1957"/>
    </row>
    <row r="20" spans="1:5" ht="15.6">
      <c r="A20" s="1957"/>
      <c r="B20" s="3044"/>
      <c r="C20" s="1960" t="s">
        <v>1630</v>
      </c>
      <c r="D20" s="1040" t="e">
        <f>NUMBERSTRING(INT(D19*10000),2)&amp;"元整"</f>
        <v>#VALUE!</v>
      </c>
      <c r="E20" s="1957"/>
    </row>
    <row r="21" spans="1:5" ht="16.2" thickBot="1">
      <c r="A21" s="1957"/>
      <c r="B21" s="3045"/>
      <c r="C21" s="1967" t="s">
        <v>1628</v>
      </c>
      <c r="D21" s="1053" t="str">
        <f>结果表!H112</f>
        <v>——</v>
      </c>
      <c r="E21" s="1957"/>
    </row>
    <row r="22" spans="1:5" ht="14.4" thickTop="1">
      <c r="A22" s="1957"/>
      <c r="B22" s="1968" t="s">
        <v>1631</v>
      </c>
      <c r="C22" s="1957"/>
      <c r="D22" s="1957"/>
      <c r="E22" s="1957"/>
    </row>
    <row r="23" spans="1:5">
      <c r="A23" s="1957"/>
      <c r="B23" s="1957"/>
      <c r="C23" s="1957"/>
      <c r="D23" s="1957"/>
      <c r="E23" s="1957"/>
    </row>
    <row r="24" spans="1:5" ht="17.399999999999999">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8">
    <tabColor theme="9" tint="0.39994506668294322"/>
  </sheetPr>
  <dimension ref="B1:Y734"/>
  <sheetViews>
    <sheetView showGridLines="0" zoomScale="80" zoomScaleNormal="80" workbookViewId="0">
      <pane xSplit="7" ySplit="5" topLeftCell="N155" activePane="bottomRight" state="frozen"/>
      <selection activeCell="F26" sqref="F26"/>
      <selection pane="topRight" activeCell="F26" sqref="F26"/>
      <selection pane="bottomLeft" activeCell="F26" sqref="F26"/>
      <selection pane="bottomRight" activeCell="F26" sqref="F26"/>
    </sheetView>
  </sheetViews>
  <sheetFormatPr defaultColWidth="9" defaultRowHeight="21" customHeight="1"/>
  <cols>
    <col min="1" max="1" width="3.33203125" style="2977" customWidth="1"/>
    <col min="2" max="2" width="7.21875" style="2977" customWidth="1"/>
    <col min="3" max="3" width="11.44140625" style="2977" customWidth="1"/>
    <col min="4" max="4" width="8.33203125" style="2977" customWidth="1"/>
    <col min="5" max="5" width="14" style="2977" customWidth="1"/>
    <col min="6" max="6" width="12.44140625" style="2977" customWidth="1"/>
    <col min="7" max="7" width="18.6640625" style="2977" customWidth="1"/>
    <col min="8" max="8" width="11.77734375" style="2977" customWidth="1"/>
    <col min="9" max="9" width="10.77734375" style="2977" customWidth="1"/>
    <col min="10" max="10" width="11.33203125" style="2979" customWidth="1"/>
    <col min="11" max="12" width="13.88671875" style="2977" customWidth="1"/>
    <col min="13" max="13" width="16.44140625" style="2977" customWidth="1"/>
    <col min="14" max="14" width="18.21875" style="2977" customWidth="1"/>
    <col min="15" max="15" width="16" style="2977" customWidth="1"/>
    <col min="16" max="16" width="17.21875" style="2977" customWidth="1"/>
    <col min="17" max="18" width="21.44140625" style="2978" customWidth="1"/>
    <col min="19" max="19" width="53" style="2977" customWidth="1"/>
    <col min="20" max="20" width="11.6640625" style="2977" customWidth="1"/>
    <col min="21" max="53" width="9" style="2977"/>
    <col min="54" max="54" width="8.88671875" style="2977" customWidth="1"/>
    <col min="55" max="16384" width="9" style="2977"/>
  </cols>
  <sheetData>
    <row r="1" spans="2:19" ht="8.4" customHeight="1">
      <c r="J1" s="2977"/>
      <c r="Q1" s="2977"/>
      <c r="R1" s="2977"/>
    </row>
    <row r="2" spans="2:19" ht="38.4" customHeight="1" thickBot="1">
      <c r="B2" s="3357" t="s">
        <v>3746</v>
      </c>
      <c r="C2" s="3357"/>
      <c r="D2" s="3357"/>
      <c r="E2" s="3357"/>
      <c r="F2" s="3357"/>
      <c r="G2" s="3357"/>
      <c r="H2" s="3357"/>
      <c r="I2" s="3357"/>
      <c r="J2" s="3357"/>
      <c r="K2" s="3357"/>
      <c r="L2" s="3357"/>
      <c r="M2" s="3357"/>
      <c r="N2" s="3357"/>
      <c r="O2" s="3357"/>
      <c r="P2" s="3357"/>
      <c r="Q2" s="3357"/>
      <c r="R2" s="3357"/>
      <c r="S2" s="3037"/>
    </row>
    <row r="3" spans="2:19" ht="21" customHeight="1">
      <c r="B3" s="3358" t="s">
        <v>3745</v>
      </c>
      <c r="C3" s="3358"/>
      <c r="D3" s="3358"/>
      <c r="E3" s="3359"/>
      <c r="F3" s="3359"/>
      <c r="G3" s="3036"/>
      <c r="H3" s="3036"/>
      <c r="I3" s="3035"/>
      <c r="J3" s="3035"/>
      <c r="K3" s="3035"/>
      <c r="L3" s="3035"/>
      <c r="M3" s="3035"/>
      <c r="N3" s="3035"/>
      <c r="O3" s="3035"/>
      <c r="P3" s="3035"/>
      <c r="Q3" s="3035"/>
      <c r="R3" s="3035"/>
      <c r="S3" s="3035"/>
    </row>
    <row r="4" spans="2:19" ht="18" customHeight="1">
      <c r="B4" s="3360" t="s">
        <v>3744</v>
      </c>
      <c r="C4" s="3355" t="s">
        <v>3743</v>
      </c>
      <c r="D4" s="3355" t="s">
        <v>3742</v>
      </c>
      <c r="E4" s="3355" t="s">
        <v>3741</v>
      </c>
      <c r="F4" s="3355" t="s">
        <v>3740</v>
      </c>
      <c r="G4" s="3355" t="s">
        <v>3739</v>
      </c>
      <c r="H4" s="3355" t="s">
        <v>3738</v>
      </c>
      <c r="I4" s="3355" t="s">
        <v>3737</v>
      </c>
      <c r="J4" s="3364" t="s">
        <v>3736</v>
      </c>
      <c r="K4" s="3355" t="s">
        <v>3735</v>
      </c>
      <c r="L4" s="3353" t="s">
        <v>3734</v>
      </c>
      <c r="M4" s="3355" t="s">
        <v>3733</v>
      </c>
      <c r="N4" s="3355" t="s">
        <v>3732</v>
      </c>
      <c r="O4" s="3355" t="s">
        <v>3731</v>
      </c>
      <c r="P4" s="3355" t="s">
        <v>3730</v>
      </c>
      <c r="Q4" s="3355" t="s">
        <v>3729</v>
      </c>
      <c r="R4" s="3355" t="s">
        <v>3728</v>
      </c>
      <c r="S4" s="3362" t="s">
        <v>3727</v>
      </c>
    </row>
    <row r="5" spans="2:19" ht="18" customHeight="1">
      <c r="B5" s="3361"/>
      <c r="C5" s="3356"/>
      <c r="D5" s="3356"/>
      <c r="E5" s="3356"/>
      <c r="F5" s="3356"/>
      <c r="G5" s="3356"/>
      <c r="H5" s="3356"/>
      <c r="I5" s="3356"/>
      <c r="J5" s="3365"/>
      <c r="K5" s="3356"/>
      <c r="L5" s="3354"/>
      <c r="M5" s="3356"/>
      <c r="N5" s="3356"/>
      <c r="O5" s="3356"/>
      <c r="P5" s="3356"/>
      <c r="Q5" s="3356"/>
      <c r="R5" s="3356"/>
      <c r="S5" s="3363"/>
    </row>
    <row r="6" spans="2:19" ht="21" customHeight="1">
      <c r="B6" s="2998">
        <v>1</v>
      </c>
      <c r="C6" s="3014" t="s">
        <v>3533</v>
      </c>
      <c r="D6" s="3013" t="s">
        <v>3282</v>
      </c>
      <c r="E6" s="3034" t="s">
        <v>3726</v>
      </c>
      <c r="F6" s="3014" t="s">
        <v>3439</v>
      </c>
      <c r="G6" s="3011" t="s">
        <v>3725</v>
      </c>
      <c r="H6" s="3010" t="s">
        <v>3059</v>
      </c>
      <c r="I6" s="3010" t="s">
        <v>3292</v>
      </c>
      <c r="J6" s="3009"/>
      <c r="K6" s="3008">
        <v>1332.6</v>
      </c>
      <c r="L6" s="3008">
        <f t="shared" ref="L6:L37" si="0">ROUND(N6*12/K6/365,1)</f>
        <v>2</v>
      </c>
      <c r="M6" s="3007">
        <v>62</v>
      </c>
      <c r="N6" s="2994">
        <f t="shared" ref="N6:N37" si="1">IFERROR(M6*K6,"")</f>
        <v>82621.2</v>
      </c>
      <c r="O6" s="3006">
        <v>18</v>
      </c>
      <c r="P6" s="2994">
        <f t="shared" ref="P6:P37" si="2">IFERROR(K6*O6,"-")</f>
        <v>23986.799999999999</v>
      </c>
      <c r="Q6" s="3005">
        <v>43456</v>
      </c>
      <c r="R6" s="3005">
        <v>45647</v>
      </c>
      <c r="S6" s="3004" t="s">
        <v>3530</v>
      </c>
    </row>
    <row r="7" spans="2:19" ht="21" customHeight="1">
      <c r="B7" s="2998">
        <v>2</v>
      </c>
      <c r="C7" s="3014" t="s">
        <v>3298</v>
      </c>
      <c r="D7" s="3013" t="s">
        <v>3282</v>
      </c>
      <c r="E7" s="3012" t="s">
        <v>3724</v>
      </c>
      <c r="F7" s="3011" t="s">
        <v>3268</v>
      </c>
      <c r="G7" s="3011" t="s">
        <v>3723</v>
      </c>
      <c r="H7" s="3010" t="s">
        <v>3059</v>
      </c>
      <c r="I7" s="3010" t="s">
        <v>3292</v>
      </c>
      <c r="J7" s="3009"/>
      <c r="K7" s="3008">
        <v>89.73</v>
      </c>
      <c r="L7" s="3008">
        <f t="shared" si="0"/>
        <v>6.1</v>
      </c>
      <c r="M7" s="3007">
        <v>185</v>
      </c>
      <c r="N7" s="2994">
        <f t="shared" si="1"/>
        <v>16600.05</v>
      </c>
      <c r="O7" s="3006">
        <v>55</v>
      </c>
      <c r="P7" s="2994">
        <f t="shared" si="2"/>
        <v>4935.1500000000005</v>
      </c>
      <c r="Q7" s="3005">
        <v>43456</v>
      </c>
      <c r="R7" s="3005">
        <v>44490</v>
      </c>
      <c r="S7" s="3004" t="s">
        <v>3607</v>
      </c>
    </row>
    <row r="8" spans="2:19" ht="21" customHeight="1">
      <c r="B8" s="2998">
        <v>3</v>
      </c>
      <c r="C8" s="3014" t="s">
        <v>3298</v>
      </c>
      <c r="D8" s="3013" t="s">
        <v>3282</v>
      </c>
      <c r="E8" s="3012" t="s">
        <v>3722</v>
      </c>
      <c r="F8" s="3011" t="s">
        <v>3268</v>
      </c>
      <c r="G8" s="3011" t="s">
        <v>3721</v>
      </c>
      <c r="H8" s="3010" t="s">
        <v>3059</v>
      </c>
      <c r="I8" s="3010" t="s">
        <v>3292</v>
      </c>
      <c r="J8" s="3009"/>
      <c r="K8" s="3008">
        <v>149.78</v>
      </c>
      <c r="L8" s="3008">
        <f t="shared" si="0"/>
        <v>6.6</v>
      </c>
      <c r="M8" s="3007">
        <v>200</v>
      </c>
      <c r="N8" s="2994">
        <f t="shared" si="1"/>
        <v>29956</v>
      </c>
      <c r="O8" s="3006">
        <v>55</v>
      </c>
      <c r="P8" s="2994">
        <f t="shared" si="2"/>
        <v>8237.9</v>
      </c>
      <c r="Q8" s="3005">
        <v>43456</v>
      </c>
      <c r="R8" s="3005">
        <v>44490</v>
      </c>
      <c r="S8" s="3004" t="s">
        <v>3607</v>
      </c>
    </row>
    <row r="9" spans="2:19" ht="21" customHeight="1">
      <c r="B9" s="2998">
        <v>4</v>
      </c>
      <c r="C9" s="3014" t="s">
        <v>3298</v>
      </c>
      <c r="D9" s="3013" t="s">
        <v>3282</v>
      </c>
      <c r="E9" s="3012" t="s">
        <v>3720</v>
      </c>
      <c r="F9" s="3011" t="s">
        <v>3268</v>
      </c>
      <c r="G9" s="3011" t="s">
        <v>3719</v>
      </c>
      <c r="H9" s="3010" t="s">
        <v>3059</v>
      </c>
      <c r="I9" s="3010" t="s">
        <v>3292</v>
      </c>
      <c r="J9" s="3009"/>
      <c r="K9" s="3008">
        <v>132.94</v>
      </c>
      <c r="L9" s="3008">
        <f t="shared" si="0"/>
        <v>7.6</v>
      </c>
      <c r="M9" s="3007">
        <v>230</v>
      </c>
      <c r="N9" s="2994">
        <f t="shared" si="1"/>
        <v>30576.2</v>
      </c>
      <c r="O9" s="3006">
        <v>55</v>
      </c>
      <c r="P9" s="2994">
        <f t="shared" si="2"/>
        <v>7311.7</v>
      </c>
      <c r="Q9" s="3005">
        <v>43456</v>
      </c>
      <c r="R9" s="3005">
        <v>44490</v>
      </c>
      <c r="S9" s="3004" t="s">
        <v>3607</v>
      </c>
    </row>
    <row r="10" spans="2:19" ht="21" customHeight="1">
      <c r="B10" s="2998">
        <v>5</v>
      </c>
      <c r="C10" s="3014" t="s">
        <v>3298</v>
      </c>
      <c r="D10" s="3013" t="s">
        <v>3282</v>
      </c>
      <c r="E10" s="3012" t="s">
        <v>3718</v>
      </c>
      <c r="F10" s="3011" t="s">
        <v>3268</v>
      </c>
      <c r="G10" s="3011" t="s">
        <v>3717</v>
      </c>
      <c r="H10" s="3010" t="s">
        <v>3059</v>
      </c>
      <c r="I10" s="3010" t="s">
        <v>3292</v>
      </c>
      <c r="J10" s="3009"/>
      <c r="K10" s="3008">
        <v>113.76</v>
      </c>
      <c r="L10" s="3008">
        <f t="shared" si="0"/>
        <v>7.4</v>
      </c>
      <c r="M10" s="3007">
        <v>225</v>
      </c>
      <c r="N10" s="2994">
        <f t="shared" si="1"/>
        <v>25596</v>
      </c>
      <c r="O10" s="3006">
        <v>55</v>
      </c>
      <c r="P10" s="2994">
        <f t="shared" si="2"/>
        <v>6256.8</v>
      </c>
      <c r="Q10" s="3005">
        <v>43456</v>
      </c>
      <c r="R10" s="3005">
        <v>44490</v>
      </c>
      <c r="S10" s="3004" t="s">
        <v>3607</v>
      </c>
    </row>
    <row r="11" spans="2:19" ht="21" customHeight="1">
      <c r="B11" s="2998">
        <v>6</v>
      </c>
      <c r="C11" s="3014" t="s">
        <v>3298</v>
      </c>
      <c r="D11" s="3013" t="s">
        <v>3282</v>
      </c>
      <c r="E11" s="3012" t="s">
        <v>3716</v>
      </c>
      <c r="F11" s="3011" t="s">
        <v>3268</v>
      </c>
      <c r="G11" s="3011" t="s">
        <v>3715</v>
      </c>
      <c r="H11" s="3010" t="s">
        <v>3059</v>
      </c>
      <c r="I11" s="3010" t="s">
        <v>3292</v>
      </c>
      <c r="J11" s="3009"/>
      <c r="K11" s="3008">
        <v>96.02</v>
      </c>
      <c r="L11" s="3008">
        <f t="shared" si="0"/>
        <v>7.6</v>
      </c>
      <c r="M11" s="3007">
        <v>230</v>
      </c>
      <c r="N11" s="2994">
        <f t="shared" si="1"/>
        <v>22084.6</v>
      </c>
      <c r="O11" s="3006">
        <v>55</v>
      </c>
      <c r="P11" s="2994">
        <f t="shared" si="2"/>
        <v>5281.0999999999995</v>
      </c>
      <c r="Q11" s="3005">
        <v>43456</v>
      </c>
      <c r="R11" s="3005">
        <v>44490</v>
      </c>
      <c r="S11" s="3004" t="s">
        <v>3607</v>
      </c>
    </row>
    <row r="12" spans="2:19" ht="21" customHeight="1">
      <c r="B12" s="2998">
        <v>7</v>
      </c>
      <c r="C12" s="3014" t="s">
        <v>3298</v>
      </c>
      <c r="D12" s="3013" t="s">
        <v>3282</v>
      </c>
      <c r="E12" s="3012" t="s">
        <v>3714</v>
      </c>
      <c r="F12" s="3011" t="s">
        <v>3269</v>
      </c>
      <c r="G12" s="3011" t="s">
        <v>3713</v>
      </c>
      <c r="H12" s="3010" t="s">
        <v>3059</v>
      </c>
      <c r="I12" s="3010" t="s">
        <v>3292</v>
      </c>
      <c r="J12" s="3009"/>
      <c r="K12" s="3008">
        <v>85.44</v>
      </c>
      <c r="L12" s="3008">
        <f t="shared" si="0"/>
        <v>6.2</v>
      </c>
      <c r="M12" s="3007">
        <v>190</v>
      </c>
      <c r="N12" s="2994">
        <f t="shared" si="1"/>
        <v>16233.6</v>
      </c>
      <c r="O12" s="3006">
        <v>55</v>
      </c>
      <c r="P12" s="2994">
        <f t="shared" si="2"/>
        <v>4699.2</v>
      </c>
      <c r="Q12" s="3005">
        <v>43456</v>
      </c>
      <c r="R12" s="3005">
        <v>44490</v>
      </c>
      <c r="S12" s="3004" t="s">
        <v>3366</v>
      </c>
    </row>
    <row r="13" spans="2:19" ht="21" customHeight="1">
      <c r="B13" s="2998">
        <v>8</v>
      </c>
      <c r="C13" s="3014" t="s">
        <v>3298</v>
      </c>
      <c r="D13" s="3013" t="s">
        <v>3282</v>
      </c>
      <c r="E13" s="3012" t="s">
        <v>3712</v>
      </c>
      <c r="F13" s="3011" t="s">
        <v>3268</v>
      </c>
      <c r="G13" s="3011" t="s">
        <v>3711</v>
      </c>
      <c r="H13" s="3010" t="s">
        <v>3071</v>
      </c>
      <c r="I13" s="3010" t="s">
        <v>3291</v>
      </c>
      <c r="J13" s="3009">
        <v>0.06</v>
      </c>
      <c r="K13" s="3008">
        <v>272.20999999999998</v>
      </c>
      <c r="L13" s="3008">
        <f t="shared" si="0"/>
        <v>2.2000000000000002</v>
      </c>
      <c r="M13" s="3007">
        <v>68.34</v>
      </c>
      <c r="N13" s="2994">
        <f t="shared" si="1"/>
        <v>18602.831399999999</v>
      </c>
      <c r="O13" s="3006">
        <v>35</v>
      </c>
      <c r="P13" s="2994">
        <f t="shared" si="2"/>
        <v>9527.3499999999985</v>
      </c>
      <c r="Q13" s="3005">
        <v>43456</v>
      </c>
      <c r="R13" s="3005">
        <v>46377</v>
      </c>
      <c r="S13" s="3004"/>
    </row>
    <row r="14" spans="2:19" ht="21" customHeight="1">
      <c r="B14" s="2998">
        <v>9</v>
      </c>
      <c r="C14" s="3014" t="s">
        <v>3298</v>
      </c>
      <c r="D14" s="3013" t="s">
        <v>3282</v>
      </c>
      <c r="E14" s="3012" t="s">
        <v>3710</v>
      </c>
      <c r="F14" s="3011" t="s">
        <v>3269</v>
      </c>
      <c r="G14" s="3011" t="s">
        <v>3709</v>
      </c>
      <c r="H14" s="3010" t="s">
        <v>3071</v>
      </c>
      <c r="I14" s="3010" t="s">
        <v>3291</v>
      </c>
      <c r="J14" s="3009">
        <v>7.0000000000000007E-2</v>
      </c>
      <c r="K14" s="3008">
        <v>262.74</v>
      </c>
      <c r="L14" s="3008">
        <f t="shared" si="0"/>
        <v>1.9</v>
      </c>
      <c r="M14" s="3007">
        <v>56.56</v>
      </c>
      <c r="N14" s="2994">
        <f t="shared" si="1"/>
        <v>14860.574400000001</v>
      </c>
      <c r="O14" s="3006">
        <v>40</v>
      </c>
      <c r="P14" s="2994">
        <f t="shared" si="2"/>
        <v>10509.6</v>
      </c>
      <c r="Q14" s="3005">
        <v>43456</v>
      </c>
      <c r="R14" s="3005">
        <v>47838</v>
      </c>
      <c r="S14" s="3004"/>
    </row>
    <row r="15" spans="2:19" ht="21" customHeight="1">
      <c r="B15" s="2998">
        <v>10</v>
      </c>
      <c r="C15" s="3014" t="s">
        <v>3298</v>
      </c>
      <c r="D15" s="3013" t="s">
        <v>3282</v>
      </c>
      <c r="E15" s="3012" t="s">
        <v>3708</v>
      </c>
      <c r="F15" s="3011" t="s">
        <v>3268</v>
      </c>
      <c r="G15" s="3011" t="s">
        <v>3707</v>
      </c>
      <c r="H15" s="3010" t="s">
        <v>3059</v>
      </c>
      <c r="I15" s="3010" t="s">
        <v>3292</v>
      </c>
      <c r="J15" s="3009"/>
      <c r="K15" s="3008">
        <v>118.02</v>
      </c>
      <c r="L15" s="3008">
        <f t="shared" si="0"/>
        <v>7.2</v>
      </c>
      <c r="M15" s="3007">
        <v>220</v>
      </c>
      <c r="N15" s="2994">
        <f t="shared" si="1"/>
        <v>25964.399999999998</v>
      </c>
      <c r="O15" s="3006">
        <v>55</v>
      </c>
      <c r="P15" s="2994">
        <f t="shared" si="2"/>
        <v>6491.0999999999995</v>
      </c>
      <c r="Q15" s="3005">
        <v>43456</v>
      </c>
      <c r="R15" s="3005">
        <v>44490</v>
      </c>
      <c r="S15" s="3004" t="s">
        <v>3366</v>
      </c>
    </row>
    <row r="16" spans="2:19" ht="21" customHeight="1">
      <c r="B16" s="2998">
        <v>11</v>
      </c>
      <c r="C16" s="3014" t="s">
        <v>3298</v>
      </c>
      <c r="D16" s="3013" t="s">
        <v>3282</v>
      </c>
      <c r="E16" s="3012" t="s">
        <v>3706</v>
      </c>
      <c r="F16" s="3011" t="s">
        <v>3278</v>
      </c>
      <c r="G16" s="3032" t="s">
        <v>3705</v>
      </c>
      <c r="H16" s="3010" t="s">
        <v>3059</v>
      </c>
      <c r="I16" s="3010" t="s">
        <v>3292</v>
      </c>
      <c r="J16" s="3009"/>
      <c r="K16" s="3008">
        <v>114.09</v>
      </c>
      <c r="L16" s="3008">
        <f t="shared" si="0"/>
        <v>7.4</v>
      </c>
      <c r="M16" s="3007">
        <v>225</v>
      </c>
      <c r="N16" s="2994">
        <f t="shared" si="1"/>
        <v>25670.25</v>
      </c>
      <c r="O16" s="3006">
        <v>55</v>
      </c>
      <c r="P16" s="2994">
        <f t="shared" si="2"/>
        <v>6274.95</v>
      </c>
      <c r="Q16" s="3005">
        <v>43820</v>
      </c>
      <c r="R16" s="3005">
        <v>44915</v>
      </c>
      <c r="S16" s="3004" t="s">
        <v>3607</v>
      </c>
    </row>
    <row r="17" spans="2:19" ht="21" customHeight="1">
      <c r="B17" s="2998">
        <v>12</v>
      </c>
      <c r="C17" s="3014" t="s">
        <v>3298</v>
      </c>
      <c r="D17" s="3013" t="s">
        <v>3282</v>
      </c>
      <c r="E17" s="3012" t="s">
        <v>3704</v>
      </c>
      <c r="F17" s="3011" t="s">
        <v>3278</v>
      </c>
      <c r="G17" s="3011" t="s">
        <v>3703</v>
      </c>
      <c r="H17" s="3010" t="s">
        <v>3059</v>
      </c>
      <c r="I17" s="3010" t="s">
        <v>3292</v>
      </c>
      <c r="J17" s="3009"/>
      <c r="K17" s="3008">
        <v>110.52</v>
      </c>
      <c r="L17" s="3008">
        <f t="shared" si="0"/>
        <v>6.9</v>
      </c>
      <c r="M17" s="3007">
        <v>210</v>
      </c>
      <c r="N17" s="2994">
        <f t="shared" si="1"/>
        <v>23209.200000000001</v>
      </c>
      <c r="O17" s="3006">
        <v>55</v>
      </c>
      <c r="P17" s="2994">
        <f t="shared" si="2"/>
        <v>6078.5999999999995</v>
      </c>
      <c r="Q17" s="3005">
        <v>43456</v>
      </c>
      <c r="R17" s="3005">
        <v>44490</v>
      </c>
      <c r="S17" s="3004" t="s">
        <v>3607</v>
      </c>
    </row>
    <row r="18" spans="2:19" ht="21" customHeight="1">
      <c r="B18" s="2998">
        <v>13</v>
      </c>
      <c r="C18" s="3014" t="s">
        <v>3298</v>
      </c>
      <c r="D18" s="3013" t="s">
        <v>3282</v>
      </c>
      <c r="E18" s="3012" t="s">
        <v>3702</v>
      </c>
      <c r="F18" s="3011" t="s">
        <v>3278</v>
      </c>
      <c r="G18" s="3011" t="s">
        <v>3701</v>
      </c>
      <c r="H18" s="3010" t="s">
        <v>3059</v>
      </c>
      <c r="I18" s="3010" t="s">
        <v>3292</v>
      </c>
      <c r="J18" s="3009"/>
      <c r="K18" s="3008">
        <v>155.88</v>
      </c>
      <c r="L18" s="3008">
        <f t="shared" si="0"/>
        <v>6.1</v>
      </c>
      <c r="M18" s="3007">
        <v>185</v>
      </c>
      <c r="N18" s="2994">
        <f t="shared" si="1"/>
        <v>28837.8</v>
      </c>
      <c r="O18" s="3006">
        <v>55</v>
      </c>
      <c r="P18" s="2994">
        <f t="shared" si="2"/>
        <v>8573.4</v>
      </c>
      <c r="Q18" s="3005">
        <v>43456</v>
      </c>
      <c r="R18" s="3005">
        <v>44490</v>
      </c>
      <c r="S18" s="3004" t="s">
        <v>3607</v>
      </c>
    </row>
    <row r="19" spans="2:19" ht="21" customHeight="1">
      <c r="B19" s="2998">
        <v>14</v>
      </c>
      <c r="C19" s="3014" t="s">
        <v>3298</v>
      </c>
      <c r="D19" s="3013" t="s">
        <v>3282</v>
      </c>
      <c r="E19" s="3012" t="s">
        <v>3700</v>
      </c>
      <c r="F19" s="3011" t="s">
        <v>3268</v>
      </c>
      <c r="G19" s="3030" t="s">
        <v>3699</v>
      </c>
      <c r="H19" s="3010" t="s">
        <v>3059</v>
      </c>
      <c r="I19" s="3010" t="s">
        <v>3292</v>
      </c>
      <c r="J19" s="3009"/>
      <c r="K19" s="3008">
        <v>133.76</v>
      </c>
      <c r="L19" s="3008">
        <f t="shared" si="0"/>
        <v>7.2</v>
      </c>
      <c r="M19" s="3007">
        <v>220</v>
      </c>
      <c r="N19" s="2994">
        <f t="shared" si="1"/>
        <v>29427.199999999997</v>
      </c>
      <c r="O19" s="3006">
        <v>55</v>
      </c>
      <c r="P19" s="2994">
        <f t="shared" si="2"/>
        <v>7356.7999999999993</v>
      </c>
      <c r="Q19" s="3005">
        <v>43784</v>
      </c>
      <c r="R19" s="3005">
        <v>44879</v>
      </c>
      <c r="S19" s="3033" t="s">
        <v>3607</v>
      </c>
    </row>
    <row r="20" spans="2:19" ht="21" customHeight="1">
      <c r="B20" s="2998">
        <v>15</v>
      </c>
      <c r="C20" s="3014" t="s">
        <v>3298</v>
      </c>
      <c r="D20" s="3013" t="s">
        <v>3282</v>
      </c>
      <c r="E20" s="3012" t="s">
        <v>3698</v>
      </c>
      <c r="F20" s="3011" t="s">
        <v>3278</v>
      </c>
      <c r="G20" s="3011" t="s">
        <v>3697</v>
      </c>
      <c r="H20" s="3010" t="s">
        <v>3059</v>
      </c>
      <c r="I20" s="3010" t="s">
        <v>3292</v>
      </c>
      <c r="J20" s="3009"/>
      <c r="K20" s="3008">
        <v>104.37</v>
      </c>
      <c r="L20" s="3008">
        <f t="shared" si="0"/>
        <v>7.4</v>
      </c>
      <c r="M20" s="3007">
        <v>225</v>
      </c>
      <c r="N20" s="2994">
        <f t="shared" si="1"/>
        <v>23483.25</v>
      </c>
      <c r="O20" s="3006">
        <v>55</v>
      </c>
      <c r="P20" s="2994">
        <f t="shared" si="2"/>
        <v>5740.35</v>
      </c>
      <c r="Q20" s="3005">
        <v>43456</v>
      </c>
      <c r="R20" s="3005">
        <v>44490</v>
      </c>
      <c r="S20" s="3004" t="s">
        <v>3607</v>
      </c>
    </row>
    <row r="21" spans="2:19" ht="21" customHeight="1">
      <c r="B21" s="2998">
        <v>16</v>
      </c>
      <c r="C21" s="3014" t="s">
        <v>3298</v>
      </c>
      <c r="D21" s="3013" t="s">
        <v>3282</v>
      </c>
      <c r="E21" s="3012" t="s">
        <v>3696</v>
      </c>
      <c r="F21" s="3011" t="s">
        <v>3268</v>
      </c>
      <c r="G21" s="3011" t="s">
        <v>3695</v>
      </c>
      <c r="H21" s="3010" t="s">
        <v>3059</v>
      </c>
      <c r="I21" s="3010" t="s">
        <v>3292</v>
      </c>
      <c r="J21" s="3009"/>
      <c r="K21" s="3008">
        <v>46.24</v>
      </c>
      <c r="L21" s="3008">
        <f t="shared" si="0"/>
        <v>8.9</v>
      </c>
      <c r="M21" s="3007">
        <v>270</v>
      </c>
      <c r="N21" s="2994">
        <f t="shared" si="1"/>
        <v>12484.800000000001</v>
      </c>
      <c r="O21" s="3006">
        <v>55</v>
      </c>
      <c r="P21" s="2994">
        <f t="shared" si="2"/>
        <v>2543.2000000000003</v>
      </c>
      <c r="Q21" s="3005">
        <v>43456</v>
      </c>
      <c r="R21" s="3005">
        <v>44125</v>
      </c>
      <c r="S21" s="3004" t="s">
        <v>3607</v>
      </c>
    </row>
    <row r="22" spans="2:19" ht="21" customHeight="1">
      <c r="B22" s="2998">
        <v>17</v>
      </c>
      <c r="C22" s="3014" t="s">
        <v>3298</v>
      </c>
      <c r="D22" s="3013" t="s">
        <v>3282</v>
      </c>
      <c r="E22" s="3012" t="s">
        <v>3694</v>
      </c>
      <c r="F22" s="3011" t="s">
        <v>3269</v>
      </c>
      <c r="G22" s="3011" t="s">
        <v>3693</v>
      </c>
      <c r="H22" s="3010" t="s">
        <v>3059</v>
      </c>
      <c r="I22" s="3010" t="s">
        <v>3292</v>
      </c>
      <c r="J22" s="3009"/>
      <c r="K22" s="3008">
        <v>80.62</v>
      </c>
      <c r="L22" s="3008">
        <f t="shared" si="0"/>
        <v>5.9</v>
      </c>
      <c r="M22" s="3007">
        <v>180</v>
      </c>
      <c r="N22" s="2994">
        <f t="shared" si="1"/>
        <v>14511.6</v>
      </c>
      <c r="O22" s="3006">
        <v>55</v>
      </c>
      <c r="P22" s="2994">
        <f t="shared" si="2"/>
        <v>4434.1000000000004</v>
      </c>
      <c r="Q22" s="3005">
        <v>43456</v>
      </c>
      <c r="R22" s="3005">
        <v>45220</v>
      </c>
      <c r="S22" s="3004" t="s">
        <v>3607</v>
      </c>
    </row>
    <row r="23" spans="2:19" ht="21" customHeight="1">
      <c r="B23" s="2998">
        <v>18</v>
      </c>
      <c r="C23" s="3014" t="s">
        <v>3298</v>
      </c>
      <c r="D23" s="3013" t="s">
        <v>3282</v>
      </c>
      <c r="E23" s="3012" t="s">
        <v>3692</v>
      </c>
      <c r="F23" s="3011" t="s">
        <v>3278</v>
      </c>
      <c r="G23" s="3011" t="s">
        <v>3691</v>
      </c>
      <c r="H23" s="3010" t="s">
        <v>3059</v>
      </c>
      <c r="I23" s="3010" t="s">
        <v>3292</v>
      </c>
      <c r="J23" s="3009"/>
      <c r="K23" s="3008">
        <v>286.26</v>
      </c>
      <c r="L23" s="3008">
        <f t="shared" si="0"/>
        <v>2.6</v>
      </c>
      <c r="M23" s="3007">
        <v>80</v>
      </c>
      <c r="N23" s="2994">
        <f t="shared" si="1"/>
        <v>22900.799999999999</v>
      </c>
      <c r="O23" s="3006">
        <v>55</v>
      </c>
      <c r="P23" s="2994">
        <f t="shared" si="2"/>
        <v>15744.3</v>
      </c>
      <c r="Q23" s="3005">
        <v>43456</v>
      </c>
      <c r="R23" s="3005">
        <v>45281</v>
      </c>
      <c r="S23" s="3004" t="s">
        <v>3607</v>
      </c>
    </row>
    <row r="24" spans="2:19" ht="21" customHeight="1">
      <c r="B24" s="2998">
        <v>19</v>
      </c>
      <c r="C24" s="3014" t="s">
        <v>3298</v>
      </c>
      <c r="D24" s="3013" t="s">
        <v>3282</v>
      </c>
      <c r="E24" s="3012" t="s">
        <v>3690</v>
      </c>
      <c r="F24" s="3011" t="s">
        <v>3268</v>
      </c>
      <c r="G24" s="3011" t="s">
        <v>3689</v>
      </c>
      <c r="H24" s="3010" t="s">
        <v>3059</v>
      </c>
      <c r="I24" s="3010" t="s">
        <v>3292</v>
      </c>
      <c r="J24" s="3009"/>
      <c r="K24" s="3008">
        <v>80.8</v>
      </c>
      <c r="L24" s="3008">
        <f t="shared" si="0"/>
        <v>7.6</v>
      </c>
      <c r="M24" s="3007">
        <v>230</v>
      </c>
      <c r="N24" s="2994">
        <f t="shared" si="1"/>
        <v>18584</v>
      </c>
      <c r="O24" s="3006">
        <v>55</v>
      </c>
      <c r="P24" s="2994">
        <f t="shared" si="2"/>
        <v>4444</v>
      </c>
      <c r="Q24" s="3005">
        <v>43456</v>
      </c>
      <c r="R24" s="3005">
        <v>44490</v>
      </c>
      <c r="S24" s="3004" t="s">
        <v>3607</v>
      </c>
    </row>
    <row r="25" spans="2:19" ht="21" customHeight="1">
      <c r="B25" s="2998">
        <v>20</v>
      </c>
      <c r="C25" s="3014" t="s">
        <v>3298</v>
      </c>
      <c r="D25" s="3013" t="s">
        <v>3282</v>
      </c>
      <c r="E25" s="3012" t="s">
        <v>3688</v>
      </c>
      <c r="F25" s="3011" t="s">
        <v>3278</v>
      </c>
      <c r="G25" s="3030" t="s">
        <v>3686</v>
      </c>
      <c r="H25" s="3010" t="s">
        <v>3059</v>
      </c>
      <c r="I25" s="3010" t="s">
        <v>3292</v>
      </c>
      <c r="J25" s="3009"/>
      <c r="K25" s="3008">
        <v>100.3</v>
      </c>
      <c r="L25" s="3008">
        <f t="shared" si="0"/>
        <v>6.4</v>
      </c>
      <c r="M25" s="3007">
        <v>195</v>
      </c>
      <c r="N25" s="2994">
        <f t="shared" si="1"/>
        <v>19558.5</v>
      </c>
      <c r="O25" s="3006">
        <v>55</v>
      </c>
      <c r="P25" s="2994">
        <f t="shared" si="2"/>
        <v>5516.5</v>
      </c>
      <c r="Q25" s="3005">
        <v>43739</v>
      </c>
      <c r="R25" s="3005">
        <v>44834</v>
      </c>
      <c r="S25" s="3004" t="s">
        <v>3607</v>
      </c>
    </row>
    <row r="26" spans="2:19" ht="21" customHeight="1">
      <c r="B26" s="2998">
        <v>21</v>
      </c>
      <c r="C26" s="3014" t="s">
        <v>3298</v>
      </c>
      <c r="D26" s="3013" t="s">
        <v>3282</v>
      </c>
      <c r="E26" s="3012" t="s">
        <v>3687</v>
      </c>
      <c r="F26" s="3011" t="s">
        <v>3278</v>
      </c>
      <c r="G26" s="3030" t="s">
        <v>3686</v>
      </c>
      <c r="H26" s="3010" t="s">
        <v>3059</v>
      </c>
      <c r="I26" s="3010" t="s">
        <v>3292</v>
      </c>
      <c r="J26" s="3009"/>
      <c r="K26" s="3008">
        <v>148.32</v>
      </c>
      <c r="L26" s="3008">
        <f t="shared" si="0"/>
        <v>6.4</v>
      </c>
      <c r="M26" s="3007">
        <v>195</v>
      </c>
      <c r="N26" s="2994">
        <f t="shared" si="1"/>
        <v>28922.399999999998</v>
      </c>
      <c r="O26" s="3006">
        <v>55</v>
      </c>
      <c r="P26" s="2994">
        <f t="shared" si="2"/>
        <v>8157.5999999999995</v>
      </c>
      <c r="Q26" s="3005">
        <v>43739</v>
      </c>
      <c r="R26" s="3005">
        <v>44834</v>
      </c>
      <c r="S26" s="3004" t="s">
        <v>3607</v>
      </c>
    </row>
    <row r="27" spans="2:19" ht="21" customHeight="1">
      <c r="B27" s="2998">
        <v>22</v>
      </c>
      <c r="C27" s="3014" t="s">
        <v>3298</v>
      </c>
      <c r="D27" s="3013" t="s">
        <v>3282</v>
      </c>
      <c r="E27" s="3012" t="s">
        <v>3685</v>
      </c>
      <c r="F27" s="3011" t="s">
        <v>3268</v>
      </c>
      <c r="G27" s="3011" t="s">
        <v>3684</v>
      </c>
      <c r="H27" s="3010" t="s">
        <v>3059</v>
      </c>
      <c r="I27" s="3010" t="s">
        <v>3292</v>
      </c>
      <c r="J27" s="3009"/>
      <c r="K27" s="3008">
        <v>72.72</v>
      </c>
      <c r="L27" s="3008">
        <f t="shared" si="0"/>
        <v>8.4</v>
      </c>
      <c r="M27" s="3007">
        <v>255</v>
      </c>
      <c r="N27" s="2994">
        <f t="shared" si="1"/>
        <v>18543.599999999999</v>
      </c>
      <c r="O27" s="3006">
        <v>55</v>
      </c>
      <c r="P27" s="2994">
        <f t="shared" si="2"/>
        <v>3999.6</v>
      </c>
      <c r="Q27" s="3005">
        <v>43456</v>
      </c>
      <c r="R27" s="3005">
        <v>44490</v>
      </c>
      <c r="S27" s="3004" t="s">
        <v>3607</v>
      </c>
    </row>
    <row r="28" spans="2:19" ht="21" customHeight="1">
      <c r="B28" s="2998">
        <v>23</v>
      </c>
      <c r="C28" s="3014" t="s">
        <v>3298</v>
      </c>
      <c r="D28" s="3013" t="s">
        <v>3282</v>
      </c>
      <c r="E28" s="3012" t="s">
        <v>3683</v>
      </c>
      <c r="F28" s="3011" t="s">
        <v>3268</v>
      </c>
      <c r="G28" s="3011" t="s">
        <v>3682</v>
      </c>
      <c r="H28" s="3010" t="s">
        <v>3059</v>
      </c>
      <c r="I28" s="3010" t="s">
        <v>3292</v>
      </c>
      <c r="J28" s="3009"/>
      <c r="K28" s="3008">
        <v>83.63</v>
      </c>
      <c r="L28" s="3008">
        <f t="shared" si="0"/>
        <v>8.4</v>
      </c>
      <c r="M28" s="3007">
        <v>255</v>
      </c>
      <c r="N28" s="2994">
        <f t="shared" si="1"/>
        <v>21325.649999999998</v>
      </c>
      <c r="O28" s="3006">
        <v>55</v>
      </c>
      <c r="P28" s="2994">
        <f t="shared" si="2"/>
        <v>4599.6499999999996</v>
      </c>
      <c r="Q28" s="3005">
        <v>43456</v>
      </c>
      <c r="R28" s="3005">
        <v>44490</v>
      </c>
      <c r="S28" s="3004" t="s">
        <v>3607</v>
      </c>
    </row>
    <row r="29" spans="2:19" ht="21" customHeight="1">
      <c r="B29" s="2998">
        <v>24</v>
      </c>
      <c r="C29" s="3014" t="s">
        <v>3298</v>
      </c>
      <c r="D29" s="3013" t="s">
        <v>3282</v>
      </c>
      <c r="E29" s="3012" t="s">
        <v>3681</v>
      </c>
      <c r="F29" s="3011" t="s">
        <v>3269</v>
      </c>
      <c r="G29" s="3011" t="s">
        <v>3680</v>
      </c>
      <c r="H29" s="3010" t="s">
        <v>3071</v>
      </c>
      <c r="I29" s="3010" t="s">
        <v>3291</v>
      </c>
      <c r="J29" s="3009">
        <v>7.0000000000000007E-2</v>
      </c>
      <c r="K29" s="3008">
        <v>128.94</v>
      </c>
      <c r="L29" s="3008">
        <f t="shared" si="0"/>
        <v>7.4</v>
      </c>
      <c r="M29" s="3007">
        <v>226.2</v>
      </c>
      <c r="N29" s="2994">
        <f t="shared" si="1"/>
        <v>29166.227999999999</v>
      </c>
      <c r="O29" s="3006">
        <v>20</v>
      </c>
      <c r="P29" s="2994">
        <f t="shared" si="2"/>
        <v>2578.8000000000002</v>
      </c>
      <c r="Q29" s="3005">
        <v>43456</v>
      </c>
      <c r="R29" s="3005">
        <v>48934</v>
      </c>
      <c r="S29" s="3004"/>
    </row>
    <row r="30" spans="2:19" ht="21" customHeight="1">
      <c r="B30" s="2998">
        <v>25</v>
      </c>
      <c r="C30" s="3014" t="s">
        <v>3298</v>
      </c>
      <c r="D30" s="3013" t="s">
        <v>3282</v>
      </c>
      <c r="E30" s="3012" t="s">
        <v>3679</v>
      </c>
      <c r="F30" s="3011" t="s">
        <v>3268</v>
      </c>
      <c r="G30" s="3011" t="s">
        <v>3678</v>
      </c>
      <c r="H30" s="3010" t="s">
        <v>3059</v>
      </c>
      <c r="I30" s="3010" t="s">
        <v>3292</v>
      </c>
      <c r="J30" s="3009"/>
      <c r="K30" s="3008">
        <v>122.75</v>
      </c>
      <c r="L30" s="3008">
        <f t="shared" si="0"/>
        <v>6.6</v>
      </c>
      <c r="M30" s="3007">
        <v>200</v>
      </c>
      <c r="N30" s="2994">
        <f t="shared" si="1"/>
        <v>24550</v>
      </c>
      <c r="O30" s="3006">
        <v>50</v>
      </c>
      <c r="P30" s="2994">
        <f t="shared" si="2"/>
        <v>6137.5</v>
      </c>
      <c r="Q30" s="3005">
        <v>43456</v>
      </c>
      <c r="R30" s="3005">
        <v>44490</v>
      </c>
      <c r="S30" s="3004" t="s">
        <v>3607</v>
      </c>
    </row>
    <row r="31" spans="2:19" ht="21" customHeight="1">
      <c r="B31" s="2998">
        <v>26</v>
      </c>
      <c r="C31" s="3014" t="s">
        <v>3298</v>
      </c>
      <c r="D31" s="3013" t="s">
        <v>3282</v>
      </c>
      <c r="E31" s="3012" t="s">
        <v>3677</v>
      </c>
      <c r="F31" s="3011" t="s">
        <v>3278</v>
      </c>
      <c r="G31" s="3011" t="s">
        <v>3676</v>
      </c>
      <c r="H31" s="3010" t="s">
        <v>3059</v>
      </c>
      <c r="I31" s="3010" t="s">
        <v>3292</v>
      </c>
      <c r="J31" s="3009"/>
      <c r="K31" s="3008">
        <v>154.78</v>
      </c>
      <c r="L31" s="3008">
        <f t="shared" si="0"/>
        <v>5.8</v>
      </c>
      <c r="M31" s="3007">
        <v>175</v>
      </c>
      <c r="N31" s="2994">
        <f t="shared" si="1"/>
        <v>27086.5</v>
      </c>
      <c r="O31" s="3006">
        <v>55</v>
      </c>
      <c r="P31" s="2994">
        <f t="shared" si="2"/>
        <v>8512.9</v>
      </c>
      <c r="Q31" s="3005">
        <v>43456</v>
      </c>
      <c r="R31" s="3005">
        <v>44490</v>
      </c>
      <c r="S31" s="3004" t="s">
        <v>3607</v>
      </c>
    </row>
    <row r="32" spans="2:19" ht="21" customHeight="1">
      <c r="B32" s="2998">
        <v>27</v>
      </c>
      <c r="C32" s="3014" t="s">
        <v>3298</v>
      </c>
      <c r="D32" s="3013" t="s">
        <v>3282</v>
      </c>
      <c r="E32" s="3012" t="s">
        <v>3675</v>
      </c>
      <c r="F32" s="3011" t="s">
        <v>3278</v>
      </c>
      <c r="G32" s="3011" t="s">
        <v>3674</v>
      </c>
      <c r="H32" s="3010" t="s">
        <v>3059</v>
      </c>
      <c r="I32" s="3010" t="s">
        <v>3292</v>
      </c>
      <c r="J32" s="3009"/>
      <c r="K32" s="3008">
        <v>146.36000000000001</v>
      </c>
      <c r="L32" s="3008">
        <f t="shared" si="0"/>
        <v>5.8</v>
      </c>
      <c r="M32" s="3007">
        <v>175</v>
      </c>
      <c r="N32" s="2994">
        <f t="shared" si="1"/>
        <v>25613.000000000004</v>
      </c>
      <c r="O32" s="3006">
        <v>55</v>
      </c>
      <c r="P32" s="2994">
        <f t="shared" si="2"/>
        <v>8049.8000000000011</v>
      </c>
      <c r="Q32" s="3005">
        <v>43456</v>
      </c>
      <c r="R32" s="3005">
        <v>44490</v>
      </c>
      <c r="S32" s="3004" t="s">
        <v>3607</v>
      </c>
    </row>
    <row r="33" spans="2:19" ht="21" customHeight="1">
      <c r="B33" s="2998">
        <v>28</v>
      </c>
      <c r="C33" s="3014" t="s">
        <v>3298</v>
      </c>
      <c r="D33" s="3013" t="s">
        <v>3282</v>
      </c>
      <c r="E33" s="3012" t="s">
        <v>3673</v>
      </c>
      <c r="F33" s="3011" t="s">
        <v>3278</v>
      </c>
      <c r="G33" s="3011" t="s">
        <v>3672</v>
      </c>
      <c r="H33" s="3010" t="s">
        <v>3059</v>
      </c>
      <c r="I33" s="3010" t="s">
        <v>3292</v>
      </c>
      <c r="J33" s="3009"/>
      <c r="K33" s="3008">
        <v>135.52000000000001</v>
      </c>
      <c r="L33" s="3008">
        <f t="shared" si="0"/>
        <v>5.8</v>
      </c>
      <c r="M33" s="3007">
        <v>175</v>
      </c>
      <c r="N33" s="2994">
        <f t="shared" si="1"/>
        <v>23716</v>
      </c>
      <c r="O33" s="3006">
        <v>55</v>
      </c>
      <c r="P33" s="2994">
        <f t="shared" si="2"/>
        <v>7453.6</v>
      </c>
      <c r="Q33" s="3005">
        <v>43456</v>
      </c>
      <c r="R33" s="3005">
        <v>44490</v>
      </c>
      <c r="S33" s="3004" t="s">
        <v>3607</v>
      </c>
    </row>
    <row r="34" spans="2:19" ht="21" customHeight="1">
      <c r="B34" s="2998">
        <v>29</v>
      </c>
      <c r="C34" s="3014" t="s">
        <v>3298</v>
      </c>
      <c r="D34" s="3013" t="s">
        <v>3282</v>
      </c>
      <c r="E34" s="3012" t="s">
        <v>3671</v>
      </c>
      <c r="F34" s="3011" t="s">
        <v>3278</v>
      </c>
      <c r="G34" s="3011" t="s">
        <v>3670</v>
      </c>
      <c r="H34" s="3010" t="s">
        <v>3059</v>
      </c>
      <c r="I34" s="3010" t="s">
        <v>3292</v>
      </c>
      <c r="J34" s="3009"/>
      <c r="K34" s="3008">
        <v>114.11</v>
      </c>
      <c r="L34" s="3008">
        <f t="shared" si="0"/>
        <v>7.1</v>
      </c>
      <c r="M34" s="3007">
        <v>215</v>
      </c>
      <c r="N34" s="2994">
        <f t="shared" si="1"/>
        <v>24533.65</v>
      </c>
      <c r="O34" s="3006">
        <v>55</v>
      </c>
      <c r="P34" s="2994">
        <f t="shared" si="2"/>
        <v>6276.05</v>
      </c>
      <c r="Q34" s="3005">
        <v>43456</v>
      </c>
      <c r="R34" s="3005">
        <v>44490</v>
      </c>
      <c r="S34" s="3004" t="s">
        <v>3607</v>
      </c>
    </row>
    <row r="35" spans="2:19" ht="21" customHeight="1">
      <c r="B35" s="2998">
        <v>30</v>
      </c>
      <c r="C35" s="3014" t="s">
        <v>3298</v>
      </c>
      <c r="D35" s="3013" t="s">
        <v>3282</v>
      </c>
      <c r="E35" s="3012" t="s">
        <v>3669</v>
      </c>
      <c r="F35" s="3011" t="s">
        <v>3278</v>
      </c>
      <c r="G35" s="3011" t="s">
        <v>3668</v>
      </c>
      <c r="H35" s="3010" t="s">
        <v>3059</v>
      </c>
      <c r="I35" s="3010" t="s">
        <v>3292</v>
      </c>
      <c r="J35" s="3009"/>
      <c r="K35" s="3008">
        <v>116.83</v>
      </c>
      <c r="L35" s="3008">
        <f t="shared" si="0"/>
        <v>7.6</v>
      </c>
      <c r="M35" s="3007">
        <v>230</v>
      </c>
      <c r="N35" s="2994">
        <f t="shared" si="1"/>
        <v>26870.899999999998</v>
      </c>
      <c r="O35" s="3006">
        <v>55</v>
      </c>
      <c r="P35" s="2994">
        <f t="shared" si="2"/>
        <v>6425.65</v>
      </c>
      <c r="Q35" s="3005">
        <v>43456</v>
      </c>
      <c r="R35" s="3005">
        <v>44490</v>
      </c>
      <c r="S35" s="3004" t="s">
        <v>3607</v>
      </c>
    </row>
    <row r="36" spans="2:19" ht="21" customHeight="1">
      <c r="B36" s="2998">
        <v>31</v>
      </c>
      <c r="C36" s="3014" t="s">
        <v>3298</v>
      </c>
      <c r="D36" s="3013" t="s">
        <v>3282</v>
      </c>
      <c r="E36" s="3012" t="s">
        <v>3667</v>
      </c>
      <c r="F36" s="3011" t="s">
        <v>3268</v>
      </c>
      <c r="G36" s="3011" t="s">
        <v>3666</v>
      </c>
      <c r="H36" s="3010" t="s">
        <v>3059</v>
      </c>
      <c r="I36" s="3010" t="s">
        <v>3292</v>
      </c>
      <c r="J36" s="3009"/>
      <c r="K36" s="3008">
        <v>53.18</v>
      </c>
      <c r="L36" s="3008">
        <f t="shared" si="0"/>
        <v>8.6999999999999993</v>
      </c>
      <c r="M36" s="3007">
        <v>265</v>
      </c>
      <c r="N36" s="2994">
        <f t="shared" si="1"/>
        <v>14092.7</v>
      </c>
      <c r="O36" s="3006">
        <v>55</v>
      </c>
      <c r="P36" s="2994">
        <f t="shared" si="2"/>
        <v>2924.9</v>
      </c>
      <c r="Q36" s="3005">
        <v>43456</v>
      </c>
      <c r="R36" s="3005">
        <v>44125</v>
      </c>
      <c r="S36" s="3004" t="s">
        <v>3607</v>
      </c>
    </row>
    <row r="37" spans="2:19" ht="21" customHeight="1">
      <c r="B37" s="2998">
        <v>32</v>
      </c>
      <c r="C37" s="3014" t="s">
        <v>3298</v>
      </c>
      <c r="D37" s="3013" t="s">
        <v>3282</v>
      </c>
      <c r="E37" s="3012" t="s">
        <v>3665</v>
      </c>
      <c r="F37" s="3011" t="s">
        <v>3278</v>
      </c>
      <c r="G37" s="3011" t="s">
        <v>3664</v>
      </c>
      <c r="H37" s="3010" t="s">
        <v>3059</v>
      </c>
      <c r="I37" s="3010" t="s">
        <v>3292</v>
      </c>
      <c r="J37" s="3009"/>
      <c r="K37" s="3008">
        <v>193.76</v>
      </c>
      <c r="L37" s="3008">
        <f t="shared" si="0"/>
        <v>2.6</v>
      </c>
      <c r="M37" s="3007">
        <v>80</v>
      </c>
      <c r="N37" s="2994">
        <f t="shared" si="1"/>
        <v>15500.8</v>
      </c>
      <c r="O37" s="3006">
        <v>55</v>
      </c>
      <c r="P37" s="2994">
        <f t="shared" si="2"/>
        <v>10656.8</v>
      </c>
      <c r="Q37" s="3005">
        <v>43456</v>
      </c>
      <c r="R37" s="3005">
        <v>45281</v>
      </c>
      <c r="S37" s="3004" t="s">
        <v>3607</v>
      </c>
    </row>
    <row r="38" spans="2:19" ht="21" customHeight="1">
      <c r="B38" s="2998">
        <v>33</v>
      </c>
      <c r="C38" s="3014" t="s">
        <v>3298</v>
      </c>
      <c r="D38" s="3013" t="s">
        <v>3282</v>
      </c>
      <c r="E38" s="3012" t="s">
        <v>3663</v>
      </c>
      <c r="F38" s="3011" t="s">
        <v>3278</v>
      </c>
      <c r="G38" s="3011" t="s">
        <v>3662</v>
      </c>
      <c r="H38" s="3010" t="s">
        <v>3059</v>
      </c>
      <c r="I38" s="3010" t="s">
        <v>3292</v>
      </c>
      <c r="J38" s="3009"/>
      <c r="K38" s="3008">
        <v>162.56</v>
      </c>
      <c r="L38" s="3008">
        <f t="shared" ref="L38:L69" si="3">ROUND(N38*12/K38/365,1)</f>
        <v>2.6</v>
      </c>
      <c r="M38" s="3007">
        <v>80</v>
      </c>
      <c r="N38" s="2994">
        <f t="shared" ref="N38:N69" si="4">IFERROR(M38*K38,"")</f>
        <v>13004.8</v>
      </c>
      <c r="O38" s="3006">
        <v>55</v>
      </c>
      <c r="P38" s="2994">
        <f t="shared" ref="P38:P69" si="5">IFERROR(K38*O38,"-")</f>
        <v>8940.7999999999993</v>
      </c>
      <c r="Q38" s="3005">
        <v>43456</v>
      </c>
      <c r="R38" s="3005">
        <v>45281</v>
      </c>
      <c r="S38" s="3004" t="s">
        <v>3607</v>
      </c>
    </row>
    <row r="39" spans="2:19" ht="21" customHeight="1">
      <c r="B39" s="2998">
        <v>34</v>
      </c>
      <c r="C39" s="3014" t="s">
        <v>3298</v>
      </c>
      <c r="D39" s="3013" t="s">
        <v>3282</v>
      </c>
      <c r="E39" s="3012" t="s">
        <v>3661</v>
      </c>
      <c r="F39" s="3011" t="s">
        <v>3278</v>
      </c>
      <c r="G39" s="3030" t="s">
        <v>3660</v>
      </c>
      <c r="H39" s="3010" t="s">
        <v>3059</v>
      </c>
      <c r="I39" s="3010" t="s">
        <v>3292</v>
      </c>
      <c r="J39" s="3009"/>
      <c r="K39" s="3008">
        <v>165.97</v>
      </c>
      <c r="L39" s="3008">
        <f t="shared" si="3"/>
        <v>5.6</v>
      </c>
      <c r="M39" s="3007">
        <v>170</v>
      </c>
      <c r="N39" s="2994">
        <f t="shared" si="4"/>
        <v>28214.9</v>
      </c>
      <c r="O39" s="3006">
        <v>55</v>
      </c>
      <c r="P39" s="2994">
        <f t="shared" si="5"/>
        <v>9128.35</v>
      </c>
      <c r="Q39" s="3005">
        <v>43678</v>
      </c>
      <c r="R39" s="3005">
        <v>44773</v>
      </c>
      <c r="S39" s="3004" t="s">
        <v>3607</v>
      </c>
    </row>
    <row r="40" spans="2:19" ht="21" customHeight="1">
      <c r="B40" s="2998">
        <v>35</v>
      </c>
      <c r="C40" s="3014" t="s">
        <v>3298</v>
      </c>
      <c r="D40" s="3013" t="s">
        <v>3282</v>
      </c>
      <c r="E40" s="3012" t="s">
        <v>3659</v>
      </c>
      <c r="F40" s="3011" t="s">
        <v>3278</v>
      </c>
      <c r="G40" s="3011" t="s">
        <v>3658</v>
      </c>
      <c r="H40" s="3010" t="s">
        <v>3059</v>
      </c>
      <c r="I40" s="3010" t="s">
        <v>3292</v>
      </c>
      <c r="J40" s="3009"/>
      <c r="K40" s="3008">
        <v>165.96</v>
      </c>
      <c r="L40" s="3008">
        <f t="shared" si="3"/>
        <v>4.5999999999999996</v>
      </c>
      <c r="M40" s="3007">
        <v>140</v>
      </c>
      <c r="N40" s="2994">
        <f t="shared" si="4"/>
        <v>23234.400000000001</v>
      </c>
      <c r="O40" s="3006">
        <v>55</v>
      </c>
      <c r="P40" s="2994">
        <f t="shared" si="5"/>
        <v>9127.8000000000011</v>
      </c>
      <c r="Q40" s="3005">
        <v>43456</v>
      </c>
      <c r="R40" s="3005">
        <v>44490</v>
      </c>
      <c r="S40" s="3004" t="s">
        <v>3607</v>
      </c>
    </row>
    <row r="41" spans="2:19" ht="21" customHeight="1">
      <c r="B41" s="2998">
        <v>36</v>
      </c>
      <c r="C41" s="3014" t="s">
        <v>3298</v>
      </c>
      <c r="D41" s="3013" t="s">
        <v>3282</v>
      </c>
      <c r="E41" s="3012" t="s">
        <v>3657</v>
      </c>
      <c r="F41" s="3011" t="s">
        <v>3268</v>
      </c>
      <c r="G41" s="3011" t="s">
        <v>3656</v>
      </c>
      <c r="H41" s="3010" t="s">
        <v>3059</v>
      </c>
      <c r="I41" s="3010" t="s">
        <v>3292</v>
      </c>
      <c r="J41" s="3009"/>
      <c r="K41" s="3008">
        <v>94.91</v>
      </c>
      <c r="L41" s="3008">
        <f t="shared" si="3"/>
        <v>6.9</v>
      </c>
      <c r="M41" s="3007">
        <v>210</v>
      </c>
      <c r="N41" s="2994">
        <f t="shared" si="4"/>
        <v>19931.099999999999</v>
      </c>
      <c r="O41" s="3006">
        <v>55</v>
      </c>
      <c r="P41" s="2994">
        <f t="shared" si="5"/>
        <v>5220.05</v>
      </c>
      <c r="Q41" s="3005">
        <v>43456</v>
      </c>
      <c r="R41" s="3005">
        <v>44490</v>
      </c>
      <c r="S41" s="3004" t="s">
        <v>3607</v>
      </c>
    </row>
    <row r="42" spans="2:19" ht="21" customHeight="1">
      <c r="B42" s="2998">
        <v>37</v>
      </c>
      <c r="C42" s="3014" t="s">
        <v>3298</v>
      </c>
      <c r="D42" s="3013" t="s">
        <v>3282</v>
      </c>
      <c r="E42" s="3012" t="s">
        <v>3655</v>
      </c>
      <c r="F42" s="3011" t="s">
        <v>3268</v>
      </c>
      <c r="G42" s="3011" t="s">
        <v>3654</v>
      </c>
      <c r="H42" s="3010" t="s">
        <v>3059</v>
      </c>
      <c r="I42" s="3010" t="s">
        <v>3292</v>
      </c>
      <c r="J42" s="3009"/>
      <c r="K42" s="3008">
        <v>84.48</v>
      </c>
      <c r="L42" s="3008">
        <f t="shared" si="3"/>
        <v>8.4</v>
      </c>
      <c r="M42" s="3007">
        <v>255</v>
      </c>
      <c r="N42" s="2994">
        <f t="shared" si="4"/>
        <v>21542.400000000001</v>
      </c>
      <c r="O42" s="3006">
        <v>55</v>
      </c>
      <c r="P42" s="2994">
        <f t="shared" si="5"/>
        <v>4646.4000000000005</v>
      </c>
      <c r="Q42" s="3005">
        <v>43456</v>
      </c>
      <c r="R42" s="3005">
        <v>44490</v>
      </c>
      <c r="S42" s="3004" t="s">
        <v>3607</v>
      </c>
    </row>
    <row r="43" spans="2:19" ht="21" customHeight="1">
      <c r="B43" s="2998">
        <v>38</v>
      </c>
      <c r="C43" s="3014" t="s">
        <v>3298</v>
      </c>
      <c r="D43" s="3013" t="s">
        <v>3282</v>
      </c>
      <c r="E43" s="3012" t="s">
        <v>3653</v>
      </c>
      <c r="F43" s="3011" t="s">
        <v>3278</v>
      </c>
      <c r="G43" s="3011" t="s">
        <v>3652</v>
      </c>
      <c r="H43" s="3010" t="s">
        <v>3059</v>
      </c>
      <c r="I43" s="3010" t="s">
        <v>3292</v>
      </c>
      <c r="J43" s="3009"/>
      <c r="K43" s="3008">
        <v>146.72</v>
      </c>
      <c r="L43" s="3008">
        <f t="shared" si="3"/>
        <v>2.6</v>
      </c>
      <c r="M43" s="3007">
        <v>80</v>
      </c>
      <c r="N43" s="2994">
        <f t="shared" si="4"/>
        <v>11737.6</v>
      </c>
      <c r="O43" s="3006">
        <v>55</v>
      </c>
      <c r="P43" s="2994">
        <f t="shared" si="5"/>
        <v>8069.6</v>
      </c>
      <c r="Q43" s="3005">
        <v>43456</v>
      </c>
      <c r="R43" s="3005">
        <v>45281</v>
      </c>
      <c r="S43" s="3004" t="s">
        <v>3607</v>
      </c>
    </row>
    <row r="44" spans="2:19" ht="21" customHeight="1">
      <c r="B44" s="2998">
        <v>39</v>
      </c>
      <c r="C44" s="3014" t="s">
        <v>3298</v>
      </c>
      <c r="D44" s="3013" t="s">
        <v>3282</v>
      </c>
      <c r="E44" s="3012" t="s">
        <v>3651</v>
      </c>
      <c r="F44" s="3011" t="s">
        <v>3278</v>
      </c>
      <c r="G44" s="3011" t="s">
        <v>3650</v>
      </c>
      <c r="H44" s="3010" t="s">
        <v>3059</v>
      </c>
      <c r="I44" s="3010" t="s">
        <v>3292</v>
      </c>
      <c r="J44" s="3009"/>
      <c r="K44" s="3008">
        <v>107.55</v>
      </c>
      <c r="L44" s="3008">
        <f t="shared" si="3"/>
        <v>6.9</v>
      </c>
      <c r="M44" s="3007">
        <v>210</v>
      </c>
      <c r="N44" s="2994">
        <f t="shared" si="4"/>
        <v>22585.5</v>
      </c>
      <c r="O44" s="3006">
        <v>55</v>
      </c>
      <c r="P44" s="2994">
        <f t="shared" si="5"/>
        <v>5915.25</v>
      </c>
      <c r="Q44" s="3005">
        <v>43456</v>
      </c>
      <c r="R44" s="3005">
        <v>44490</v>
      </c>
      <c r="S44" s="3004" t="s">
        <v>3607</v>
      </c>
    </row>
    <row r="45" spans="2:19" ht="21" customHeight="1">
      <c r="B45" s="2998">
        <v>40</v>
      </c>
      <c r="C45" s="3014" t="s">
        <v>3298</v>
      </c>
      <c r="D45" s="3013" t="s">
        <v>3282</v>
      </c>
      <c r="E45" s="3012" t="s">
        <v>3649</v>
      </c>
      <c r="F45" s="3011" t="s">
        <v>3278</v>
      </c>
      <c r="G45" s="3030" t="s">
        <v>3648</v>
      </c>
      <c r="H45" s="3010" t="s">
        <v>3059</v>
      </c>
      <c r="I45" s="3010" t="s">
        <v>3292</v>
      </c>
      <c r="J45" s="3009"/>
      <c r="K45" s="3008">
        <v>129.34</v>
      </c>
      <c r="L45" s="3008">
        <f t="shared" si="3"/>
        <v>6.9</v>
      </c>
      <c r="M45" s="3007">
        <v>210</v>
      </c>
      <c r="N45" s="2994">
        <f t="shared" si="4"/>
        <v>27161.4</v>
      </c>
      <c r="O45" s="3006">
        <v>55</v>
      </c>
      <c r="P45" s="2994">
        <f t="shared" si="5"/>
        <v>7113.7</v>
      </c>
      <c r="Q45" s="3005">
        <v>43789</v>
      </c>
      <c r="R45" s="3005">
        <v>44884</v>
      </c>
      <c r="S45" s="3004" t="s">
        <v>3607</v>
      </c>
    </row>
    <row r="46" spans="2:19" ht="21" customHeight="1">
      <c r="B46" s="2998">
        <v>41</v>
      </c>
      <c r="C46" s="3014" t="s">
        <v>3298</v>
      </c>
      <c r="D46" s="3013" t="s">
        <v>3282</v>
      </c>
      <c r="E46" s="3012" t="s">
        <v>3647</v>
      </c>
      <c r="F46" s="3011" t="s">
        <v>3278</v>
      </c>
      <c r="G46" s="3011" t="s">
        <v>3646</v>
      </c>
      <c r="H46" s="3010" t="s">
        <v>3059</v>
      </c>
      <c r="I46" s="3010" t="s">
        <v>3292</v>
      </c>
      <c r="J46" s="3009"/>
      <c r="K46" s="3008">
        <v>133.65</v>
      </c>
      <c r="L46" s="3008">
        <f t="shared" si="3"/>
        <v>6.9</v>
      </c>
      <c r="M46" s="3007">
        <v>210</v>
      </c>
      <c r="N46" s="2994">
        <f t="shared" si="4"/>
        <v>28066.5</v>
      </c>
      <c r="O46" s="3006">
        <v>55</v>
      </c>
      <c r="P46" s="2994">
        <f t="shared" si="5"/>
        <v>7350.75</v>
      </c>
      <c r="Q46" s="3005">
        <v>43456</v>
      </c>
      <c r="R46" s="3005">
        <v>44490</v>
      </c>
      <c r="S46" s="3004" t="s">
        <v>3607</v>
      </c>
    </row>
    <row r="47" spans="2:19" ht="21" customHeight="1">
      <c r="B47" s="2998">
        <v>42</v>
      </c>
      <c r="C47" s="3014" t="s">
        <v>3298</v>
      </c>
      <c r="D47" s="3013" t="s">
        <v>3282</v>
      </c>
      <c r="E47" s="3012" t="s">
        <v>3645</v>
      </c>
      <c r="F47" s="3011" t="s">
        <v>3278</v>
      </c>
      <c r="G47" s="3011" t="s">
        <v>3644</v>
      </c>
      <c r="H47" s="3010" t="s">
        <v>3059</v>
      </c>
      <c r="I47" s="3010" t="s">
        <v>3292</v>
      </c>
      <c r="J47" s="3009"/>
      <c r="K47" s="3008">
        <v>135.80000000000001</v>
      </c>
      <c r="L47" s="3008">
        <f t="shared" si="3"/>
        <v>7.2</v>
      </c>
      <c r="M47" s="3007">
        <v>220</v>
      </c>
      <c r="N47" s="2994">
        <f t="shared" si="4"/>
        <v>29876.000000000004</v>
      </c>
      <c r="O47" s="3006">
        <v>55</v>
      </c>
      <c r="P47" s="2994">
        <f t="shared" si="5"/>
        <v>7469.0000000000009</v>
      </c>
      <c r="Q47" s="3005">
        <v>43456</v>
      </c>
      <c r="R47" s="3005">
        <v>44490</v>
      </c>
      <c r="S47" s="3004" t="s">
        <v>3607</v>
      </c>
    </row>
    <row r="48" spans="2:19" ht="21" customHeight="1">
      <c r="B48" s="2998">
        <v>43</v>
      </c>
      <c r="C48" s="3014" t="s">
        <v>3298</v>
      </c>
      <c r="D48" s="3013" t="s">
        <v>3282</v>
      </c>
      <c r="E48" s="3012" t="s">
        <v>3643</v>
      </c>
      <c r="F48" s="3011" t="s">
        <v>3278</v>
      </c>
      <c r="G48" s="3011" t="s">
        <v>3642</v>
      </c>
      <c r="H48" s="3010" t="s">
        <v>3059</v>
      </c>
      <c r="I48" s="3010" t="s">
        <v>3292</v>
      </c>
      <c r="J48" s="3009"/>
      <c r="K48" s="3008">
        <v>122.28</v>
      </c>
      <c r="L48" s="3008">
        <f t="shared" si="3"/>
        <v>6.6</v>
      </c>
      <c r="M48" s="3007">
        <v>200</v>
      </c>
      <c r="N48" s="2994">
        <f t="shared" si="4"/>
        <v>24456</v>
      </c>
      <c r="O48" s="3006">
        <v>55</v>
      </c>
      <c r="P48" s="2994">
        <f t="shared" si="5"/>
        <v>6725.4</v>
      </c>
      <c r="Q48" s="3005">
        <v>43456</v>
      </c>
      <c r="R48" s="3005">
        <v>44490</v>
      </c>
      <c r="S48" s="3004" t="s">
        <v>3607</v>
      </c>
    </row>
    <row r="49" spans="2:19" ht="21" customHeight="1">
      <c r="B49" s="2998">
        <v>44</v>
      </c>
      <c r="C49" s="3014" t="s">
        <v>3298</v>
      </c>
      <c r="D49" s="3013" t="s">
        <v>3282</v>
      </c>
      <c r="E49" s="3012" t="s">
        <v>3641</v>
      </c>
      <c r="F49" s="3011" t="s">
        <v>3278</v>
      </c>
      <c r="G49" s="3011" t="s">
        <v>3640</v>
      </c>
      <c r="H49" s="3010" t="s">
        <v>3059</v>
      </c>
      <c r="I49" s="3010" t="s">
        <v>3292</v>
      </c>
      <c r="J49" s="3009"/>
      <c r="K49" s="3008">
        <v>126.85</v>
      </c>
      <c r="L49" s="3008">
        <f t="shared" si="3"/>
        <v>6.9</v>
      </c>
      <c r="M49" s="3007">
        <v>210</v>
      </c>
      <c r="N49" s="2994">
        <f t="shared" si="4"/>
        <v>26638.5</v>
      </c>
      <c r="O49" s="3006">
        <v>55</v>
      </c>
      <c r="P49" s="2994">
        <f t="shared" si="5"/>
        <v>6976.75</v>
      </c>
      <c r="Q49" s="3005">
        <v>43456</v>
      </c>
      <c r="R49" s="3005">
        <v>44490</v>
      </c>
      <c r="S49" s="3004" t="s">
        <v>3607</v>
      </c>
    </row>
    <row r="50" spans="2:19" ht="21" customHeight="1">
      <c r="B50" s="2998">
        <v>45</v>
      </c>
      <c r="C50" s="3014" t="s">
        <v>3298</v>
      </c>
      <c r="D50" s="3013" t="s">
        <v>3282</v>
      </c>
      <c r="E50" s="3012" t="s">
        <v>3639</v>
      </c>
      <c r="F50" s="3011" t="s">
        <v>3268</v>
      </c>
      <c r="G50" s="3011" t="s">
        <v>3638</v>
      </c>
      <c r="H50" s="3010" t="s">
        <v>3059</v>
      </c>
      <c r="I50" s="3010" t="s">
        <v>3292</v>
      </c>
      <c r="J50" s="3009"/>
      <c r="K50" s="3008">
        <v>91.19</v>
      </c>
      <c r="L50" s="3008">
        <f t="shared" si="3"/>
        <v>7.6</v>
      </c>
      <c r="M50" s="3007">
        <v>230</v>
      </c>
      <c r="N50" s="2994">
        <f t="shared" si="4"/>
        <v>20973.7</v>
      </c>
      <c r="O50" s="3006">
        <v>55</v>
      </c>
      <c r="P50" s="2994">
        <f t="shared" si="5"/>
        <v>5015.45</v>
      </c>
      <c r="Q50" s="3005">
        <v>43456</v>
      </c>
      <c r="R50" s="3005">
        <v>44490</v>
      </c>
      <c r="S50" s="3004" t="s">
        <v>3607</v>
      </c>
    </row>
    <row r="51" spans="2:19" ht="21" customHeight="1">
      <c r="B51" s="2998">
        <v>46</v>
      </c>
      <c r="C51" s="3014" t="s">
        <v>3298</v>
      </c>
      <c r="D51" s="3013" t="s">
        <v>3282</v>
      </c>
      <c r="E51" s="3012" t="s">
        <v>3637</v>
      </c>
      <c r="F51" s="3011" t="s">
        <v>3268</v>
      </c>
      <c r="G51" s="3011" t="s">
        <v>3636</v>
      </c>
      <c r="H51" s="3010" t="s">
        <v>3059</v>
      </c>
      <c r="I51" s="3010" t="s">
        <v>3292</v>
      </c>
      <c r="J51" s="3009"/>
      <c r="K51" s="3008">
        <v>57.06</v>
      </c>
      <c r="L51" s="3008">
        <f t="shared" si="3"/>
        <v>7.6</v>
      </c>
      <c r="M51" s="3007">
        <v>230</v>
      </c>
      <c r="N51" s="2994">
        <f t="shared" si="4"/>
        <v>13123.800000000001</v>
      </c>
      <c r="O51" s="3006">
        <v>55</v>
      </c>
      <c r="P51" s="2994">
        <f t="shared" si="5"/>
        <v>3138.3</v>
      </c>
      <c r="Q51" s="3005">
        <v>43456</v>
      </c>
      <c r="R51" s="3005">
        <v>44125</v>
      </c>
      <c r="S51" s="3004" t="s">
        <v>3607</v>
      </c>
    </row>
    <row r="52" spans="2:19" ht="21" customHeight="1">
      <c r="B52" s="2998">
        <v>47</v>
      </c>
      <c r="C52" s="3014" t="s">
        <v>3298</v>
      </c>
      <c r="D52" s="3013" t="s">
        <v>3282</v>
      </c>
      <c r="E52" s="3012" t="s">
        <v>3635</v>
      </c>
      <c r="F52" s="3011" t="s">
        <v>3268</v>
      </c>
      <c r="G52" s="3011" t="s">
        <v>3634</v>
      </c>
      <c r="H52" s="3010" t="s">
        <v>3059</v>
      </c>
      <c r="I52" s="3010" t="s">
        <v>3292</v>
      </c>
      <c r="J52" s="3009"/>
      <c r="K52" s="3008">
        <v>99.93</v>
      </c>
      <c r="L52" s="3008">
        <f t="shared" si="3"/>
        <v>7.1</v>
      </c>
      <c r="M52" s="3007">
        <v>215</v>
      </c>
      <c r="N52" s="2994">
        <f t="shared" si="4"/>
        <v>21484.95</v>
      </c>
      <c r="O52" s="3006">
        <v>55</v>
      </c>
      <c r="P52" s="2994">
        <f t="shared" si="5"/>
        <v>5496.1500000000005</v>
      </c>
      <c r="Q52" s="3005">
        <v>43456</v>
      </c>
      <c r="R52" s="3005">
        <v>44490</v>
      </c>
      <c r="S52" s="3004" t="s">
        <v>3607</v>
      </c>
    </row>
    <row r="53" spans="2:19" ht="21" customHeight="1">
      <c r="B53" s="2998">
        <v>48</v>
      </c>
      <c r="C53" s="3014" t="s">
        <v>3298</v>
      </c>
      <c r="D53" s="3013" t="s">
        <v>3282</v>
      </c>
      <c r="E53" s="3012" t="s">
        <v>3633</v>
      </c>
      <c r="F53" s="3011" t="s">
        <v>3268</v>
      </c>
      <c r="G53" s="3011" t="s">
        <v>3632</v>
      </c>
      <c r="H53" s="3010" t="s">
        <v>3059</v>
      </c>
      <c r="I53" s="3010" t="s">
        <v>3292</v>
      </c>
      <c r="J53" s="3009"/>
      <c r="K53" s="3008">
        <v>88.73</v>
      </c>
      <c r="L53" s="3008">
        <f t="shared" si="3"/>
        <v>7.7</v>
      </c>
      <c r="M53" s="3007">
        <v>235</v>
      </c>
      <c r="N53" s="2994">
        <f t="shared" si="4"/>
        <v>20851.55</v>
      </c>
      <c r="O53" s="3006">
        <v>55</v>
      </c>
      <c r="P53" s="2994">
        <f t="shared" si="5"/>
        <v>4880.1500000000005</v>
      </c>
      <c r="Q53" s="3005">
        <v>43456</v>
      </c>
      <c r="R53" s="3005">
        <v>44490</v>
      </c>
      <c r="S53" s="3004" t="s">
        <v>3607</v>
      </c>
    </row>
    <row r="54" spans="2:19" ht="21" customHeight="1">
      <c r="B54" s="2998">
        <v>49</v>
      </c>
      <c r="C54" s="3014" t="s">
        <v>3533</v>
      </c>
      <c r="D54" s="3013" t="s">
        <v>3282</v>
      </c>
      <c r="E54" s="3012" t="s">
        <v>3631</v>
      </c>
      <c r="F54" s="3014" t="s">
        <v>3630</v>
      </c>
      <c r="G54" s="3011" t="s">
        <v>3629</v>
      </c>
      <c r="H54" s="3010" t="s">
        <v>3059</v>
      </c>
      <c r="I54" s="3010" t="s">
        <v>3292</v>
      </c>
      <c r="J54" s="3009"/>
      <c r="K54" s="3008">
        <v>936.76</v>
      </c>
      <c r="L54" s="3008">
        <f t="shared" si="3"/>
        <v>2</v>
      </c>
      <c r="M54" s="3007">
        <v>60</v>
      </c>
      <c r="N54" s="2994">
        <f t="shared" si="4"/>
        <v>56205.599999999999</v>
      </c>
      <c r="O54" s="3006">
        <v>18</v>
      </c>
      <c r="P54" s="2994">
        <f t="shared" si="5"/>
        <v>16861.68</v>
      </c>
      <c r="Q54" s="3005">
        <v>43456</v>
      </c>
      <c r="R54" s="3005">
        <v>45647</v>
      </c>
      <c r="S54" s="3004" t="s">
        <v>3628</v>
      </c>
    </row>
    <row r="55" spans="2:19" ht="21" customHeight="1">
      <c r="B55" s="2998">
        <v>50</v>
      </c>
      <c r="C55" s="3014" t="s">
        <v>3298</v>
      </c>
      <c r="D55" s="3013" t="s">
        <v>3282</v>
      </c>
      <c r="E55" s="3012" t="s">
        <v>3627</v>
      </c>
      <c r="F55" s="3014" t="s">
        <v>3269</v>
      </c>
      <c r="G55" s="3011" t="s">
        <v>3626</v>
      </c>
      <c r="H55" s="3010" t="s">
        <v>3071</v>
      </c>
      <c r="I55" s="3010" t="s">
        <v>3291</v>
      </c>
      <c r="J55" s="3009">
        <v>0.06</v>
      </c>
      <c r="K55" s="3008">
        <v>267.85000000000002</v>
      </c>
      <c r="L55" s="3008">
        <v>4.0999999999999996</v>
      </c>
      <c r="M55" s="3007">
        <v>126.18</v>
      </c>
      <c r="N55" s="2994">
        <v>33797.313000000002</v>
      </c>
      <c r="O55" s="3006">
        <v>25</v>
      </c>
      <c r="P55" s="2994">
        <v>6696.2500000000009</v>
      </c>
      <c r="Q55" s="3005">
        <v>43456</v>
      </c>
      <c r="R55" s="3005">
        <v>47838</v>
      </c>
      <c r="S55" s="3004"/>
    </row>
    <row r="56" spans="2:19" s="3016" customFormat="1" ht="21" customHeight="1">
      <c r="B56" s="3029"/>
      <c r="C56" s="3028"/>
      <c r="D56" s="3027"/>
      <c r="E56" s="3026"/>
      <c r="F56" s="3028"/>
      <c r="G56" s="3025"/>
      <c r="H56" s="3024"/>
      <c r="I56" s="3024"/>
      <c r="J56" s="3023"/>
      <c r="K56" s="3022"/>
      <c r="L56" s="3022">
        <f>AVERAGE(L6:L55)</f>
        <v>6.200000000000002</v>
      </c>
      <c r="M56" s="3021"/>
      <c r="N56" s="3019">
        <f>SUM(N6:N55)*12</f>
        <v>14694843.561600003</v>
      </c>
      <c r="O56" s="3020"/>
      <c r="P56" s="3019">
        <f>SUM(P6:P55)*12</f>
        <v>4301850.96</v>
      </c>
      <c r="Q56" s="3018"/>
      <c r="R56" s="3018"/>
      <c r="S56" s="3017"/>
    </row>
    <row r="57" spans="2:19" ht="21" customHeight="1">
      <c r="B57" s="2998">
        <v>51</v>
      </c>
      <c r="C57" s="3014" t="s">
        <v>3298</v>
      </c>
      <c r="D57" s="3013" t="s">
        <v>3280</v>
      </c>
      <c r="E57" s="3012" t="s">
        <v>3625</v>
      </c>
      <c r="F57" s="3011" t="s">
        <v>3269</v>
      </c>
      <c r="G57" s="3011" t="s">
        <v>3624</v>
      </c>
      <c r="H57" s="3010" t="s">
        <v>3071</v>
      </c>
      <c r="I57" s="3010" t="s">
        <v>3290</v>
      </c>
      <c r="J57" s="3009">
        <v>1.7500000000000002E-2</v>
      </c>
      <c r="K57" s="3008">
        <v>1031.43</v>
      </c>
      <c r="L57" s="3008">
        <f t="shared" ref="L57:L101" si="6">ROUND(N57*12/K57/365,1)</f>
        <v>2</v>
      </c>
      <c r="M57" s="3007">
        <v>59.58</v>
      </c>
      <c r="N57" s="2994">
        <f t="shared" ref="N57:N101" si="7">IFERROR(M57*K57,"")</f>
        <v>61452.599399999999</v>
      </c>
      <c r="O57" s="3006">
        <v>27.27</v>
      </c>
      <c r="P57" s="2994">
        <f t="shared" ref="P57:P101" si="8">IFERROR(K57*O57,"-")</f>
        <v>28127.096100000002</v>
      </c>
      <c r="Q57" s="3005">
        <v>43456</v>
      </c>
      <c r="R57" s="3005">
        <v>47108</v>
      </c>
      <c r="S57" s="3004"/>
    </row>
    <row r="58" spans="2:19" ht="21" customHeight="1">
      <c r="B58" s="2998">
        <v>52</v>
      </c>
      <c r="C58" s="3014" t="s">
        <v>3533</v>
      </c>
      <c r="D58" s="3013" t="s">
        <v>3280</v>
      </c>
      <c r="E58" s="3012" t="s">
        <v>3623</v>
      </c>
      <c r="F58" s="3014" t="s">
        <v>3622</v>
      </c>
      <c r="G58" s="3011" t="s">
        <v>3621</v>
      </c>
      <c r="H58" s="3010" t="s">
        <v>3059</v>
      </c>
      <c r="I58" s="3010" t="s">
        <v>3292</v>
      </c>
      <c r="J58" s="3009"/>
      <c r="K58" s="3008">
        <v>1536.62</v>
      </c>
      <c r="L58" s="3008">
        <f t="shared" si="6"/>
        <v>1.5</v>
      </c>
      <c r="M58" s="3007">
        <v>45</v>
      </c>
      <c r="N58" s="2994">
        <f t="shared" si="7"/>
        <v>69147.899999999994</v>
      </c>
      <c r="O58" s="3006">
        <v>15</v>
      </c>
      <c r="P58" s="2994">
        <f t="shared" si="8"/>
        <v>23049.3</v>
      </c>
      <c r="Q58" s="3005">
        <v>43456</v>
      </c>
      <c r="R58" s="3005">
        <v>47108</v>
      </c>
      <c r="S58" s="3004" t="s">
        <v>3620</v>
      </c>
    </row>
    <row r="59" spans="2:19" ht="21" customHeight="1">
      <c r="B59" s="2998">
        <v>53</v>
      </c>
      <c r="C59" s="3014" t="s">
        <v>3298</v>
      </c>
      <c r="D59" s="3013" t="s">
        <v>3280</v>
      </c>
      <c r="E59" s="3012" t="s">
        <v>3619</v>
      </c>
      <c r="F59" s="3011" t="s">
        <v>3268</v>
      </c>
      <c r="G59" s="3011" t="s">
        <v>3618</v>
      </c>
      <c r="H59" s="3010" t="s">
        <v>3059</v>
      </c>
      <c r="I59" s="3010" t="s">
        <v>3292</v>
      </c>
      <c r="J59" s="3009"/>
      <c r="K59" s="3008">
        <v>79.55</v>
      </c>
      <c r="L59" s="3008">
        <f t="shared" si="6"/>
        <v>6.6</v>
      </c>
      <c r="M59" s="3007">
        <v>200</v>
      </c>
      <c r="N59" s="2994">
        <f t="shared" si="7"/>
        <v>15910</v>
      </c>
      <c r="O59" s="3006">
        <v>55</v>
      </c>
      <c r="P59" s="2994">
        <f t="shared" si="8"/>
        <v>4375.25</v>
      </c>
      <c r="Q59" s="3005">
        <v>43456</v>
      </c>
      <c r="R59" s="3005">
        <v>44490</v>
      </c>
      <c r="S59" s="3004" t="s">
        <v>3607</v>
      </c>
    </row>
    <row r="60" spans="2:19" ht="21" customHeight="1">
      <c r="B60" s="2998">
        <v>54</v>
      </c>
      <c r="C60" s="3014" t="s">
        <v>3298</v>
      </c>
      <c r="D60" s="3013" t="s">
        <v>3280</v>
      </c>
      <c r="E60" s="3012" t="s">
        <v>3617</v>
      </c>
      <c r="F60" s="3011" t="s">
        <v>3267</v>
      </c>
      <c r="G60" s="3011" t="s">
        <v>3616</v>
      </c>
      <c r="H60" s="3010" t="s">
        <v>3059</v>
      </c>
      <c r="I60" s="3010" t="s">
        <v>3292</v>
      </c>
      <c r="J60" s="3009"/>
      <c r="K60" s="3008">
        <v>329.33</v>
      </c>
      <c r="L60" s="3008">
        <f t="shared" si="6"/>
        <v>2.8</v>
      </c>
      <c r="M60" s="3007">
        <v>85</v>
      </c>
      <c r="N60" s="2994">
        <f t="shared" si="7"/>
        <v>27993.05</v>
      </c>
      <c r="O60" s="3006">
        <v>50</v>
      </c>
      <c r="P60" s="2994">
        <f t="shared" si="8"/>
        <v>16466.5</v>
      </c>
      <c r="Q60" s="3005">
        <v>43456</v>
      </c>
      <c r="R60" s="3005">
        <v>44490</v>
      </c>
      <c r="S60" s="3004" t="s">
        <v>3607</v>
      </c>
    </row>
    <row r="61" spans="2:19" ht="21" customHeight="1">
      <c r="B61" s="2998">
        <v>55</v>
      </c>
      <c r="C61" s="3014" t="s">
        <v>3298</v>
      </c>
      <c r="D61" s="3013" t="s">
        <v>3280</v>
      </c>
      <c r="E61" s="3012" t="s">
        <v>3615</v>
      </c>
      <c r="F61" s="3011" t="s">
        <v>3267</v>
      </c>
      <c r="G61" s="3011" t="s">
        <v>3614</v>
      </c>
      <c r="H61" s="3010" t="s">
        <v>3059</v>
      </c>
      <c r="I61" s="3010" t="s">
        <v>3292</v>
      </c>
      <c r="J61" s="3009"/>
      <c r="K61" s="3008">
        <v>179.4</v>
      </c>
      <c r="L61" s="3008">
        <f t="shared" si="6"/>
        <v>4.5999999999999996</v>
      </c>
      <c r="M61" s="3007">
        <v>140</v>
      </c>
      <c r="N61" s="2994">
        <f t="shared" si="7"/>
        <v>25116</v>
      </c>
      <c r="O61" s="3006">
        <v>55</v>
      </c>
      <c r="P61" s="2994">
        <f t="shared" si="8"/>
        <v>9867</v>
      </c>
      <c r="Q61" s="3005">
        <v>43456</v>
      </c>
      <c r="R61" s="3005">
        <v>44490</v>
      </c>
      <c r="S61" s="3004" t="s">
        <v>3607</v>
      </c>
    </row>
    <row r="62" spans="2:19" ht="21" customHeight="1">
      <c r="B62" s="2998">
        <v>56</v>
      </c>
      <c r="C62" s="3014" t="s">
        <v>3298</v>
      </c>
      <c r="D62" s="3013" t="s">
        <v>3280</v>
      </c>
      <c r="E62" s="3012" t="s">
        <v>3613</v>
      </c>
      <c r="F62" s="3011" t="s">
        <v>3267</v>
      </c>
      <c r="G62" s="3011" t="s">
        <v>3612</v>
      </c>
      <c r="H62" s="3010" t="s">
        <v>3059</v>
      </c>
      <c r="I62" s="3010" t="s">
        <v>3292</v>
      </c>
      <c r="J62" s="3009"/>
      <c r="K62" s="3008">
        <v>189.59</v>
      </c>
      <c r="L62" s="3008">
        <f t="shared" si="6"/>
        <v>3.3</v>
      </c>
      <c r="M62" s="3007">
        <v>100</v>
      </c>
      <c r="N62" s="2994">
        <f t="shared" si="7"/>
        <v>18959</v>
      </c>
      <c r="O62" s="3006">
        <v>55</v>
      </c>
      <c r="P62" s="2994">
        <f t="shared" si="8"/>
        <v>10427.450000000001</v>
      </c>
      <c r="Q62" s="3005">
        <v>43456</v>
      </c>
      <c r="R62" s="3005">
        <v>44490</v>
      </c>
      <c r="S62" s="3004" t="s">
        <v>3607</v>
      </c>
    </row>
    <row r="63" spans="2:19" ht="21" customHeight="1">
      <c r="B63" s="2998">
        <v>57</v>
      </c>
      <c r="C63" s="3014" t="s">
        <v>3298</v>
      </c>
      <c r="D63" s="3013" t="s">
        <v>3280</v>
      </c>
      <c r="E63" s="3012" t="s">
        <v>3611</v>
      </c>
      <c r="F63" s="3011" t="s">
        <v>3268</v>
      </c>
      <c r="G63" s="3011" t="s">
        <v>3610</v>
      </c>
      <c r="H63" s="3010" t="s">
        <v>3059</v>
      </c>
      <c r="I63" s="3010" t="s">
        <v>3292</v>
      </c>
      <c r="J63" s="3009"/>
      <c r="K63" s="3008">
        <v>81.25</v>
      </c>
      <c r="L63" s="3008">
        <f t="shared" si="6"/>
        <v>7.1</v>
      </c>
      <c r="M63" s="3007">
        <v>215</v>
      </c>
      <c r="N63" s="2994">
        <f t="shared" si="7"/>
        <v>17468.75</v>
      </c>
      <c r="O63" s="3006">
        <v>55</v>
      </c>
      <c r="P63" s="2994">
        <f t="shared" si="8"/>
        <v>4468.75</v>
      </c>
      <c r="Q63" s="3005">
        <v>43456</v>
      </c>
      <c r="R63" s="3005">
        <v>44490</v>
      </c>
      <c r="S63" s="3004" t="s">
        <v>3607</v>
      </c>
    </row>
    <row r="64" spans="2:19" ht="21" customHeight="1">
      <c r="B64" s="2998">
        <v>58</v>
      </c>
      <c r="C64" s="3014" t="s">
        <v>3298</v>
      </c>
      <c r="D64" s="3013" t="s">
        <v>3280</v>
      </c>
      <c r="E64" s="3012" t="s">
        <v>3609</v>
      </c>
      <c r="F64" s="3011" t="s">
        <v>3278</v>
      </c>
      <c r="G64" s="3011" t="s">
        <v>3608</v>
      </c>
      <c r="H64" s="3010" t="s">
        <v>3059</v>
      </c>
      <c r="I64" s="3010" t="s">
        <v>3292</v>
      </c>
      <c r="J64" s="3009"/>
      <c r="K64" s="3008">
        <v>101.47</v>
      </c>
      <c r="L64" s="3008">
        <f t="shared" si="6"/>
        <v>6.9</v>
      </c>
      <c r="M64" s="3007">
        <v>210</v>
      </c>
      <c r="N64" s="2994">
        <f t="shared" si="7"/>
        <v>21308.7</v>
      </c>
      <c r="O64" s="3006">
        <v>55</v>
      </c>
      <c r="P64" s="2994">
        <f t="shared" si="8"/>
        <v>5580.85</v>
      </c>
      <c r="Q64" s="3005">
        <v>43456</v>
      </c>
      <c r="R64" s="3005">
        <v>44490</v>
      </c>
      <c r="S64" s="3004" t="s">
        <v>3607</v>
      </c>
    </row>
    <row r="65" spans="2:19" ht="21" customHeight="1">
      <c r="B65" s="2998">
        <v>59</v>
      </c>
      <c r="C65" s="3014" t="s">
        <v>3298</v>
      </c>
      <c r="D65" s="3013" t="s">
        <v>3280</v>
      </c>
      <c r="E65" s="3012" t="s">
        <v>3606</v>
      </c>
      <c r="F65" s="3011" t="s">
        <v>3267</v>
      </c>
      <c r="G65" s="3030" t="s">
        <v>3605</v>
      </c>
      <c r="H65" s="3010" t="s">
        <v>3059</v>
      </c>
      <c r="I65" s="3010" t="s">
        <v>3292</v>
      </c>
      <c r="J65" s="3009"/>
      <c r="K65" s="3008">
        <v>79.48</v>
      </c>
      <c r="L65" s="3008">
        <f t="shared" si="6"/>
        <v>7.6</v>
      </c>
      <c r="M65" s="3007">
        <v>230</v>
      </c>
      <c r="N65" s="2994">
        <f t="shared" si="7"/>
        <v>18280.400000000001</v>
      </c>
      <c r="O65" s="3006">
        <v>55</v>
      </c>
      <c r="P65" s="2994">
        <f t="shared" si="8"/>
        <v>4371.4000000000005</v>
      </c>
      <c r="Q65" s="3005">
        <v>43820</v>
      </c>
      <c r="R65" s="3005">
        <v>44915</v>
      </c>
      <c r="S65" s="3004" t="s">
        <v>3445</v>
      </c>
    </row>
    <row r="66" spans="2:19" ht="21" customHeight="1">
      <c r="B66" s="2998">
        <v>60</v>
      </c>
      <c r="C66" s="3014" t="s">
        <v>3298</v>
      </c>
      <c r="D66" s="3013" t="s">
        <v>3280</v>
      </c>
      <c r="E66" s="3012" t="s">
        <v>3604</v>
      </c>
      <c r="F66" s="3011" t="s">
        <v>3278</v>
      </c>
      <c r="G66" s="3011" t="s">
        <v>3603</v>
      </c>
      <c r="H66" s="3010" t="s">
        <v>3059</v>
      </c>
      <c r="I66" s="3010" t="s">
        <v>3292</v>
      </c>
      <c r="J66" s="3009"/>
      <c r="K66" s="3008">
        <v>180.39</v>
      </c>
      <c r="L66" s="3008">
        <f t="shared" si="6"/>
        <v>5.0999999999999996</v>
      </c>
      <c r="M66" s="3007">
        <v>155</v>
      </c>
      <c r="N66" s="2994">
        <f t="shared" si="7"/>
        <v>27960.449999999997</v>
      </c>
      <c r="O66" s="3006">
        <v>55</v>
      </c>
      <c r="P66" s="2994">
        <f t="shared" si="8"/>
        <v>9921.4499999999989</v>
      </c>
      <c r="Q66" s="3005">
        <v>43456</v>
      </c>
      <c r="R66" s="3005">
        <v>44490</v>
      </c>
      <c r="S66" s="3004" t="s">
        <v>3445</v>
      </c>
    </row>
    <row r="67" spans="2:19" ht="21" customHeight="1">
      <c r="B67" s="2998">
        <v>61</v>
      </c>
      <c r="C67" s="3014" t="s">
        <v>3298</v>
      </c>
      <c r="D67" s="3013" t="s">
        <v>3280</v>
      </c>
      <c r="E67" s="3012" t="s">
        <v>3602</v>
      </c>
      <c r="F67" s="3011" t="s">
        <v>3268</v>
      </c>
      <c r="G67" s="3011" t="s">
        <v>3601</v>
      </c>
      <c r="H67" s="3010" t="s">
        <v>3059</v>
      </c>
      <c r="I67" s="3010" t="s">
        <v>3292</v>
      </c>
      <c r="J67" s="3009"/>
      <c r="K67" s="3008">
        <v>173.73</v>
      </c>
      <c r="L67" s="3008">
        <f t="shared" si="6"/>
        <v>5.0999999999999996</v>
      </c>
      <c r="M67" s="3007">
        <v>155</v>
      </c>
      <c r="N67" s="2994">
        <f t="shared" si="7"/>
        <v>26928.149999999998</v>
      </c>
      <c r="O67" s="3006">
        <v>55</v>
      </c>
      <c r="P67" s="2994">
        <f t="shared" si="8"/>
        <v>9555.15</v>
      </c>
      <c r="Q67" s="3005">
        <v>43456</v>
      </c>
      <c r="R67" s="3005">
        <v>44490</v>
      </c>
      <c r="S67" s="3004" t="s">
        <v>3445</v>
      </c>
    </row>
    <row r="68" spans="2:19" ht="21" customHeight="1">
      <c r="B68" s="2998">
        <v>62</v>
      </c>
      <c r="C68" s="3014" t="s">
        <v>3298</v>
      </c>
      <c r="D68" s="3013" t="s">
        <v>3280</v>
      </c>
      <c r="E68" s="3012" t="s">
        <v>3600</v>
      </c>
      <c r="F68" s="3011" t="s">
        <v>3278</v>
      </c>
      <c r="G68" s="3030" t="s">
        <v>3599</v>
      </c>
      <c r="H68" s="3010" t="s">
        <v>3059</v>
      </c>
      <c r="I68" s="3010" t="s">
        <v>3292</v>
      </c>
      <c r="J68" s="3009"/>
      <c r="K68" s="3008">
        <v>80.959999999999994</v>
      </c>
      <c r="L68" s="3008">
        <f t="shared" si="6"/>
        <v>6.6</v>
      </c>
      <c r="M68" s="3007">
        <v>200</v>
      </c>
      <c r="N68" s="2994">
        <f t="shared" si="7"/>
        <v>16191.999999999998</v>
      </c>
      <c r="O68" s="3006">
        <v>55</v>
      </c>
      <c r="P68" s="2994">
        <f t="shared" si="8"/>
        <v>4452.7999999999993</v>
      </c>
      <c r="Q68" s="3005">
        <v>43800</v>
      </c>
      <c r="R68" s="3005">
        <v>44895</v>
      </c>
      <c r="S68" s="3004" t="s">
        <v>3445</v>
      </c>
    </row>
    <row r="69" spans="2:19" ht="21" customHeight="1">
      <c r="B69" s="2998">
        <v>63</v>
      </c>
      <c r="C69" s="3014" t="s">
        <v>3298</v>
      </c>
      <c r="D69" s="3013" t="s">
        <v>3280</v>
      </c>
      <c r="E69" s="3012" t="s">
        <v>3598</v>
      </c>
      <c r="F69" s="3011" t="s">
        <v>3268</v>
      </c>
      <c r="G69" s="3011" t="s">
        <v>3597</v>
      </c>
      <c r="H69" s="3010" t="s">
        <v>3059</v>
      </c>
      <c r="I69" s="3010" t="s">
        <v>3292</v>
      </c>
      <c r="J69" s="3009"/>
      <c r="K69" s="3008">
        <v>31.33</v>
      </c>
      <c r="L69" s="3008">
        <f t="shared" si="6"/>
        <v>8.5</v>
      </c>
      <c r="M69" s="3007">
        <v>260</v>
      </c>
      <c r="N69" s="2994">
        <f t="shared" si="7"/>
        <v>8145.7999999999993</v>
      </c>
      <c r="O69" s="3006">
        <v>55</v>
      </c>
      <c r="P69" s="2994">
        <f t="shared" si="8"/>
        <v>1723.1499999999999</v>
      </c>
      <c r="Q69" s="3005">
        <v>43456</v>
      </c>
      <c r="R69" s="3005">
        <v>44125</v>
      </c>
      <c r="S69" s="3004" t="s">
        <v>3445</v>
      </c>
    </row>
    <row r="70" spans="2:19" ht="21" customHeight="1">
      <c r="B70" s="2998">
        <v>64</v>
      </c>
      <c r="C70" s="3014" t="s">
        <v>3298</v>
      </c>
      <c r="D70" s="3013" t="s">
        <v>3280</v>
      </c>
      <c r="E70" s="3012" t="s">
        <v>3596</v>
      </c>
      <c r="F70" s="3011" t="s">
        <v>3268</v>
      </c>
      <c r="G70" s="3011" t="s">
        <v>3595</v>
      </c>
      <c r="H70" s="3010" t="s">
        <v>3059</v>
      </c>
      <c r="I70" s="3010" t="s">
        <v>3292</v>
      </c>
      <c r="J70" s="3009"/>
      <c r="K70" s="3008">
        <v>218.05</v>
      </c>
      <c r="L70" s="3008">
        <f t="shared" si="6"/>
        <v>4.9000000000000004</v>
      </c>
      <c r="M70" s="3007">
        <v>150</v>
      </c>
      <c r="N70" s="2994">
        <f t="shared" si="7"/>
        <v>32707.5</v>
      </c>
      <c r="O70" s="3006">
        <v>55</v>
      </c>
      <c r="P70" s="2994">
        <f t="shared" si="8"/>
        <v>11992.75</v>
      </c>
      <c r="Q70" s="3005">
        <v>43456</v>
      </c>
      <c r="R70" s="3005">
        <v>44490</v>
      </c>
      <c r="S70" s="3004" t="s">
        <v>3445</v>
      </c>
    </row>
    <row r="71" spans="2:19" ht="21" customHeight="1">
      <c r="B71" s="2998">
        <v>65</v>
      </c>
      <c r="C71" s="3014" t="s">
        <v>3298</v>
      </c>
      <c r="D71" s="3013" t="s">
        <v>3280</v>
      </c>
      <c r="E71" s="3012" t="s">
        <v>3594</v>
      </c>
      <c r="F71" s="3011" t="s">
        <v>3268</v>
      </c>
      <c r="G71" s="3011" t="s">
        <v>3593</v>
      </c>
      <c r="H71" s="3010" t="s">
        <v>3059</v>
      </c>
      <c r="I71" s="3010" t="s">
        <v>3292</v>
      </c>
      <c r="J71" s="3009"/>
      <c r="K71" s="3008">
        <v>162.74</v>
      </c>
      <c r="L71" s="3008">
        <f t="shared" si="6"/>
        <v>5.8</v>
      </c>
      <c r="M71" s="3007">
        <v>175</v>
      </c>
      <c r="N71" s="2994">
        <f t="shared" si="7"/>
        <v>28479.5</v>
      </c>
      <c r="O71" s="3006">
        <v>55</v>
      </c>
      <c r="P71" s="2994">
        <f t="shared" si="8"/>
        <v>8950.7000000000007</v>
      </c>
      <c r="Q71" s="3005">
        <v>43456</v>
      </c>
      <c r="R71" s="3005">
        <v>44490</v>
      </c>
      <c r="S71" s="3004" t="s">
        <v>3445</v>
      </c>
    </row>
    <row r="72" spans="2:19" ht="21" customHeight="1">
      <c r="B72" s="2998">
        <v>66</v>
      </c>
      <c r="C72" s="3014" t="s">
        <v>3298</v>
      </c>
      <c r="D72" s="3013" t="s">
        <v>3280</v>
      </c>
      <c r="E72" s="3012" t="s">
        <v>3592</v>
      </c>
      <c r="F72" s="3011" t="s">
        <v>3268</v>
      </c>
      <c r="G72" s="3011" t="s">
        <v>3591</v>
      </c>
      <c r="H72" s="3010" t="s">
        <v>3059</v>
      </c>
      <c r="I72" s="3010" t="s">
        <v>3292</v>
      </c>
      <c r="J72" s="3009"/>
      <c r="K72" s="3008">
        <v>66.790000000000006</v>
      </c>
      <c r="L72" s="3008">
        <f t="shared" si="6"/>
        <v>7.1</v>
      </c>
      <c r="M72" s="3007">
        <v>215</v>
      </c>
      <c r="N72" s="2994">
        <f t="shared" si="7"/>
        <v>14359.850000000002</v>
      </c>
      <c r="O72" s="3006">
        <v>55</v>
      </c>
      <c r="P72" s="2994">
        <f t="shared" si="8"/>
        <v>3673.4500000000003</v>
      </c>
      <c r="Q72" s="3005">
        <v>43456</v>
      </c>
      <c r="R72" s="3005">
        <v>44490</v>
      </c>
      <c r="S72" s="3004" t="s">
        <v>3445</v>
      </c>
    </row>
    <row r="73" spans="2:19" ht="21" customHeight="1">
      <c r="B73" s="2998">
        <v>67</v>
      </c>
      <c r="C73" s="3014" t="s">
        <v>3298</v>
      </c>
      <c r="D73" s="3013" t="s">
        <v>3280</v>
      </c>
      <c r="E73" s="3012" t="s">
        <v>3590</v>
      </c>
      <c r="F73" s="3011" t="s">
        <v>3278</v>
      </c>
      <c r="G73" s="3011" t="s">
        <v>3589</v>
      </c>
      <c r="H73" s="3010" t="s">
        <v>3059</v>
      </c>
      <c r="I73" s="3010" t="s">
        <v>3292</v>
      </c>
      <c r="J73" s="3009"/>
      <c r="K73" s="3008">
        <v>87.7</v>
      </c>
      <c r="L73" s="3008">
        <f t="shared" si="6"/>
        <v>6.9</v>
      </c>
      <c r="M73" s="3007">
        <v>210</v>
      </c>
      <c r="N73" s="2994">
        <f t="shared" si="7"/>
        <v>18417</v>
      </c>
      <c r="O73" s="3006">
        <v>55</v>
      </c>
      <c r="P73" s="2994">
        <f t="shared" si="8"/>
        <v>4823.5</v>
      </c>
      <c r="Q73" s="3005">
        <v>43456</v>
      </c>
      <c r="R73" s="3005">
        <v>44490</v>
      </c>
      <c r="S73" s="3004" t="s">
        <v>3445</v>
      </c>
    </row>
    <row r="74" spans="2:19" ht="21" customHeight="1">
      <c r="B74" s="2998">
        <v>68</v>
      </c>
      <c r="C74" s="3014" t="s">
        <v>3298</v>
      </c>
      <c r="D74" s="3013" t="s">
        <v>3280</v>
      </c>
      <c r="E74" s="3012" t="s">
        <v>3588</v>
      </c>
      <c r="F74" s="3011" t="s">
        <v>3278</v>
      </c>
      <c r="G74" s="3011" t="s">
        <v>3587</v>
      </c>
      <c r="H74" s="3010" t="s">
        <v>3059</v>
      </c>
      <c r="I74" s="3010" t="s">
        <v>3292</v>
      </c>
      <c r="J74" s="3009"/>
      <c r="K74" s="3008">
        <v>110.55</v>
      </c>
      <c r="L74" s="3008">
        <f t="shared" si="6"/>
        <v>6.2</v>
      </c>
      <c r="M74" s="3007">
        <v>190</v>
      </c>
      <c r="N74" s="2994">
        <f t="shared" si="7"/>
        <v>21004.5</v>
      </c>
      <c r="O74" s="3006">
        <v>55</v>
      </c>
      <c r="P74" s="2994">
        <f t="shared" si="8"/>
        <v>6080.25</v>
      </c>
      <c r="Q74" s="3005">
        <v>43456</v>
      </c>
      <c r="R74" s="3005">
        <v>44490</v>
      </c>
      <c r="S74" s="3004" t="s">
        <v>3445</v>
      </c>
    </row>
    <row r="75" spans="2:19" ht="21" customHeight="1">
      <c r="B75" s="2998">
        <v>69</v>
      </c>
      <c r="C75" s="3014" t="s">
        <v>3298</v>
      </c>
      <c r="D75" s="3013" t="s">
        <v>3280</v>
      </c>
      <c r="E75" s="3012" t="s">
        <v>3586</v>
      </c>
      <c r="F75" s="3011" t="s">
        <v>3278</v>
      </c>
      <c r="G75" s="3030" t="s">
        <v>3585</v>
      </c>
      <c r="H75" s="3010" t="s">
        <v>3059</v>
      </c>
      <c r="I75" s="3010" t="s">
        <v>3292</v>
      </c>
      <c r="J75" s="3009"/>
      <c r="K75" s="3008">
        <v>87.38</v>
      </c>
      <c r="L75" s="3008">
        <f t="shared" si="6"/>
        <v>7.4</v>
      </c>
      <c r="M75" s="3007">
        <v>225</v>
      </c>
      <c r="N75" s="2994">
        <f t="shared" si="7"/>
        <v>19660.5</v>
      </c>
      <c r="O75" s="3006">
        <v>55</v>
      </c>
      <c r="P75" s="2994">
        <f t="shared" si="8"/>
        <v>4805.8999999999996</v>
      </c>
      <c r="Q75" s="3005">
        <v>43809</v>
      </c>
      <c r="R75" s="3005">
        <v>44904</v>
      </c>
      <c r="S75" s="3004" t="s">
        <v>3445</v>
      </c>
    </row>
    <row r="76" spans="2:19" ht="21" customHeight="1">
      <c r="B76" s="2998">
        <v>70</v>
      </c>
      <c r="C76" s="3014" t="s">
        <v>3298</v>
      </c>
      <c r="D76" s="3013" t="s">
        <v>3280</v>
      </c>
      <c r="E76" s="3012" t="s">
        <v>3584</v>
      </c>
      <c r="F76" s="3011" t="s">
        <v>3268</v>
      </c>
      <c r="G76" s="3011" t="s">
        <v>3583</v>
      </c>
      <c r="H76" s="3010" t="s">
        <v>3059</v>
      </c>
      <c r="I76" s="3010" t="s">
        <v>3292</v>
      </c>
      <c r="J76" s="3009"/>
      <c r="K76" s="3008">
        <v>108.58</v>
      </c>
      <c r="L76" s="3008">
        <f t="shared" si="6"/>
        <v>6.2</v>
      </c>
      <c r="M76" s="3007">
        <v>190</v>
      </c>
      <c r="N76" s="2994">
        <f t="shared" si="7"/>
        <v>20630.2</v>
      </c>
      <c r="O76" s="3006">
        <v>55</v>
      </c>
      <c r="P76" s="2994">
        <f t="shared" si="8"/>
        <v>5971.9</v>
      </c>
      <c r="Q76" s="3005">
        <v>43456</v>
      </c>
      <c r="R76" s="3005">
        <v>44490</v>
      </c>
      <c r="S76" s="3004" t="s">
        <v>3445</v>
      </c>
    </row>
    <row r="77" spans="2:19" ht="21" customHeight="1">
      <c r="B77" s="2998">
        <v>71</v>
      </c>
      <c r="C77" s="3014" t="s">
        <v>3298</v>
      </c>
      <c r="D77" s="3013" t="s">
        <v>3280</v>
      </c>
      <c r="E77" s="3012" t="s">
        <v>3582</v>
      </c>
      <c r="F77" s="3011" t="s">
        <v>3267</v>
      </c>
      <c r="G77" s="3011" t="s">
        <v>3581</v>
      </c>
      <c r="H77" s="3010" t="s">
        <v>3059</v>
      </c>
      <c r="I77" s="3010" t="s">
        <v>3292</v>
      </c>
      <c r="J77" s="3009"/>
      <c r="K77" s="3008">
        <v>311.45999999999998</v>
      </c>
      <c r="L77" s="3008">
        <f t="shared" si="6"/>
        <v>3.8</v>
      </c>
      <c r="M77" s="3007">
        <v>115</v>
      </c>
      <c r="N77" s="2994">
        <f t="shared" si="7"/>
        <v>35817.899999999994</v>
      </c>
      <c r="O77" s="3006">
        <v>55</v>
      </c>
      <c r="P77" s="2994">
        <f t="shared" si="8"/>
        <v>17130.3</v>
      </c>
      <c r="Q77" s="3005">
        <v>43456</v>
      </c>
      <c r="R77" s="3005">
        <v>44551</v>
      </c>
      <c r="S77" s="3004" t="s">
        <v>3445</v>
      </c>
    </row>
    <row r="78" spans="2:19" ht="21" customHeight="1">
      <c r="B78" s="2998">
        <v>72</v>
      </c>
      <c r="C78" s="3014" t="s">
        <v>3298</v>
      </c>
      <c r="D78" s="3013" t="s">
        <v>3280</v>
      </c>
      <c r="E78" s="3012" t="s">
        <v>3580</v>
      </c>
      <c r="F78" s="3011" t="s">
        <v>3267</v>
      </c>
      <c r="G78" s="3011" t="s">
        <v>3579</v>
      </c>
      <c r="H78" s="3010" t="s">
        <v>3059</v>
      </c>
      <c r="I78" s="3010" t="s">
        <v>3292</v>
      </c>
      <c r="J78" s="3009"/>
      <c r="K78" s="3008">
        <v>102.56</v>
      </c>
      <c r="L78" s="3008">
        <f t="shared" si="6"/>
        <v>6.6</v>
      </c>
      <c r="M78" s="3007">
        <v>200</v>
      </c>
      <c r="N78" s="2994">
        <f t="shared" si="7"/>
        <v>20512</v>
      </c>
      <c r="O78" s="3006">
        <v>55</v>
      </c>
      <c r="P78" s="2994">
        <f t="shared" si="8"/>
        <v>5640.8</v>
      </c>
      <c r="Q78" s="3005">
        <v>43456</v>
      </c>
      <c r="R78" s="3005">
        <v>44490</v>
      </c>
      <c r="S78" s="3004" t="s">
        <v>3445</v>
      </c>
    </row>
    <row r="79" spans="2:19" ht="21" customHeight="1">
      <c r="B79" s="2998">
        <v>73</v>
      </c>
      <c r="C79" s="3014" t="s">
        <v>3298</v>
      </c>
      <c r="D79" s="3013" t="s">
        <v>3280</v>
      </c>
      <c r="E79" s="3012" t="s">
        <v>3578</v>
      </c>
      <c r="F79" s="3011" t="s">
        <v>3268</v>
      </c>
      <c r="G79" s="3011" t="s">
        <v>3577</v>
      </c>
      <c r="H79" s="3010" t="s">
        <v>3059</v>
      </c>
      <c r="I79" s="3010" t="s">
        <v>3292</v>
      </c>
      <c r="J79" s="3009"/>
      <c r="K79" s="3008">
        <v>146.08000000000001</v>
      </c>
      <c r="L79" s="3008">
        <f t="shared" si="6"/>
        <v>6.6</v>
      </c>
      <c r="M79" s="3007">
        <v>200</v>
      </c>
      <c r="N79" s="2994">
        <f t="shared" si="7"/>
        <v>29216.000000000004</v>
      </c>
      <c r="O79" s="3006">
        <v>55</v>
      </c>
      <c r="P79" s="2994">
        <f t="shared" si="8"/>
        <v>8034.4000000000005</v>
      </c>
      <c r="Q79" s="3005">
        <v>43456</v>
      </c>
      <c r="R79" s="3005">
        <v>44490</v>
      </c>
      <c r="S79" s="3004" t="s">
        <v>3445</v>
      </c>
    </row>
    <row r="80" spans="2:19" ht="21" customHeight="1">
      <c r="B80" s="2998">
        <v>74</v>
      </c>
      <c r="C80" s="3014" t="s">
        <v>3298</v>
      </c>
      <c r="D80" s="3013" t="s">
        <v>3280</v>
      </c>
      <c r="E80" s="3012" t="s">
        <v>3576</v>
      </c>
      <c r="F80" s="3011" t="s">
        <v>3278</v>
      </c>
      <c r="G80" s="3011" t="s">
        <v>3575</v>
      </c>
      <c r="H80" s="3010" t="s">
        <v>3059</v>
      </c>
      <c r="I80" s="3010" t="s">
        <v>3292</v>
      </c>
      <c r="J80" s="3009"/>
      <c r="K80" s="3008">
        <v>152.82</v>
      </c>
      <c r="L80" s="3008">
        <f t="shared" si="6"/>
        <v>5.9</v>
      </c>
      <c r="M80" s="3007">
        <v>180</v>
      </c>
      <c r="N80" s="2994">
        <f t="shared" si="7"/>
        <v>27507.599999999999</v>
      </c>
      <c r="O80" s="3006">
        <v>55</v>
      </c>
      <c r="P80" s="2994">
        <f t="shared" si="8"/>
        <v>8405.1</v>
      </c>
      <c r="Q80" s="3005">
        <v>43456</v>
      </c>
      <c r="R80" s="3005">
        <v>44490</v>
      </c>
      <c r="S80" s="3004" t="s">
        <v>3445</v>
      </c>
    </row>
    <row r="81" spans="2:19" ht="21" customHeight="1">
      <c r="B81" s="2998">
        <v>75</v>
      </c>
      <c r="C81" s="3014" t="s">
        <v>3298</v>
      </c>
      <c r="D81" s="3013" t="s">
        <v>3280</v>
      </c>
      <c r="E81" s="3012" t="s">
        <v>3574</v>
      </c>
      <c r="F81" s="3011" t="s">
        <v>3278</v>
      </c>
      <c r="G81" s="3011" t="s">
        <v>3573</v>
      </c>
      <c r="H81" s="3010" t="s">
        <v>3059</v>
      </c>
      <c r="I81" s="3010" t="s">
        <v>3292</v>
      </c>
      <c r="J81" s="3009"/>
      <c r="K81" s="3008">
        <v>103</v>
      </c>
      <c r="L81" s="3008">
        <f t="shared" si="6"/>
        <v>6.7</v>
      </c>
      <c r="M81" s="3007">
        <v>205</v>
      </c>
      <c r="N81" s="2994">
        <f t="shared" si="7"/>
        <v>21115</v>
      </c>
      <c r="O81" s="3006">
        <v>55</v>
      </c>
      <c r="P81" s="2994">
        <f t="shared" si="8"/>
        <v>5665</v>
      </c>
      <c r="Q81" s="3005">
        <v>43456</v>
      </c>
      <c r="R81" s="3005">
        <v>44490</v>
      </c>
      <c r="S81" s="3004" t="s">
        <v>3445</v>
      </c>
    </row>
    <row r="82" spans="2:19" ht="21" customHeight="1">
      <c r="B82" s="2998">
        <v>76</v>
      </c>
      <c r="C82" s="3014" t="s">
        <v>3298</v>
      </c>
      <c r="D82" s="3013" t="s">
        <v>3280</v>
      </c>
      <c r="E82" s="3012" t="s">
        <v>3572</v>
      </c>
      <c r="F82" s="3011" t="s">
        <v>3278</v>
      </c>
      <c r="G82" s="3011" t="s">
        <v>3571</v>
      </c>
      <c r="H82" s="3010" t="s">
        <v>3059</v>
      </c>
      <c r="I82" s="3010" t="s">
        <v>3292</v>
      </c>
      <c r="J82" s="3009"/>
      <c r="K82" s="3008">
        <v>102.34</v>
      </c>
      <c r="L82" s="3008">
        <f t="shared" si="6"/>
        <v>6.9</v>
      </c>
      <c r="M82" s="3007">
        <v>210</v>
      </c>
      <c r="N82" s="2994">
        <f t="shared" si="7"/>
        <v>21491.4</v>
      </c>
      <c r="O82" s="3006">
        <v>55</v>
      </c>
      <c r="P82" s="2994">
        <f t="shared" si="8"/>
        <v>5628.7</v>
      </c>
      <c r="Q82" s="3005">
        <v>43456</v>
      </c>
      <c r="R82" s="3005">
        <v>44490</v>
      </c>
      <c r="S82" s="3004" t="s">
        <v>3445</v>
      </c>
    </row>
    <row r="83" spans="2:19" ht="21" customHeight="1">
      <c r="B83" s="2998">
        <v>77</v>
      </c>
      <c r="C83" s="3014" t="s">
        <v>3298</v>
      </c>
      <c r="D83" s="3013" t="s">
        <v>3280</v>
      </c>
      <c r="E83" s="3012" t="s">
        <v>3570</v>
      </c>
      <c r="F83" s="3011" t="s">
        <v>3269</v>
      </c>
      <c r="G83" s="3011" t="s">
        <v>3569</v>
      </c>
      <c r="H83" s="3010" t="s">
        <v>3059</v>
      </c>
      <c r="I83" s="3010" t="s">
        <v>3292</v>
      </c>
      <c r="J83" s="3009"/>
      <c r="K83" s="3008">
        <v>47.33</v>
      </c>
      <c r="L83" s="3008">
        <f t="shared" si="6"/>
        <v>9.9</v>
      </c>
      <c r="M83" s="3007">
        <v>300</v>
      </c>
      <c r="N83" s="2994">
        <f t="shared" si="7"/>
        <v>14199</v>
      </c>
      <c r="O83" s="3006">
        <v>55</v>
      </c>
      <c r="P83" s="2994">
        <f t="shared" si="8"/>
        <v>2603.15</v>
      </c>
      <c r="Q83" s="3005">
        <v>43456</v>
      </c>
      <c r="R83" s="3005">
        <v>44125</v>
      </c>
      <c r="S83" s="3004" t="s">
        <v>3450</v>
      </c>
    </row>
    <row r="84" spans="2:19" ht="21" customHeight="1">
      <c r="B84" s="2998">
        <v>78</v>
      </c>
      <c r="C84" s="3014" t="s">
        <v>3298</v>
      </c>
      <c r="D84" s="3013" t="s">
        <v>3280</v>
      </c>
      <c r="E84" s="3012" t="s">
        <v>3568</v>
      </c>
      <c r="F84" s="3011" t="s">
        <v>3268</v>
      </c>
      <c r="G84" s="3011" t="s">
        <v>3567</v>
      </c>
      <c r="H84" s="3010" t="s">
        <v>3059</v>
      </c>
      <c r="I84" s="3010" t="s">
        <v>3292</v>
      </c>
      <c r="J84" s="3009"/>
      <c r="K84" s="3008">
        <v>59.91</v>
      </c>
      <c r="L84" s="3008">
        <f t="shared" si="6"/>
        <v>7.2</v>
      </c>
      <c r="M84" s="3007">
        <v>220</v>
      </c>
      <c r="N84" s="2994">
        <f t="shared" si="7"/>
        <v>13180.199999999999</v>
      </c>
      <c r="O84" s="3006">
        <v>55</v>
      </c>
      <c r="P84" s="2994">
        <f t="shared" si="8"/>
        <v>3295.0499999999997</v>
      </c>
      <c r="Q84" s="3005">
        <v>43456</v>
      </c>
      <c r="R84" s="3005">
        <v>44125</v>
      </c>
      <c r="S84" s="3004" t="s">
        <v>3445</v>
      </c>
    </row>
    <row r="85" spans="2:19" ht="21" customHeight="1">
      <c r="B85" s="2998">
        <v>79</v>
      </c>
      <c r="C85" s="3014" t="s">
        <v>3298</v>
      </c>
      <c r="D85" s="3013" t="s">
        <v>3280</v>
      </c>
      <c r="E85" s="3012" t="s">
        <v>3566</v>
      </c>
      <c r="F85" s="3011" t="s">
        <v>3278</v>
      </c>
      <c r="G85" s="3011" t="s">
        <v>3565</v>
      </c>
      <c r="H85" s="3010" t="s">
        <v>3059</v>
      </c>
      <c r="I85" s="3010" t="s">
        <v>3292</v>
      </c>
      <c r="J85" s="3009"/>
      <c r="K85" s="3008">
        <v>93.67</v>
      </c>
      <c r="L85" s="3008">
        <f t="shared" si="6"/>
        <v>6.9</v>
      </c>
      <c r="M85" s="3007">
        <v>210</v>
      </c>
      <c r="N85" s="2994">
        <f t="shared" si="7"/>
        <v>19670.7</v>
      </c>
      <c r="O85" s="3006">
        <v>55</v>
      </c>
      <c r="P85" s="2994">
        <f t="shared" si="8"/>
        <v>5151.8500000000004</v>
      </c>
      <c r="Q85" s="3005">
        <v>43456</v>
      </c>
      <c r="R85" s="3005">
        <v>44490</v>
      </c>
      <c r="S85" s="3004" t="s">
        <v>3445</v>
      </c>
    </row>
    <row r="86" spans="2:19" ht="21" customHeight="1">
      <c r="B86" s="2998">
        <v>80</v>
      </c>
      <c r="C86" s="3014" t="s">
        <v>3298</v>
      </c>
      <c r="D86" s="3013" t="s">
        <v>3280</v>
      </c>
      <c r="E86" s="3012" t="s">
        <v>3564</v>
      </c>
      <c r="F86" s="3011" t="s">
        <v>3278</v>
      </c>
      <c r="G86" s="3011" t="s">
        <v>3563</v>
      </c>
      <c r="H86" s="3010" t="s">
        <v>3059</v>
      </c>
      <c r="I86" s="3010" t="s">
        <v>3292</v>
      </c>
      <c r="J86" s="3009"/>
      <c r="K86" s="3008">
        <v>133.94</v>
      </c>
      <c r="L86" s="3008">
        <f t="shared" si="6"/>
        <v>6.2</v>
      </c>
      <c r="M86" s="3007">
        <v>190</v>
      </c>
      <c r="N86" s="2994">
        <f t="shared" si="7"/>
        <v>25448.6</v>
      </c>
      <c r="O86" s="3006">
        <v>55</v>
      </c>
      <c r="P86" s="2994">
        <f t="shared" si="8"/>
        <v>7366.7</v>
      </c>
      <c r="Q86" s="3005">
        <v>43456</v>
      </c>
      <c r="R86" s="3005">
        <v>44490</v>
      </c>
      <c r="S86" s="3004" t="s">
        <v>3445</v>
      </c>
    </row>
    <row r="87" spans="2:19" ht="21" customHeight="1">
      <c r="B87" s="2998">
        <v>81</v>
      </c>
      <c r="C87" s="3014" t="s">
        <v>3298</v>
      </c>
      <c r="D87" s="3013" t="s">
        <v>3280</v>
      </c>
      <c r="E87" s="3012" t="s">
        <v>3562</v>
      </c>
      <c r="F87" s="3011" t="s">
        <v>3278</v>
      </c>
      <c r="G87" s="3011" t="s">
        <v>3561</v>
      </c>
      <c r="H87" s="3010" t="s">
        <v>3059</v>
      </c>
      <c r="I87" s="3010" t="s">
        <v>3292</v>
      </c>
      <c r="J87" s="3009"/>
      <c r="K87" s="3008">
        <v>161.4</v>
      </c>
      <c r="L87" s="3008">
        <f t="shared" si="6"/>
        <v>5.8</v>
      </c>
      <c r="M87" s="3007">
        <v>175</v>
      </c>
      <c r="N87" s="2994">
        <f t="shared" si="7"/>
        <v>28245</v>
      </c>
      <c r="O87" s="3006">
        <v>55</v>
      </c>
      <c r="P87" s="2994">
        <f t="shared" si="8"/>
        <v>8877</v>
      </c>
      <c r="Q87" s="3005">
        <v>43456</v>
      </c>
      <c r="R87" s="3005">
        <v>44490</v>
      </c>
      <c r="S87" s="3004" t="s">
        <v>3445</v>
      </c>
    </row>
    <row r="88" spans="2:19" ht="21" customHeight="1">
      <c r="B88" s="2998">
        <v>82</v>
      </c>
      <c r="C88" s="3014" t="s">
        <v>3298</v>
      </c>
      <c r="D88" s="3013" t="s">
        <v>3280</v>
      </c>
      <c r="E88" s="3012" t="s">
        <v>3560</v>
      </c>
      <c r="F88" s="3011" t="s">
        <v>3268</v>
      </c>
      <c r="G88" s="3011" t="s">
        <v>3559</v>
      </c>
      <c r="H88" s="3010" t="s">
        <v>3059</v>
      </c>
      <c r="I88" s="3010" t="s">
        <v>3292</v>
      </c>
      <c r="J88" s="3009"/>
      <c r="K88" s="3008">
        <v>161.79</v>
      </c>
      <c r="L88" s="3008">
        <f t="shared" si="6"/>
        <v>4.3</v>
      </c>
      <c r="M88" s="3007">
        <v>130</v>
      </c>
      <c r="N88" s="2994">
        <f t="shared" si="7"/>
        <v>21032.7</v>
      </c>
      <c r="O88" s="3006">
        <v>55</v>
      </c>
      <c r="P88" s="2994">
        <f t="shared" si="8"/>
        <v>8898.4499999999989</v>
      </c>
      <c r="Q88" s="3005">
        <v>43456</v>
      </c>
      <c r="R88" s="3005">
        <v>44490</v>
      </c>
      <c r="S88" s="3004" t="s">
        <v>3445</v>
      </c>
    </row>
    <row r="89" spans="2:19" ht="21" customHeight="1">
      <c r="B89" s="2998">
        <v>83</v>
      </c>
      <c r="C89" s="3014" t="s">
        <v>3298</v>
      </c>
      <c r="D89" s="3013" t="s">
        <v>3280</v>
      </c>
      <c r="E89" s="3012" t="s">
        <v>3558</v>
      </c>
      <c r="F89" s="3011" t="s">
        <v>3278</v>
      </c>
      <c r="G89" s="3011" t="s">
        <v>3557</v>
      </c>
      <c r="H89" s="3010" t="s">
        <v>3059</v>
      </c>
      <c r="I89" s="3010" t="s">
        <v>3292</v>
      </c>
      <c r="J89" s="3009"/>
      <c r="K89" s="3008">
        <v>159.28</v>
      </c>
      <c r="L89" s="3008">
        <f t="shared" si="6"/>
        <v>5.4</v>
      </c>
      <c r="M89" s="3007">
        <v>165</v>
      </c>
      <c r="N89" s="2994">
        <f t="shared" si="7"/>
        <v>26281.200000000001</v>
      </c>
      <c r="O89" s="3006">
        <v>55</v>
      </c>
      <c r="P89" s="2994">
        <f t="shared" si="8"/>
        <v>8760.4</v>
      </c>
      <c r="Q89" s="3005">
        <v>43456</v>
      </c>
      <c r="R89" s="3005">
        <v>44490</v>
      </c>
      <c r="S89" s="3004" t="s">
        <v>3445</v>
      </c>
    </row>
    <row r="90" spans="2:19" ht="21" customHeight="1">
      <c r="B90" s="2998">
        <v>84</v>
      </c>
      <c r="C90" s="3014" t="s">
        <v>3298</v>
      </c>
      <c r="D90" s="3013" t="s">
        <v>3280</v>
      </c>
      <c r="E90" s="3012" t="s">
        <v>3556</v>
      </c>
      <c r="F90" s="3011" t="s">
        <v>3268</v>
      </c>
      <c r="G90" s="3011" t="s">
        <v>3555</v>
      </c>
      <c r="H90" s="3010" t="s">
        <v>3059</v>
      </c>
      <c r="I90" s="3010" t="s">
        <v>3292</v>
      </c>
      <c r="J90" s="3009"/>
      <c r="K90" s="3008">
        <v>89.96</v>
      </c>
      <c r="L90" s="3008">
        <f t="shared" si="6"/>
        <v>7.1</v>
      </c>
      <c r="M90" s="3007">
        <v>215</v>
      </c>
      <c r="N90" s="2994">
        <f t="shared" si="7"/>
        <v>19341.399999999998</v>
      </c>
      <c r="O90" s="3006">
        <v>55</v>
      </c>
      <c r="P90" s="2994">
        <f t="shared" si="8"/>
        <v>4947.7999999999993</v>
      </c>
      <c r="Q90" s="3005">
        <v>43456</v>
      </c>
      <c r="R90" s="3005">
        <v>44490</v>
      </c>
      <c r="S90" s="3004" t="s">
        <v>3445</v>
      </c>
    </row>
    <row r="91" spans="2:19" ht="21" customHeight="1">
      <c r="B91" s="2998">
        <v>85</v>
      </c>
      <c r="C91" s="3014" t="s">
        <v>3298</v>
      </c>
      <c r="D91" s="3013" t="s">
        <v>3280</v>
      </c>
      <c r="E91" s="3012" t="s">
        <v>3554</v>
      </c>
      <c r="F91" s="3011" t="s">
        <v>3268</v>
      </c>
      <c r="G91" s="3011" t="s">
        <v>3553</v>
      </c>
      <c r="H91" s="3010" t="s">
        <v>3059</v>
      </c>
      <c r="I91" s="3010" t="s">
        <v>3292</v>
      </c>
      <c r="J91" s="3009"/>
      <c r="K91" s="3008">
        <v>80.59</v>
      </c>
      <c r="L91" s="3008">
        <f t="shared" si="6"/>
        <v>7.2</v>
      </c>
      <c r="M91" s="3007">
        <v>220</v>
      </c>
      <c r="N91" s="2994">
        <f t="shared" si="7"/>
        <v>17729.8</v>
      </c>
      <c r="O91" s="3006">
        <v>55</v>
      </c>
      <c r="P91" s="2994">
        <f t="shared" si="8"/>
        <v>4432.45</v>
      </c>
      <c r="Q91" s="3005">
        <v>43456</v>
      </c>
      <c r="R91" s="3005">
        <v>44490</v>
      </c>
      <c r="S91" s="3004" t="s">
        <v>3445</v>
      </c>
    </row>
    <row r="92" spans="2:19" ht="21" customHeight="1">
      <c r="B92" s="2998">
        <v>86</v>
      </c>
      <c r="C92" s="3014" t="s">
        <v>3298</v>
      </c>
      <c r="D92" s="3013" t="s">
        <v>3280</v>
      </c>
      <c r="E92" s="3012" t="s">
        <v>3552</v>
      </c>
      <c r="F92" s="3011" t="s">
        <v>3268</v>
      </c>
      <c r="G92" s="3011" t="s">
        <v>3551</v>
      </c>
      <c r="H92" s="3010" t="s">
        <v>3059</v>
      </c>
      <c r="I92" s="3010" t="s">
        <v>3292</v>
      </c>
      <c r="J92" s="3009"/>
      <c r="K92" s="3008">
        <v>57.55</v>
      </c>
      <c r="L92" s="3008">
        <f t="shared" si="6"/>
        <v>7.2</v>
      </c>
      <c r="M92" s="3007">
        <v>220</v>
      </c>
      <c r="N92" s="2994">
        <f t="shared" si="7"/>
        <v>12661</v>
      </c>
      <c r="O92" s="3006">
        <v>55</v>
      </c>
      <c r="P92" s="2994">
        <f t="shared" si="8"/>
        <v>3165.25</v>
      </c>
      <c r="Q92" s="3005">
        <v>43456</v>
      </c>
      <c r="R92" s="3005">
        <v>44125</v>
      </c>
      <c r="S92" s="3004" t="s">
        <v>3550</v>
      </c>
    </row>
    <row r="93" spans="2:19" ht="21" customHeight="1">
      <c r="B93" s="2998">
        <v>87</v>
      </c>
      <c r="C93" s="3014" t="s">
        <v>3298</v>
      </c>
      <c r="D93" s="3013" t="s">
        <v>3280</v>
      </c>
      <c r="E93" s="3012" t="s">
        <v>3549</v>
      </c>
      <c r="F93" s="3011" t="s">
        <v>3278</v>
      </c>
      <c r="G93" s="3011" t="s">
        <v>3548</v>
      </c>
      <c r="H93" s="3010" t="s">
        <v>3059</v>
      </c>
      <c r="I93" s="3010" t="s">
        <v>3292</v>
      </c>
      <c r="J93" s="3009"/>
      <c r="K93" s="3008">
        <v>86.64</v>
      </c>
      <c r="L93" s="3008">
        <f t="shared" si="6"/>
        <v>6.9</v>
      </c>
      <c r="M93" s="3007">
        <v>210</v>
      </c>
      <c r="N93" s="2994">
        <f t="shared" si="7"/>
        <v>18194.400000000001</v>
      </c>
      <c r="O93" s="3006">
        <v>55</v>
      </c>
      <c r="P93" s="2994">
        <f t="shared" si="8"/>
        <v>4765.2</v>
      </c>
      <c r="Q93" s="3005">
        <v>43456</v>
      </c>
      <c r="R93" s="3005">
        <v>44490</v>
      </c>
      <c r="S93" s="3004" t="s">
        <v>3445</v>
      </c>
    </row>
    <row r="94" spans="2:19" ht="21" customHeight="1">
      <c r="B94" s="2998">
        <v>88</v>
      </c>
      <c r="C94" s="3014" t="s">
        <v>3298</v>
      </c>
      <c r="D94" s="3013" t="s">
        <v>3280</v>
      </c>
      <c r="E94" s="3012" t="s">
        <v>3547</v>
      </c>
      <c r="F94" s="3011" t="s">
        <v>3278</v>
      </c>
      <c r="G94" s="3011" t="s">
        <v>3546</v>
      </c>
      <c r="H94" s="3010" t="s">
        <v>3059</v>
      </c>
      <c r="I94" s="3010" t="s">
        <v>3292</v>
      </c>
      <c r="J94" s="3009"/>
      <c r="K94" s="3008">
        <v>154.6</v>
      </c>
      <c r="L94" s="3008">
        <f t="shared" si="6"/>
        <v>5.9</v>
      </c>
      <c r="M94" s="3007">
        <v>180</v>
      </c>
      <c r="N94" s="2994">
        <f t="shared" si="7"/>
        <v>27828</v>
      </c>
      <c r="O94" s="3006">
        <v>55</v>
      </c>
      <c r="P94" s="2994">
        <f t="shared" si="8"/>
        <v>8503</v>
      </c>
      <c r="Q94" s="3005">
        <v>43456</v>
      </c>
      <c r="R94" s="3005">
        <v>44490</v>
      </c>
      <c r="S94" s="3004" t="s">
        <v>3445</v>
      </c>
    </row>
    <row r="95" spans="2:19" ht="21" customHeight="1">
      <c r="B95" s="2998">
        <v>89</v>
      </c>
      <c r="C95" s="3014" t="s">
        <v>3298</v>
      </c>
      <c r="D95" s="3013" t="s">
        <v>3280</v>
      </c>
      <c r="E95" s="3012" t="s">
        <v>3545</v>
      </c>
      <c r="F95" s="3011" t="s">
        <v>3268</v>
      </c>
      <c r="G95" s="3011" t="s">
        <v>3544</v>
      </c>
      <c r="H95" s="3010" t="s">
        <v>3059</v>
      </c>
      <c r="I95" s="3010" t="s">
        <v>3292</v>
      </c>
      <c r="J95" s="3009"/>
      <c r="K95" s="3008">
        <v>119.8</v>
      </c>
      <c r="L95" s="3008">
        <f t="shared" si="6"/>
        <v>6.2</v>
      </c>
      <c r="M95" s="3007">
        <v>190</v>
      </c>
      <c r="N95" s="2994">
        <f t="shared" si="7"/>
        <v>22762</v>
      </c>
      <c r="O95" s="3006">
        <v>55</v>
      </c>
      <c r="P95" s="2994">
        <f t="shared" si="8"/>
        <v>6589</v>
      </c>
      <c r="Q95" s="3005">
        <v>43456</v>
      </c>
      <c r="R95" s="3005">
        <v>44490</v>
      </c>
      <c r="S95" s="3004" t="s">
        <v>3445</v>
      </c>
    </row>
    <row r="96" spans="2:19" ht="21" customHeight="1">
      <c r="B96" s="2998">
        <v>90</v>
      </c>
      <c r="C96" s="3014" t="s">
        <v>3298</v>
      </c>
      <c r="D96" s="3013" t="s">
        <v>3280</v>
      </c>
      <c r="E96" s="3012" t="s">
        <v>3543</v>
      </c>
      <c r="F96" s="3011" t="s">
        <v>3278</v>
      </c>
      <c r="G96" s="3011" t="s">
        <v>3542</v>
      </c>
      <c r="H96" s="3010" t="s">
        <v>3059</v>
      </c>
      <c r="I96" s="3010" t="s">
        <v>3292</v>
      </c>
      <c r="J96" s="3009"/>
      <c r="K96" s="3008">
        <v>214.55</v>
      </c>
      <c r="L96" s="3008">
        <f t="shared" si="6"/>
        <v>6.2</v>
      </c>
      <c r="M96" s="3007">
        <v>190</v>
      </c>
      <c r="N96" s="2994">
        <f t="shared" si="7"/>
        <v>40764.5</v>
      </c>
      <c r="O96" s="3006">
        <v>55</v>
      </c>
      <c r="P96" s="2994">
        <f t="shared" si="8"/>
        <v>11800.25</v>
      </c>
      <c r="Q96" s="3005">
        <v>43456</v>
      </c>
      <c r="R96" s="3005">
        <v>44490</v>
      </c>
      <c r="S96" s="3004" t="s">
        <v>3445</v>
      </c>
    </row>
    <row r="97" spans="2:19" ht="21" customHeight="1">
      <c r="B97" s="2998">
        <v>91</v>
      </c>
      <c r="C97" s="3014" t="s">
        <v>3298</v>
      </c>
      <c r="D97" s="3013" t="s">
        <v>3280</v>
      </c>
      <c r="E97" s="3012" t="s">
        <v>3541</v>
      </c>
      <c r="F97" s="3011" t="s">
        <v>3278</v>
      </c>
      <c r="G97" s="3011" t="s">
        <v>3540</v>
      </c>
      <c r="H97" s="3010" t="s">
        <v>3059</v>
      </c>
      <c r="I97" s="3010" t="s">
        <v>3292</v>
      </c>
      <c r="J97" s="3009"/>
      <c r="K97" s="3008">
        <v>127.1</v>
      </c>
      <c r="L97" s="3008">
        <f t="shared" si="6"/>
        <v>6.6</v>
      </c>
      <c r="M97" s="3007">
        <v>200</v>
      </c>
      <c r="N97" s="2994">
        <f t="shared" si="7"/>
        <v>25420</v>
      </c>
      <c r="O97" s="3006">
        <v>55</v>
      </c>
      <c r="P97" s="2994">
        <f t="shared" si="8"/>
        <v>6990.5</v>
      </c>
      <c r="Q97" s="3005">
        <v>43456</v>
      </c>
      <c r="R97" s="3005">
        <v>44490</v>
      </c>
      <c r="S97" s="3004" t="s">
        <v>3445</v>
      </c>
    </row>
    <row r="98" spans="2:19" ht="21" customHeight="1">
      <c r="B98" s="2998">
        <v>92</v>
      </c>
      <c r="C98" s="3014" t="s">
        <v>3298</v>
      </c>
      <c r="D98" s="3013" t="s">
        <v>3280</v>
      </c>
      <c r="E98" s="3012" t="s">
        <v>3539</v>
      </c>
      <c r="F98" s="3011" t="s">
        <v>3268</v>
      </c>
      <c r="G98" s="3011" t="s">
        <v>3538</v>
      </c>
      <c r="H98" s="3010" t="s">
        <v>3059</v>
      </c>
      <c r="I98" s="3010" t="s">
        <v>3292</v>
      </c>
      <c r="J98" s="3009"/>
      <c r="K98" s="3008">
        <v>119.8</v>
      </c>
      <c r="L98" s="3008">
        <f t="shared" si="6"/>
        <v>6.2</v>
      </c>
      <c r="M98" s="3007">
        <v>190</v>
      </c>
      <c r="N98" s="2994">
        <f t="shared" si="7"/>
        <v>22762</v>
      </c>
      <c r="O98" s="3006">
        <v>55</v>
      </c>
      <c r="P98" s="2994">
        <f t="shared" si="8"/>
        <v>6589</v>
      </c>
      <c r="Q98" s="3005">
        <v>43456</v>
      </c>
      <c r="R98" s="3005">
        <v>44490</v>
      </c>
      <c r="S98" s="3004" t="s">
        <v>3445</v>
      </c>
    </row>
    <row r="99" spans="2:19" ht="21" customHeight="1">
      <c r="B99" s="2998">
        <v>93</v>
      </c>
      <c r="C99" s="3014" t="s">
        <v>3298</v>
      </c>
      <c r="D99" s="3013" t="s">
        <v>3280</v>
      </c>
      <c r="E99" s="3012" t="s">
        <v>3537</v>
      </c>
      <c r="F99" s="3011" t="s">
        <v>3267</v>
      </c>
      <c r="G99" s="3011" t="s">
        <v>3536</v>
      </c>
      <c r="H99" s="3010" t="s">
        <v>3059</v>
      </c>
      <c r="I99" s="3010" t="s">
        <v>3292</v>
      </c>
      <c r="J99" s="3009"/>
      <c r="K99" s="3008">
        <v>124.01</v>
      </c>
      <c r="L99" s="3008">
        <f t="shared" si="6"/>
        <v>6.1</v>
      </c>
      <c r="M99" s="3007">
        <v>185</v>
      </c>
      <c r="N99" s="2994">
        <f t="shared" si="7"/>
        <v>22941.850000000002</v>
      </c>
      <c r="O99" s="3006">
        <v>55</v>
      </c>
      <c r="P99" s="2994">
        <f t="shared" si="8"/>
        <v>6820.55</v>
      </c>
      <c r="Q99" s="3005">
        <v>43456</v>
      </c>
      <c r="R99" s="3005">
        <v>44490</v>
      </c>
      <c r="S99" s="3004" t="s">
        <v>3445</v>
      </c>
    </row>
    <row r="100" spans="2:19" ht="21" customHeight="1">
      <c r="B100" s="2998">
        <v>94</v>
      </c>
      <c r="C100" s="3014" t="s">
        <v>3298</v>
      </c>
      <c r="D100" s="3013" t="s">
        <v>3280</v>
      </c>
      <c r="E100" s="3012" t="s">
        <v>3535</v>
      </c>
      <c r="F100" s="3011" t="s">
        <v>3268</v>
      </c>
      <c r="G100" s="3011" t="s">
        <v>3534</v>
      </c>
      <c r="H100" s="3010" t="s">
        <v>3059</v>
      </c>
      <c r="I100" s="3010" t="s">
        <v>3292</v>
      </c>
      <c r="J100" s="3009"/>
      <c r="K100" s="3008">
        <v>64.36</v>
      </c>
      <c r="L100" s="3008">
        <f t="shared" si="6"/>
        <v>7.6</v>
      </c>
      <c r="M100" s="3007">
        <v>230</v>
      </c>
      <c r="N100" s="2994">
        <f t="shared" si="7"/>
        <v>14802.8</v>
      </c>
      <c r="O100" s="3006">
        <v>55</v>
      </c>
      <c r="P100" s="2994">
        <f t="shared" si="8"/>
        <v>3539.8</v>
      </c>
      <c r="Q100" s="3005">
        <v>43592</v>
      </c>
      <c r="R100" s="3005">
        <v>44490</v>
      </c>
      <c r="S100" s="3004" t="s">
        <v>3445</v>
      </c>
    </row>
    <row r="101" spans="2:19" ht="21" customHeight="1">
      <c r="B101" s="2998">
        <v>95</v>
      </c>
      <c r="C101" s="3014" t="s">
        <v>3533</v>
      </c>
      <c r="D101" s="3013" t="s">
        <v>3280</v>
      </c>
      <c r="E101" s="3012" t="s">
        <v>3532</v>
      </c>
      <c r="F101" s="3014" t="s">
        <v>3439</v>
      </c>
      <c r="G101" s="3011" t="s">
        <v>3531</v>
      </c>
      <c r="H101" s="3010" t="s">
        <v>3059</v>
      </c>
      <c r="I101" s="3010" t="s">
        <v>3292</v>
      </c>
      <c r="J101" s="3009"/>
      <c r="K101" s="3008">
        <v>1024.92</v>
      </c>
      <c r="L101" s="3008">
        <f t="shared" si="6"/>
        <v>1.6</v>
      </c>
      <c r="M101" s="3007">
        <v>50</v>
      </c>
      <c r="N101" s="2994">
        <f t="shared" si="7"/>
        <v>51246</v>
      </c>
      <c r="O101" s="3006">
        <v>18</v>
      </c>
      <c r="P101" s="2994">
        <f t="shared" si="8"/>
        <v>18448.560000000001</v>
      </c>
      <c r="Q101" s="3005">
        <v>43456</v>
      </c>
      <c r="R101" s="3005">
        <v>45647</v>
      </c>
      <c r="S101" s="3004" t="s">
        <v>3530</v>
      </c>
    </row>
    <row r="102" spans="2:19" s="3016" customFormat="1" ht="21" customHeight="1">
      <c r="B102" s="3029"/>
      <c r="C102" s="3028"/>
      <c r="D102" s="3027"/>
      <c r="E102" s="3026"/>
      <c r="F102" s="3028"/>
      <c r="G102" s="3025"/>
      <c r="H102" s="3024"/>
      <c r="I102" s="3024"/>
      <c r="J102" s="3023"/>
      <c r="K102" s="3022"/>
      <c r="L102" s="3022">
        <f>AVERAGE(L57:L101)</f>
        <v>5.982222222222223</v>
      </c>
      <c r="M102" s="3021"/>
      <c r="N102" s="3019">
        <f>SUM(N57:N101)*12</f>
        <v>13323514.792799998</v>
      </c>
      <c r="O102" s="3020"/>
      <c r="P102" s="3019">
        <f>SUM(P57:P101)*12</f>
        <v>4328794.2731999997</v>
      </c>
      <c r="Q102" s="3018"/>
      <c r="R102" s="3018"/>
      <c r="S102" s="3017"/>
    </row>
    <row r="103" spans="2:19" ht="21" customHeight="1">
      <c r="B103" s="2998">
        <v>96</v>
      </c>
      <c r="C103" s="3014" t="s">
        <v>3441</v>
      </c>
      <c r="D103" s="3013" t="s">
        <v>3277</v>
      </c>
      <c r="E103" s="3012" t="s">
        <v>3529</v>
      </c>
      <c r="F103" s="3014" t="s">
        <v>3439</v>
      </c>
      <c r="G103" s="3011" t="s">
        <v>3528</v>
      </c>
      <c r="H103" s="3010" t="s">
        <v>3059</v>
      </c>
      <c r="I103" s="3010" t="s">
        <v>3292</v>
      </c>
      <c r="J103" s="3009"/>
      <c r="K103" s="3008">
        <v>1215.0999999999999</v>
      </c>
      <c r="L103" s="3008">
        <f t="shared" ref="L103:L145" si="9">ROUND(N103*12/K103/365,1)</f>
        <v>1.7</v>
      </c>
      <c r="M103" s="3007">
        <v>53</v>
      </c>
      <c r="N103" s="2994">
        <f t="shared" ref="N103:N145" si="10">IFERROR(M103*K103,"")</f>
        <v>64400.299999999996</v>
      </c>
      <c r="O103" s="3006">
        <v>18</v>
      </c>
      <c r="P103" s="2994">
        <f t="shared" ref="P103:P145" si="11">IFERROR(K103*O103,"-")</f>
        <v>21871.8</v>
      </c>
      <c r="Q103" s="3005">
        <v>43456</v>
      </c>
      <c r="R103" s="3005">
        <v>46377</v>
      </c>
      <c r="S103" s="3004" t="s">
        <v>3527</v>
      </c>
    </row>
    <row r="104" spans="2:19" ht="21" customHeight="1">
      <c r="B104" s="2998">
        <v>97</v>
      </c>
      <c r="C104" s="3014" t="s">
        <v>3298</v>
      </c>
      <c r="D104" s="3013" t="s">
        <v>3277</v>
      </c>
      <c r="E104" s="3012" t="s">
        <v>3526</v>
      </c>
      <c r="F104" s="3011" t="s">
        <v>3275</v>
      </c>
      <c r="G104" s="3011" t="s">
        <v>3525</v>
      </c>
      <c r="H104" s="3010" t="s">
        <v>3059</v>
      </c>
      <c r="I104" s="3010" t="s">
        <v>3292</v>
      </c>
      <c r="J104" s="3009"/>
      <c r="K104" s="3008">
        <v>171.84</v>
      </c>
      <c r="L104" s="3008">
        <f t="shared" si="9"/>
        <v>3.5</v>
      </c>
      <c r="M104" s="3007">
        <v>105</v>
      </c>
      <c r="N104" s="2994">
        <f t="shared" si="10"/>
        <v>18043.2</v>
      </c>
      <c r="O104" s="3006">
        <v>55</v>
      </c>
      <c r="P104" s="2994">
        <f t="shared" si="11"/>
        <v>9451.2000000000007</v>
      </c>
      <c r="Q104" s="3005">
        <v>43456</v>
      </c>
      <c r="R104" s="3005">
        <v>44490</v>
      </c>
      <c r="S104" s="3004" t="s">
        <v>3445</v>
      </c>
    </row>
    <row r="105" spans="2:19" ht="21" customHeight="1">
      <c r="B105" s="2998">
        <v>98</v>
      </c>
      <c r="C105" s="3014" t="s">
        <v>3298</v>
      </c>
      <c r="D105" s="3013" t="s">
        <v>3277</v>
      </c>
      <c r="E105" s="3012" t="s">
        <v>3524</v>
      </c>
      <c r="F105" s="3011" t="s">
        <v>3275</v>
      </c>
      <c r="G105" s="3011" t="s">
        <v>3523</v>
      </c>
      <c r="H105" s="3010" t="s">
        <v>3059</v>
      </c>
      <c r="I105" s="3010" t="s">
        <v>3292</v>
      </c>
      <c r="J105" s="3009"/>
      <c r="K105" s="3008">
        <v>182.33</v>
      </c>
      <c r="L105" s="3008">
        <f t="shared" si="9"/>
        <v>2.2999999999999998</v>
      </c>
      <c r="M105" s="3007">
        <v>70</v>
      </c>
      <c r="N105" s="2994">
        <f t="shared" si="10"/>
        <v>12763.1</v>
      </c>
      <c r="O105" s="3006">
        <v>50</v>
      </c>
      <c r="P105" s="2994">
        <f t="shared" si="11"/>
        <v>9116.5</v>
      </c>
      <c r="Q105" s="3005">
        <v>43456</v>
      </c>
      <c r="R105" s="3005">
        <v>44490</v>
      </c>
      <c r="S105" s="3004" t="s">
        <v>3450</v>
      </c>
    </row>
    <row r="106" spans="2:19" ht="21" customHeight="1">
      <c r="B106" s="2998">
        <v>99</v>
      </c>
      <c r="C106" s="3014" t="s">
        <v>3441</v>
      </c>
      <c r="D106" s="3013" t="s">
        <v>3277</v>
      </c>
      <c r="E106" s="3012" t="s">
        <v>3522</v>
      </c>
      <c r="F106" s="3014" t="s">
        <v>3439</v>
      </c>
      <c r="G106" s="3011" t="s">
        <v>3521</v>
      </c>
      <c r="H106" s="3010" t="s">
        <v>3059</v>
      </c>
      <c r="I106" s="3010" t="s">
        <v>3292</v>
      </c>
      <c r="J106" s="3009"/>
      <c r="K106" s="3008">
        <v>2452.91</v>
      </c>
      <c r="L106" s="3008">
        <f t="shared" si="9"/>
        <v>1</v>
      </c>
      <c r="M106" s="3007">
        <v>31</v>
      </c>
      <c r="N106" s="2994">
        <f t="shared" si="10"/>
        <v>76040.209999999992</v>
      </c>
      <c r="O106" s="3006">
        <v>8</v>
      </c>
      <c r="P106" s="2994">
        <f t="shared" si="11"/>
        <v>19623.28</v>
      </c>
      <c r="Q106" s="3005">
        <v>43456</v>
      </c>
      <c r="R106" s="3005">
        <v>47108</v>
      </c>
      <c r="S106" s="3004" t="s">
        <v>3520</v>
      </c>
    </row>
    <row r="107" spans="2:19" ht="21" customHeight="1">
      <c r="B107" s="2998">
        <v>100</v>
      </c>
      <c r="C107" s="3014" t="s">
        <v>3298</v>
      </c>
      <c r="D107" s="3013" t="s">
        <v>3277</v>
      </c>
      <c r="E107" s="3012" t="s">
        <v>3519</v>
      </c>
      <c r="F107" s="3011" t="s">
        <v>3269</v>
      </c>
      <c r="G107" s="3011" t="s">
        <v>3518</v>
      </c>
      <c r="H107" s="3010" t="s">
        <v>3059</v>
      </c>
      <c r="I107" s="3010" t="s">
        <v>3292</v>
      </c>
      <c r="J107" s="3009"/>
      <c r="K107" s="3008">
        <v>117.57</v>
      </c>
      <c r="L107" s="3008">
        <f t="shared" si="9"/>
        <v>4.8</v>
      </c>
      <c r="M107" s="3007">
        <v>145</v>
      </c>
      <c r="N107" s="2994">
        <f t="shared" si="10"/>
        <v>17047.649999999998</v>
      </c>
      <c r="O107" s="3006">
        <v>55</v>
      </c>
      <c r="P107" s="2994">
        <f t="shared" si="11"/>
        <v>6466.3499999999995</v>
      </c>
      <c r="Q107" s="3005">
        <v>43456</v>
      </c>
      <c r="R107" s="3005">
        <v>44490</v>
      </c>
      <c r="S107" s="3004" t="s">
        <v>3445</v>
      </c>
    </row>
    <row r="108" spans="2:19" ht="21" customHeight="1">
      <c r="B108" s="2998">
        <v>101</v>
      </c>
      <c r="C108" s="3014" t="s">
        <v>3298</v>
      </c>
      <c r="D108" s="3013" t="s">
        <v>3277</v>
      </c>
      <c r="E108" s="3012" t="s">
        <v>3517</v>
      </c>
      <c r="F108" s="3011" t="s">
        <v>3275</v>
      </c>
      <c r="G108" s="3011" t="s">
        <v>3516</v>
      </c>
      <c r="H108" s="3010" t="s">
        <v>3059</v>
      </c>
      <c r="I108" s="3010" t="s">
        <v>3292</v>
      </c>
      <c r="J108" s="3009"/>
      <c r="K108" s="3008">
        <v>101.47</v>
      </c>
      <c r="L108" s="3008">
        <f t="shared" si="9"/>
        <v>4.3</v>
      </c>
      <c r="M108" s="3007">
        <v>130</v>
      </c>
      <c r="N108" s="2994">
        <f t="shared" si="10"/>
        <v>13191.1</v>
      </c>
      <c r="O108" s="3006">
        <v>55</v>
      </c>
      <c r="P108" s="2994">
        <f t="shared" si="11"/>
        <v>5580.85</v>
      </c>
      <c r="Q108" s="3005">
        <v>43456</v>
      </c>
      <c r="R108" s="3005">
        <v>44490</v>
      </c>
      <c r="S108" s="3004" t="s">
        <v>3450</v>
      </c>
    </row>
    <row r="109" spans="2:19" ht="21" customHeight="1">
      <c r="B109" s="2998">
        <v>102</v>
      </c>
      <c r="C109" s="3014" t="s">
        <v>3298</v>
      </c>
      <c r="D109" s="3013" t="s">
        <v>3277</v>
      </c>
      <c r="E109" s="3012" t="s">
        <v>3515</v>
      </c>
      <c r="F109" s="3011" t="s">
        <v>3269</v>
      </c>
      <c r="G109" s="3011" t="s">
        <v>3514</v>
      </c>
      <c r="H109" s="3010" t="s">
        <v>3059</v>
      </c>
      <c r="I109" s="3010" t="s">
        <v>3292</v>
      </c>
      <c r="J109" s="3009"/>
      <c r="K109" s="3008">
        <v>346.02</v>
      </c>
      <c r="L109" s="3008">
        <f t="shared" si="9"/>
        <v>4.3</v>
      </c>
      <c r="M109" s="3007">
        <v>130</v>
      </c>
      <c r="N109" s="2994">
        <f t="shared" si="10"/>
        <v>44982.6</v>
      </c>
      <c r="O109" s="3006">
        <v>55</v>
      </c>
      <c r="P109" s="2994">
        <f t="shared" si="11"/>
        <v>19031.099999999999</v>
      </c>
      <c r="Q109" s="3005">
        <v>43456</v>
      </c>
      <c r="R109" s="3005">
        <v>45220</v>
      </c>
      <c r="S109" s="3004" t="s">
        <v>3450</v>
      </c>
    </row>
    <row r="110" spans="2:19" ht="21" customHeight="1">
      <c r="B110" s="2998">
        <v>103</v>
      </c>
      <c r="C110" s="3014" t="s">
        <v>3298</v>
      </c>
      <c r="D110" s="3013" t="s">
        <v>3277</v>
      </c>
      <c r="E110" s="3012" t="s">
        <v>3513</v>
      </c>
      <c r="F110" s="3011" t="s">
        <v>3269</v>
      </c>
      <c r="G110" s="3011" t="s">
        <v>3512</v>
      </c>
      <c r="H110" s="3010" t="s">
        <v>3059</v>
      </c>
      <c r="I110" s="3010" t="s">
        <v>3292</v>
      </c>
      <c r="J110" s="3009"/>
      <c r="K110" s="3008">
        <v>252.45</v>
      </c>
      <c r="L110" s="3008">
        <f t="shared" si="9"/>
        <v>3</v>
      </c>
      <c r="M110" s="3007">
        <v>90</v>
      </c>
      <c r="N110" s="2994">
        <f t="shared" si="10"/>
        <v>22720.5</v>
      </c>
      <c r="O110" s="3006">
        <v>55</v>
      </c>
      <c r="P110" s="2994">
        <f t="shared" si="11"/>
        <v>13884.75</v>
      </c>
      <c r="Q110" s="3005">
        <v>43456</v>
      </c>
      <c r="R110" s="3005">
        <v>45220</v>
      </c>
      <c r="S110" s="3004" t="s">
        <v>3450</v>
      </c>
    </row>
    <row r="111" spans="2:19" ht="21" customHeight="1">
      <c r="B111" s="2998">
        <v>104</v>
      </c>
      <c r="C111" s="3014" t="s">
        <v>3298</v>
      </c>
      <c r="D111" s="3013" t="s">
        <v>3277</v>
      </c>
      <c r="E111" s="3012" t="s">
        <v>3511</v>
      </c>
      <c r="F111" s="3011" t="s">
        <v>3269</v>
      </c>
      <c r="G111" s="3030" t="s">
        <v>3510</v>
      </c>
      <c r="H111" s="3010" t="s">
        <v>3059</v>
      </c>
      <c r="I111" s="3010" t="s">
        <v>3292</v>
      </c>
      <c r="J111" s="3009"/>
      <c r="K111" s="3008">
        <v>81.099999999999994</v>
      </c>
      <c r="L111" s="3008">
        <f t="shared" si="9"/>
        <v>5.8</v>
      </c>
      <c r="M111" s="3007">
        <v>175</v>
      </c>
      <c r="N111" s="2994">
        <f t="shared" si="10"/>
        <v>14192.499999999998</v>
      </c>
      <c r="O111" s="3006">
        <v>55</v>
      </c>
      <c r="P111" s="2994">
        <f t="shared" si="11"/>
        <v>4460.5</v>
      </c>
      <c r="Q111" s="3005">
        <v>43647</v>
      </c>
      <c r="R111" s="3005">
        <v>44490</v>
      </c>
      <c r="S111" s="3004" t="s">
        <v>3450</v>
      </c>
    </row>
    <row r="112" spans="2:19" ht="21" customHeight="1">
      <c r="B112" s="2998">
        <v>105</v>
      </c>
      <c r="C112" s="3014" t="s">
        <v>3298</v>
      </c>
      <c r="D112" s="3013" t="s">
        <v>3277</v>
      </c>
      <c r="E112" s="3012" t="s">
        <v>3509</v>
      </c>
      <c r="F112" s="3011" t="s">
        <v>3269</v>
      </c>
      <c r="G112" s="3011" t="s">
        <v>3508</v>
      </c>
      <c r="H112" s="3010" t="s">
        <v>3059</v>
      </c>
      <c r="I112" s="3010" t="s">
        <v>3292</v>
      </c>
      <c r="J112" s="3009"/>
      <c r="K112" s="3008">
        <v>31.41</v>
      </c>
      <c r="L112" s="3008">
        <f t="shared" si="9"/>
        <v>9.9</v>
      </c>
      <c r="M112" s="3007">
        <v>300</v>
      </c>
      <c r="N112" s="2994">
        <f t="shared" si="10"/>
        <v>9423</v>
      </c>
      <c r="O112" s="3006">
        <v>55</v>
      </c>
      <c r="P112" s="2994">
        <f t="shared" si="11"/>
        <v>1727.55</v>
      </c>
      <c r="Q112" s="3005">
        <v>43456</v>
      </c>
      <c r="R112" s="3005">
        <v>44125</v>
      </c>
      <c r="S112" s="3004" t="s">
        <v>3450</v>
      </c>
    </row>
    <row r="113" spans="2:19" ht="21" customHeight="1">
      <c r="B113" s="2998">
        <v>106</v>
      </c>
      <c r="C113" s="3014" t="s">
        <v>3298</v>
      </c>
      <c r="D113" s="3013" t="s">
        <v>3277</v>
      </c>
      <c r="E113" s="3012" t="s">
        <v>3507</v>
      </c>
      <c r="F113" s="3011" t="s">
        <v>3275</v>
      </c>
      <c r="G113" s="3011" t="s">
        <v>3506</v>
      </c>
      <c r="H113" s="3010" t="s">
        <v>3059</v>
      </c>
      <c r="I113" s="3010" t="s">
        <v>3292</v>
      </c>
      <c r="J113" s="3009"/>
      <c r="K113" s="3008">
        <v>94.97</v>
      </c>
      <c r="L113" s="3008">
        <f t="shared" si="9"/>
        <v>5.4</v>
      </c>
      <c r="M113" s="3007">
        <v>165</v>
      </c>
      <c r="N113" s="2994">
        <f t="shared" si="10"/>
        <v>15670.05</v>
      </c>
      <c r="O113" s="3006">
        <v>55</v>
      </c>
      <c r="P113" s="2994">
        <f t="shared" si="11"/>
        <v>5223.3500000000004</v>
      </c>
      <c r="Q113" s="3005">
        <v>43456</v>
      </c>
      <c r="R113" s="3005">
        <v>44490</v>
      </c>
      <c r="S113" s="3004" t="s">
        <v>3445</v>
      </c>
    </row>
    <row r="114" spans="2:19" ht="21" customHeight="1">
      <c r="B114" s="2998">
        <v>107</v>
      </c>
      <c r="C114" s="3014" t="s">
        <v>3298</v>
      </c>
      <c r="D114" s="3013" t="s">
        <v>3277</v>
      </c>
      <c r="E114" s="3012" t="s">
        <v>3505</v>
      </c>
      <c r="F114" s="3011" t="s">
        <v>3267</v>
      </c>
      <c r="G114" s="3030" t="s">
        <v>3504</v>
      </c>
      <c r="H114" s="3010" t="s">
        <v>3059</v>
      </c>
      <c r="I114" s="3010" t="s">
        <v>3292</v>
      </c>
      <c r="J114" s="3009"/>
      <c r="K114" s="3008">
        <v>82.91</v>
      </c>
      <c r="L114" s="3008">
        <f t="shared" si="9"/>
        <v>5.8</v>
      </c>
      <c r="M114" s="3007">
        <v>175</v>
      </c>
      <c r="N114" s="2994">
        <f t="shared" si="10"/>
        <v>14509.25</v>
      </c>
      <c r="O114" s="3006">
        <v>55</v>
      </c>
      <c r="P114" s="2994">
        <f t="shared" si="11"/>
        <v>4560.05</v>
      </c>
      <c r="Q114" s="3005">
        <v>43671</v>
      </c>
      <c r="R114" s="3005">
        <v>44490</v>
      </c>
      <c r="S114" s="3004" t="s">
        <v>3450</v>
      </c>
    </row>
    <row r="115" spans="2:19" ht="21" customHeight="1">
      <c r="B115" s="2998">
        <v>108</v>
      </c>
      <c r="C115" s="3014" t="s">
        <v>3298</v>
      </c>
      <c r="D115" s="3013" t="s">
        <v>3277</v>
      </c>
      <c r="E115" s="3012" t="s">
        <v>3503</v>
      </c>
      <c r="F115" s="3011" t="s">
        <v>3275</v>
      </c>
      <c r="G115" s="3032" t="s">
        <v>3502</v>
      </c>
      <c r="H115" s="3010" t="s">
        <v>3059</v>
      </c>
      <c r="I115" s="3010" t="s">
        <v>3292</v>
      </c>
      <c r="J115" s="3009"/>
      <c r="K115" s="3008">
        <v>71.89</v>
      </c>
      <c r="L115" s="3008">
        <f t="shared" si="9"/>
        <v>5.9</v>
      </c>
      <c r="M115" s="3007">
        <v>180</v>
      </c>
      <c r="N115" s="2994">
        <f t="shared" si="10"/>
        <v>12940.2</v>
      </c>
      <c r="O115" s="3006">
        <v>55</v>
      </c>
      <c r="P115" s="2994">
        <f t="shared" si="11"/>
        <v>3953.95</v>
      </c>
      <c r="Q115" s="3005">
        <v>43556</v>
      </c>
      <c r="R115" s="3005">
        <v>44490</v>
      </c>
      <c r="S115" s="3004" t="s">
        <v>3445</v>
      </c>
    </row>
    <row r="116" spans="2:19" ht="21" customHeight="1">
      <c r="B116" s="2998">
        <v>109</v>
      </c>
      <c r="C116" s="3014" t="s">
        <v>3298</v>
      </c>
      <c r="D116" s="3013" t="s">
        <v>3277</v>
      </c>
      <c r="E116" s="3012" t="s">
        <v>3501</v>
      </c>
      <c r="F116" s="3011" t="s">
        <v>3275</v>
      </c>
      <c r="G116" s="3011" t="s">
        <v>3500</v>
      </c>
      <c r="H116" s="3010" t="s">
        <v>3059</v>
      </c>
      <c r="I116" s="3010" t="s">
        <v>3292</v>
      </c>
      <c r="J116" s="3009"/>
      <c r="K116" s="3008">
        <v>400.3</v>
      </c>
      <c r="L116" s="3008">
        <f t="shared" si="9"/>
        <v>3.5</v>
      </c>
      <c r="M116" s="3007">
        <v>105</v>
      </c>
      <c r="N116" s="2994">
        <f t="shared" si="10"/>
        <v>42031.5</v>
      </c>
      <c r="O116" s="3006">
        <v>55</v>
      </c>
      <c r="P116" s="2994">
        <f t="shared" si="11"/>
        <v>22016.5</v>
      </c>
      <c r="Q116" s="3005">
        <v>43456</v>
      </c>
      <c r="R116" s="3005">
        <v>44490</v>
      </c>
      <c r="S116" s="3004" t="s">
        <v>3445</v>
      </c>
    </row>
    <row r="117" spans="2:19" ht="21" customHeight="1">
      <c r="B117" s="2998">
        <v>110</v>
      </c>
      <c r="C117" s="3014" t="s">
        <v>3298</v>
      </c>
      <c r="D117" s="3013" t="s">
        <v>3277</v>
      </c>
      <c r="E117" s="3012" t="s">
        <v>3499</v>
      </c>
      <c r="F117" s="3011" t="s">
        <v>3275</v>
      </c>
      <c r="G117" s="3011" t="s">
        <v>3498</v>
      </c>
      <c r="H117" s="3010" t="s">
        <v>3059</v>
      </c>
      <c r="I117" s="3010" t="s">
        <v>3292</v>
      </c>
      <c r="J117" s="3009"/>
      <c r="K117" s="3008">
        <v>132.34</v>
      </c>
      <c r="L117" s="3008">
        <f t="shared" si="9"/>
        <v>3.9</v>
      </c>
      <c r="M117" s="3007">
        <v>120</v>
      </c>
      <c r="N117" s="2994">
        <f t="shared" si="10"/>
        <v>15880.800000000001</v>
      </c>
      <c r="O117" s="3006">
        <v>55</v>
      </c>
      <c r="P117" s="2994">
        <f t="shared" si="11"/>
        <v>7278.7</v>
      </c>
      <c r="Q117" s="3005">
        <v>43456</v>
      </c>
      <c r="R117" s="3005">
        <v>44490</v>
      </c>
      <c r="S117" s="3004" t="s">
        <v>3445</v>
      </c>
    </row>
    <row r="118" spans="2:19" ht="21" customHeight="1">
      <c r="B118" s="2998">
        <v>111</v>
      </c>
      <c r="C118" s="3014" t="s">
        <v>3298</v>
      </c>
      <c r="D118" s="3013" t="s">
        <v>3277</v>
      </c>
      <c r="E118" s="3012" t="s">
        <v>3497</v>
      </c>
      <c r="F118" s="3011" t="s">
        <v>3275</v>
      </c>
      <c r="G118" s="3011" t="s">
        <v>3496</v>
      </c>
      <c r="H118" s="3010" t="s">
        <v>3059</v>
      </c>
      <c r="I118" s="3010" t="s">
        <v>3292</v>
      </c>
      <c r="J118" s="3009"/>
      <c r="K118" s="3008">
        <v>377.24</v>
      </c>
      <c r="L118" s="3008">
        <f t="shared" si="9"/>
        <v>2.2999999999999998</v>
      </c>
      <c r="M118" s="3007">
        <v>70</v>
      </c>
      <c r="N118" s="2994">
        <f t="shared" si="10"/>
        <v>26406.799999999999</v>
      </c>
      <c r="O118" s="3006">
        <v>50</v>
      </c>
      <c r="P118" s="2994">
        <f t="shared" si="11"/>
        <v>18862</v>
      </c>
      <c r="Q118" s="3005">
        <v>43456</v>
      </c>
      <c r="R118" s="3005">
        <v>45220</v>
      </c>
      <c r="S118" s="3004" t="s">
        <v>3445</v>
      </c>
    </row>
    <row r="119" spans="2:19" ht="21" customHeight="1">
      <c r="B119" s="2998">
        <v>112</v>
      </c>
      <c r="C119" s="3014" t="s">
        <v>3298</v>
      </c>
      <c r="D119" s="3013" t="s">
        <v>3277</v>
      </c>
      <c r="E119" s="3012" t="s">
        <v>3495</v>
      </c>
      <c r="F119" s="3011" t="s">
        <v>3267</v>
      </c>
      <c r="G119" s="3011" t="s">
        <v>3494</v>
      </c>
      <c r="H119" s="3010" t="s">
        <v>3059</v>
      </c>
      <c r="I119" s="3010" t="s">
        <v>3292</v>
      </c>
      <c r="J119" s="3009"/>
      <c r="K119" s="3008">
        <v>135.44999999999999</v>
      </c>
      <c r="L119" s="3008">
        <f t="shared" si="9"/>
        <v>2.6</v>
      </c>
      <c r="M119" s="3007">
        <v>80</v>
      </c>
      <c r="N119" s="2994">
        <f t="shared" si="10"/>
        <v>10836</v>
      </c>
      <c r="O119" s="3006">
        <v>50</v>
      </c>
      <c r="P119" s="2994">
        <f t="shared" si="11"/>
        <v>6772.4999999999991</v>
      </c>
      <c r="Q119" s="3005">
        <v>43456</v>
      </c>
      <c r="R119" s="3005">
        <v>44490</v>
      </c>
      <c r="S119" s="3004" t="s">
        <v>3445</v>
      </c>
    </row>
    <row r="120" spans="2:19" ht="21" customHeight="1">
      <c r="B120" s="2998">
        <v>113</v>
      </c>
      <c r="C120" s="3014" t="s">
        <v>3298</v>
      </c>
      <c r="D120" s="3013" t="s">
        <v>3277</v>
      </c>
      <c r="E120" s="3012" t="s">
        <v>3493</v>
      </c>
      <c r="F120" s="3011" t="s">
        <v>3275</v>
      </c>
      <c r="G120" s="3011" t="s">
        <v>3492</v>
      </c>
      <c r="H120" s="3010" t="s">
        <v>3059</v>
      </c>
      <c r="I120" s="3010" t="s">
        <v>3292</v>
      </c>
      <c r="J120" s="3009"/>
      <c r="K120" s="3008">
        <v>248.33</v>
      </c>
      <c r="L120" s="3008">
        <f t="shared" si="9"/>
        <v>2.2999999999999998</v>
      </c>
      <c r="M120" s="3007">
        <v>70</v>
      </c>
      <c r="N120" s="2994">
        <f t="shared" si="10"/>
        <v>17383.100000000002</v>
      </c>
      <c r="O120" s="3006">
        <v>50</v>
      </c>
      <c r="P120" s="2994">
        <f t="shared" si="11"/>
        <v>12416.5</v>
      </c>
      <c r="Q120" s="3005">
        <v>43456</v>
      </c>
      <c r="R120" s="3005">
        <v>45220</v>
      </c>
      <c r="S120" s="3004" t="s">
        <v>3450</v>
      </c>
    </row>
    <row r="121" spans="2:19" ht="21" customHeight="1">
      <c r="B121" s="2998">
        <v>114</v>
      </c>
      <c r="C121" s="3014" t="s">
        <v>3298</v>
      </c>
      <c r="D121" s="3013" t="s">
        <v>3277</v>
      </c>
      <c r="E121" s="3012" t="s">
        <v>3491</v>
      </c>
      <c r="F121" s="3011" t="s">
        <v>3275</v>
      </c>
      <c r="G121" s="3011" t="s">
        <v>3490</v>
      </c>
      <c r="H121" s="3010" t="s">
        <v>3059</v>
      </c>
      <c r="I121" s="3010" t="s">
        <v>3292</v>
      </c>
      <c r="J121" s="3009"/>
      <c r="K121" s="3008">
        <v>152.83000000000001</v>
      </c>
      <c r="L121" s="3008">
        <f t="shared" si="9"/>
        <v>4.3</v>
      </c>
      <c r="M121" s="3007">
        <v>130</v>
      </c>
      <c r="N121" s="2994">
        <f t="shared" si="10"/>
        <v>19867.900000000001</v>
      </c>
      <c r="O121" s="3006">
        <v>55</v>
      </c>
      <c r="P121" s="2994">
        <f t="shared" si="11"/>
        <v>8405.6500000000015</v>
      </c>
      <c r="Q121" s="3005">
        <v>43456</v>
      </c>
      <c r="R121" s="3005">
        <v>44490</v>
      </c>
      <c r="S121" s="3004" t="s">
        <v>3445</v>
      </c>
    </row>
    <row r="122" spans="2:19" ht="21" customHeight="1">
      <c r="B122" s="2998">
        <v>115</v>
      </c>
      <c r="C122" s="3014" t="s">
        <v>3298</v>
      </c>
      <c r="D122" s="3013" t="s">
        <v>3277</v>
      </c>
      <c r="E122" s="3012" t="s">
        <v>3489</v>
      </c>
      <c r="F122" s="3011" t="s">
        <v>3275</v>
      </c>
      <c r="G122" s="3011" t="s">
        <v>3488</v>
      </c>
      <c r="H122" s="3010" t="s">
        <v>3059</v>
      </c>
      <c r="I122" s="3010" t="s">
        <v>3292</v>
      </c>
      <c r="J122" s="3009"/>
      <c r="K122" s="3008">
        <v>103.47</v>
      </c>
      <c r="L122" s="3008">
        <f t="shared" si="9"/>
        <v>4.3</v>
      </c>
      <c r="M122" s="3007">
        <v>130</v>
      </c>
      <c r="N122" s="2994">
        <f t="shared" si="10"/>
        <v>13451.1</v>
      </c>
      <c r="O122" s="3006">
        <v>55</v>
      </c>
      <c r="P122" s="2994">
        <f t="shared" si="11"/>
        <v>5690.85</v>
      </c>
      <c r="Q122" s="3005">
        <v>43456</v>
      </c>
      <c r="R122" s="3005">
        <v>44490</v>
      </c>
      <c r="S122" s="3004" t="s">
        <v>3445</v>
      </c>
    </row>
    <row r="123" spans="2:19" ht="21" customHeight="1">
      <c r="B123" s="2998">
        <v>116</v>
      </c>
      <c r="C123" s="3014" t="s">
        <v>3298</v>
      </c>
      <c r="D123" s="3013" t="s">
        <v>3277</v>
      </c>
      <c r="E123" s="3012">
        <v>3028</v>
      </c>
      <c r="F123" s="3011" t="s">
        <v>3275</v>
      </c>
      <c r="G123" s="3011" t="s">
        <v>3487</v>
      </c>
      <c r="H123" s="3010" t="s">
        <v>3059</v>
      </c>
      <c r="I123" s="3010" t="s">
        <v>3292</v>
      </c>
      <c r="J123" s="3009"/>
      <c r="K123" s="3008">
        <v>102.31</v>
      </c>
      <c r="L123" s="3008">
        <f t="shared" si="9"/>
        <v>4.3</v>
      </c>
      <c r="M123" s="3007">
        <v>130</v>
      </c>
      <c r="N123" s="2994">
        <f t="shared" si="10"/>
        <v>13300.300000000001</v>
      </c>
      <c r="O123" s="3006">
        <v>55</v>
      </c>
      <c r="P123" s="2994">
        <f t="shared" si="11"/>
        <v>5627.05</v>
      </c>
      <c r="Q123" s="3005">
        <v>43456</v>
      </c>
      <c r="R123" s="3005">
        <v>44490</v>
      </c>
      <c r="S123" s="3004" t="s">
        <v>3445</v>
      </c>
    </row>
    <row r="124" spans="2:19" ht="21" customHeight="1">
      <c r="B124" s="2998">
        <v>117</v>
      </c>
      <c r="C124" s="3014" t="s">
        <v>3298</v>
      </c>
      <c r="D124" s="3013" t="s">
        <v>3277</v>
      </c>
      <c r="E124" s="3031" t="s">
        <v>3486</v>
      </c>
      <c r="F124" s="3011" t="s">
        <v>3269</v>
      </c>
      <c r="G124" s="3030" t="s">
        <v>3485</v>
      </c>
      <c r="H124" s="3010" t="s">
        <v>3059</v>
      </c>
      <c r="I124" s="3010" t="s">
        <v>3292</v>
      </c>
      <c r="J124" s="3009"/>
      <c r="K124" s="3008">
        <v>86.2</v>
      </c>
      <c r="L124" s="3008">
        <f t="shared" si="9"/>
        <v>5.3</v>
      </c>
      <c r="M124" s="3007">
        <v>160</v>
      </c>
      <c r="N124" s="2994">
        <f t="shared" si="10"/>
        <v>13792</v>
      </c>
      <c r="O124" s="3006">
        <v>55</v>
      </c>
      <c r="P124" s="2994">
        <f t="shared" si="11"/>
        <v>4741</v>
      </c>
      <c r="Q124" s="3005">
        <v>43770</v>
      </c>
      <c r="R124" s="3005">
        <v>44500</v>
      </c>
      <c r="S124" s="3004" t="s">
        <v>3450</v>
      </c>
    </row>
    <row r="125" spans="2:19" ht="21" customHeight="1">
      <c r="B125" s="2998">
        <v>118</v>
      </c>
      <c r="C125" s="3014" t="s">
        <v>3298</v>
      </c>
      <c r="D125" s="3013" t="s">
        <v>3277</v>
      </c>
      <c r="E125" s="3031" t="s">
        <v>3484</v>
      </c>
      <c r="F125" s="3011" t="s">
        <v>3269</v>
      </c>
      <c r="G125" s="3030" t="s">
        <v>3481</v>
      </c>
      <c r="H125" s="3010" t="s">
        <v>3059</v>
      </c>
      <c r="I125" s="3010" t="s">
        <v>3292</v>
      </c>
      <c r="J125" s="3009"/>
      <c r="K125" s="3008">
        <v>128.6</v>
      </c>
      <c r="L125" s="3008">
        <f t="shared" si="9"/>
        <v>4.0999999999999996</v>
      </c>
      <c r="M125" s="3007">
        <v>125</v>
      </c>
      <c r="N125" s="2994">
        <f t="shared" si="10"/>
        <v>16075</v>
      </c>
      <c r="O125" s="3006">
        <v>55</v>
      </c>
      <c r="P125" s="2994">
        <f t="shared" si="11"/>
        <v>7073</v>
      </c>
      <c r="Q125" s="3005">
        <v>43784</v>
      </c>
      <c r="R125" s="3005">
        <v>45610</v>
      </c>
      <c r="S125" s="3004" t="s">
        <v>3480</v>
      </c>
    </row>
    <row r="126" spans="2:19" ht="21" customHeight="1">
      <c r="B126" s="2998">
        <v>119</v>
      </c>
      <c r="C126" s="3014" t="s">
        <v>3298</v>
      </c>
      <c r="D126" s="3013" t="s">
        <v>3277</v>
      </c>
      <c r="E126" s="3012" t="s">
        <v>3483</v>
      </c>
      <c r="F126" s="3011" t="s">
        <v>3269</v>
      </c>
      <c r="G126" s="3030" t="s">
        <v>3481</v>
      </c>
      <c r="H126" s="3010" t="s">
        <v>3059</v>
      </c>
      <c r="I126" s="3010" t="s">
        <v>3292</v>
      </c>
      <c r="J126" s="3009"/>
      <c r="K126" s="3008">
        <v>136.49</v>
      </c>
      <c r="L126" s="3008">
        <f t="shared" si="9"/>
        <v>4.0999999999999996</v>
      </c>
      <c r="M126" s="3007">
        <v>125</v>
      </c>
      <c r="N126" s="2994">
        <f t="shared" si="10"/>
        <v>17061.25</v>
      </c>
      <c r="O126" s="3006">
        <v>55</v>
      </c>
      <c r="P126" s="2994">
        <f t="shared" si="11"/>
        <v>7506.9500000000007</v>
      </c>
      <c r="Q126" s="3005">
        <v>43784</v>
      </c>
      <c r="R126" s="3005">
        <v>45610</v>
      </c>
      <c r="S126" s="3004" t="s">
        <v>3480</v>
      </c>
    </row>
    <row r="127" spans="2:19" ht="21" customHeight="1">
      <c r="B127" s="2998">
        <v>120</v>
      </c>
      <c r="C127" s="3014" t="s">
        <v>3298</v>
      </c>
      <c r="D127" s="3013" t="s">
        <v>3277</v>
      </c>
      <c r="E127" s="3012" t="s">
        <v>3482</v>
      </c>
      <c r="F127" s="3011" t="s">
        <v>3269</v>
      </c>
      <c r="G127" s="3030" t="s">
        <v>3481</v>
      </c>
      <c r="H127" s="3010" t="s">
        <v>3059</v>
      </c>
      <c r="I127" s="3010" t="s">
        <v>3292</v>
      </c>
      <c r="J127" s="3009"/>
      <c r="K127" s="3008">
        <v>77.099999999999994</v>
      </c>
      <c r="L127" s="3008">
        <f t="shared" si="9"/>
        <v>4.0999999999999996</v>
      </c>
      <c r="M127" s="3007">
        <v>125</v>
      </c>
      <c r="N127" s="2994">
        <f t="shared" si="10"/>
        <v>9637.5</v>
      </c>
      <c r="O127" s="3006">
        <v>55</v>
      </c>
      <c r="P127" s="2994">
        <f t="shared" si="11"/>
        <v>4240.5</v>
      </c>
      <c r="Q127" s="3005">
        <v>43784</v>
      </c>
      <c r="R127" s="3005">
        <v>45610</v>
      </c>
      <c r="S127" s="3004" t="s">
        <v>3480</v>
      </c>
    </row>
    <row r="128" spans="2:19" ht="21" customHeight="1">
      <c r="B128" s="2998">
        <v>121</v>
      </c>
      <c r="C128" s="3014" t="s">
        <v>3298</v>
      </c>
      <c r="D128" s="3013" t="s">
        <v>3277</v>
      </c>
      <c r="E128" s="3012" t="s">
        <v>3479</v>
      </c>
      <c r="F128" s="3011" t="s">
        <v>3275</v>
      </c>
      <c r="G128" s="3011" t="s">
        <v>3478</v>
      </c>
      <c r="H128" s="3010" t="s">
        <v>3059</v>
      </c>
      <c r="I128" s="3010" t="s">
        <v>3292</v>
      </c>
      <c r="J128" s="3009"/>
      <c r="K128" s="3008">
        <v>59.91</v>
      </c>
      <c r="L128" s="3008">
        <f t="shared" si="9"/>
        <v>5.4</v>
      </c>
      <c r="M128" s="3007">
        <v>165</v>
      </c>
      <c r="N128" s="2994">
        <f t="shared" si="10"/>
        <v>9885.15</v>
      </c>
      <c r="O128" s="3006">
        <v>55</v>
      </c>
      <c r="P128" s="2994">
        <f t="shared" si="11"/>
        <v>3295.0499999999997</v>
      </c>
      <c r="Q128" s="3005">
        <v>43456</v>
      </c>
      <c r="R128" s="3005">
        <v>44125</v>
      </c>
      <c r="S128" s="3004" t="s">
        <v>3445</v>
      </c>
    </row>
    <row r="129" spans="2:19" ht="21" customHeight="1">
      <c r="B129" s="2998">
        <v>122</v>
      </c>
      <c r="C129" s="3014" t="s">
        <v>3298</v>
      </c>
      <c r="D129" s="3013" t="s">
        <v>3277</v>
      </c>
      <c r="E129" s="3012" t="s">
        <v>3477</v>
      </c>
      <c r="F129" s="3011" t="s">
        <v>3275</v>
      </c>
      <c r="G129" s="3011" t="s">
        <v>3476</v>
      </c>
      <c r="H129" s="3010" t="s">
        <v>3059</v>
      </c>
      <c r="I129" s="3010" t="s">
        <v>3292</v>
      </c>
      <c r="J129" s="3009"/>
      <c r="K129" s="3008">
        <v>93.85</v>
      </c>
      <c r="L129" s="3008">
        <f t="shared" si="9"/>
        <v>5.6</v>
      </c>
      <c r="M129" s="3007">
        <v>170</v>
      </c>
      <c r="N129" s="2994">
        <f t="shared" si="10"/>
        <v>15954.499999999998</v>
      </c>
      <c r="O129" s="3006">
        <v>55</v>
      </c>
      <c r="P129" s="2994">
        <f t="shared" si="11"/>
        <v>5161.75</v>
      </c>
      <c r="Q129" s="3005">
        <v>43456</v>
      </c>
      <c r="R129" s="3005">
        <v>44490</v>
      </c>
      <c r="S129" s="3004" t="s">
        <v>3445</v>
      </c>
    </row>
    <row r="130" spans="2:19" ht="21" customHeight="1">
      <c r="B130" s="2998">
        <v>123</v>
      </c>
      <c r="C130" s="3014" t="s">
        <v>3298</v>
      </c>
      <c r="D130" s="3013" t="s">
        <v>3277</v>
      </c>
      <c r="E130" s="3012" t="s">
        <v>3475</v>
      </c>
      <c r="F130" s="3011" t="s">
        <v>3275</v>
      </c>
      <c r="G130" s="3011" t="s">
        <v>3474</v>
      </c>
      <c r="H130" s="3010" t="s">
        <v>3059</v>
      </c>
      <c r="I130" s="3010" t="s">
        <v>3292</v>
      </c>
      <c r="J130" s="3009"/>
      <c r="K130" s="3008">
        <v>134.58000000000001</v>
      </c>
      <c r="L130" s="3008">
        <f t="shared" si="9"/>
        <v>4.8</v>
      </c>
      <c r="M130" s="3007">
        <v>145</v>
      </c>
      <c r="N130" s="2994">
        <f t="shared" si="10"/>
        <v>19514.100000000002</v>
      </c>
      <c r="O130" s="3006">
        <v>55</v>
      </c>
      <c r="P130" s="2994">
        <f t="shared" si="11"/>
        <v>7401.9000000000005</v>
      </c>
      <c r="Q130" s="3005">
        <v>43456</v>
      </c>
      <c r="R130" s="3005">
        <v>44490</v>
      </c>
      <c r="S130" s="3004" t="s">
        <v>3445</v>
      </c>
    </row>
    <row r="131" spans="2:19" ht="21" customHeight="1">
      <c r="B131" s="2998">
        <v>124</v>
      </c>
      <c r="C131" s="3014" t="s">
        <v>3298</v>
      </c>
      <c r="D131" s="3013" t="s">
        <v>3277</v>
      </c>
      <c r="E131" s="3012" t="s">
        <v>3473</v>
      </c>
      <c r="F131" s="3011" t="s">
        <v>3268</v>
      </c>
      <c r="G131" s="3030" t="s">
        <v>3472</v>
      </c>
      <c r="H131" s="3010" t="s">
        <v>3059</v>
      </c>
      <c r="I131" s="3010" t="s">
        <v>3292</v>
      </c>
      <c r="J131" s="3009"/>
      <c r="K131" s="3008">
        <v>161.4</v>
      </c>
      <c r="L131" s="3008">
        <f t="shared" si="9"/>
        <v>3.3</v>
      </c>
      <c r="M131" s="3007">
        <v>100</v>
      </c>
      <c r="N131" s="2994">
        <f t="shared" si="10"/>
        <v>16140</v>
      </c>
      <c r="O131" s="3006">
        <v>55</v>
      </c>
      <c r="P131" s="2994">
        <f t="shared" si="11"/>
        <v>8877</v>
      </c>
      <c r="Q131" s="3005">
        <v>43775</v>
      </c>
      <c r="R131" s="3005">
        <v>43861</v>
      </c>
      <c r="S131" s="3004"/>
    </row>
    <row r="132" spans="2:19" ht="21" customHeight="1">
      <c r="B132" s="2998">
        <v>125</v>
      </c>
      <c r="C132" s="3014" t="s">
        <v>3298</v>
      </c>
      <c r="D132" s="3013" t="s">
        <v>3277</v>
      </c>
      <c r="E132" s="3012" t="s">
        <v>3471</v>
      </c>
      <c r="F132" s="3011" t="s">
        <v>3275</v>
      </c>
      <c r="G132" s="3011" t="s">
        <v>3470</v>
      </c>
      <c r="H132" s="3010" t="s">
        <v>3059</v>
      </c>
      <c r="I132" s="3010" t="s">
        <v>3292</v>
      </c>
      <c r="J132" s="3009"/>
      <c r="K132" s="3008">
        <v>162.04</v>
      </c>
      <c r="L132" s="3008">
        <f t="shared" si="9"/>
        <v>4.8</v>
      </c>
      <c r="M132" s="3007">
        <v>145</v>
      </c>
      <c r="N132" s="2994">
        <f t="shared" si="10"/>
        <v>23495.8</v>
      </c>
      <c r="O132" s="3006">
        <v>55</v>
      </c>
      <c r="P132" s="2994">
        <f t="shared" si="11"/>
        <v>8912.1999999999989</v>
      </c>
      <c r="Q132" s="3005">
        <v>43456</v>
      </c>
      <c r="R132" s="3005">
        <v>44490</v>
      </c>
      <c r="S132" s="3004" t="s">
        <v>3445</v>
      </c>
    </row>
    <row r="133" spans="2:19" ht="21" customHeight="1">
      <c r="B133" s="2998">
        <v>126</v>
      </c>
      <c r="C133" s="3014" t="s">
        <v>3298</v>
      </c>
      <c r="D133" s="3013" t="s">
        <v>3277</v>
      </c>
      <c r="E133" s="3012" t="s">
        <v>3469</v>
      </c>
      <c r="F133" s="3011" t="s">
        <v>3275</v>
      </c>
      <c r="G133" s="3011" t="s">
        <v>3468</v>
      </c>
      <c r="H133" s="3010" t="s">
        <v>3059</v>
      </c>
      <c r="I133" s="3010" t="s">
        <v>3292</v>
      </c>
      <c r="J133" s="3009"/>
      <c r="K133" s="3008">
        <v>159.6</v>
      </c>
      <c r="L133" s="3008">
        <f t="shared" si="9"/>
        <v>4.3</v>
      </c>
      <c r="M133" s="3007">
        <v>130</v>
      </c>
      <c r="N133" s="2994">
        <f t="shared" si="10"/>
        <v>20748</v>
      </c>
      <c r="O133" s="3006">
        <v>55</v>
      </c>
      <c r="P133" s="2994">
        <f t="shared" si="11"/>
        <v>8778</v>
      </c>
      <c r="Q133" s="3005">
        <v>43456</v>
      </c>
      <c r="R133" s="3005">
        <v>44490</v>
      </c>
      <c r="S133" s="3004" t="s">
        <v>3445</v>
      </c>
    </row>
    <row r="134" spans="2:19" ht="21" customHeight="1">
      <c r="B134" s="2998">
        <v>127</v>
      </c>
      <c r="C134" s="3014" t="s">
        <v>3298</v>
      </c>
      <c r="D134" s="3013" t="s">
        <v>3277</v>
      </c>
      <c r="E134" s="3012" t="s">
        <v>3467</v>
      </c>
      <c r="F134" s="3011" t="s">
        <v>3275</v>
      </c>
      <c r="G134" s="3030" t="s">
        <v>3466</v>
      </c>
      <c r="H134" s="3010" t="s">
        <v>3059</v>
      </c>
      <c r="I134" s="3010" t="s">
        <v>3292</v>
      </c>
      <c r="J134" s="3009"/>
      <c r="K134" s="3008">
        <v>89.96</v>
      </c>
      <c r="L134" s="3008">
        <f t="shared" si="9"/>
        <v>5.0999999999999996</v>
      </c>
      <c r="M134" s="3007">
        <v>155</v>
      </c>
      <c r="N134" s="2994">
        <f t="shared" si="10"/>
        <v>13943.8</v>
      </c>
      <c r="O134" s="3006">
        <v>55</v>
      </c>
      <c r="P134" s="2994">
        <f t="shared" si="11"/>
        <v>4947.7999999999993</v>
      </c>
      <c r="Q134" s="3005">
        <v>43739</v>
      </c>
      <c r="R134" s="3005">
        <v>44834</v>
      </c>
      <c r="S134" s="3004" t="s">
        <v>3445</v>
      </c>
    </row>
    <row r="135" spans="2:19" ht="21" customHeight="1">
      <c r="B135" s="2998">
        <v>128</v>
      </c>
      <c r="C135" s="3014" t="s">
        <v>3298</v>
      </c>
      <c r="D135" s="3013" t="s">
        <v>3277</v>
      </c>
      <c r="E135" s="3012" t="s">
        <v>3465</v>
      </c>
      <c r="F135" s="3011" t="s">
        <v>3275</v>
      </c>
      <c r="G135" s="3011" t="s">
        <v>3464</v>
      </c>
      <c r="H135" s="3010" t="s">
        <v>3059</v>
      </c>
      <c r="I135" s="3010" t="s">
        <v>3292</v>
      </c>
      <c r="J135" s="3009"/>
      <c r="K135" s="3008">
        <v>80.59</v>
      </c>
      <c r="L135" s="3008">
        <f t="shared" si="9"/>
        <v>4.8</v>
      </c>
      <c r="M135" s="3007">
        <v>145</v>
      </c>
      <c r="N135" s="2994">
        <f t="shared" si="10"/>
        <v>11685.550000000001</v>
      </c>
      <c r="O135" s="3006">
        <v>55</v>
      </c>
      <c r="P135" s="2994">
        <f t="shared" si="11"/>
        <v>4432.45</v>
      </c>
      <c r="Q135" s="3005">
        <v>43456</v>
      </c>
      <c r="R135" s="3005">
        <v>44490</v>
      </c>
      <c r="S135" s="3004" t="s">
        <v>3445</v>
      </c>
    </row>
    <row r="136" spans="2:19" ht="21" customHeight="1">
      <c r="B136" s="2998">
        <v>129</v>
      </c>
      <c r="C136" s="3014" t="s">
        <v>3298</v>
      </c>
      <c r="D136" s="3013" t="s">
        <v>3277</v>
      </c>
      <c r="E136" s="3012" t="s">
        <v>3463</v>
      </c>
      <c r="F136" s="3011" t="s">
        <v>3275</v>
      </c>
      <c r="G136" s="3011" t="s">
        <v>3462</v>
      </c>
      <c r="H136" s="3010" t="s">
        <v>3059</v>
      </c>
      <c r="I136" s="3010" t="s">
        <v>3292</v>
      </c>
      <c r="J136" s="3009"/>
      <c r="K136" s="3008">
        <v>57.55</v>
      </c>
      <c r="L136" s="3008">
        <f t="shared" si="9"/>
        <v>5.4</v>
      </c>
      <c r="M136" s="3007">
        <v>165</v>
      </c>
      <c r="N136" s="2994">
        <f t="shared" si="10"/>
        <v>9495.75</v>
      </c>
      <c r="O136" s="3006">
        <v>55</v>
      </c>
      <c r="P136" s="2994">
        <f t="shared" si="11"/>
        <v>3165.25</v>
      </c>
      <c r="Q136" s="3005">
        <v>43456</v>
      </c>
      <c r="R136" s="3005">
        <v>44125</v>
      </c>
      <c r="S136" s="3004" t="s">
        <v>3445</v>
      </c>
    </row>
    <row r="137" spans="2:19" ht="21" customHeight="1">
      <c r="B137" s="2998">
        <v>130</v>
      </c>
      <c r="C137" s="3014" t="s">
        <v>3298</v>
      </c>
      <c r="D137" s="3013" t="s">
        <v>3277</v>
      </c>
      <c r="E137" s="3012" t="s">
        <v>3461</v>
      </c>
      <c r="F137" s="3011" t="s">
        <v>3275</v>
      </c>
      <c r="G137" s="3011" t="s">
        <v>3460</v>
      </c>
      <c r="H137" s="3010" t="s">
        <v>3059</v>
      </c>
      <c r="I137" s="3010" t="s">
        <v>3292</v>
      </c>
      <c r="J137" s="3009"/>
      <c r="K137" s="3008">
        <v>86.64</v>
      </c>
      <c r="L137" s="3008">
        <f t="shared" si="9"/>
        <v>5.6</v>
      </c>
      <c r="M137" s="3007">
        <v>170</v>
      </c>
      <c r="N137" s="2994">
        <f t="shared" si="10"/>
        <v>14728.8</v>
      </c>
      <c r="O137" s="3006">
        <v>55</v>
      </c>
      <c r="P137" s="2994">
        <f t="shared" si="11"/>
        <v>4765.2</v>
      </c>
      <c r="Q137" s="3005">
        <v>43456</v>
      </c>
      <c r="R137" s="3005">
        <v>44490</v>
      </c>
      <c r="S137" s="3004" t="s">
        <v>3445</v>
      </c>
    </row>
    <row r="138" spans="2:19" ht="21" customHeight="1">
      <c r="B138" s="2998">
        <v>131</v>
      </c>
      <c r="C138" s="3014" t="s">
        <v>3298</v>
      </c>
      <c r="D138" s="3013" t="s">
        <v>3277</v>
      </c>
      <c r="E138" s="3012" t="s">
        <v>3459</v>
      </c>
      <c r="F138" s="3011" t="s">
        <v>3275</v>
      </c>
      <c r="G138" s="3011" t="s">
        <v>3458</v>
      </c>
      <c r="H138" s="3010" t="s">
        <v>3059</v>
      </c>
      <c r="I138" s="3010" t="s">
        <v>3292</v>
      </c>
      <c r="J138" s="3009"/>
      <c r="K138" s="3008">
        <v>154.6</v>
      </c>
      <c r="L138" s="3008">
        <f t="shared" si="9"/>
        <v>4.8</v>
      </c>
      <c r="M138" s="3007">
        <v>145</v>
      </c>
      <c r="N138" s="2994">
        <f t="shared" si="10"/>
        <v>22417</v>
      </c>
      <c r="O138" s="3006">
        <v>55</v>
      </c>
      <c r="P138" s="2994">
        <f t="shared" si="11"/>
        <v>8503</v>
      </c>
      <c r="Q138" s="3005">
        <v>43456</v>
      </c>
      <c r="R138" s="3005">
        <v>44490</v>
      </c>
      <c r="S138" s="3004" t="s">
        <v>3445</v>
      </c>
    </row>
    <row r="139" spans="2:19" ht="21" customHeight="1">
      <c r="B139" s="2998">
        <v>132</v>
      </c>
      <c r="C139" s="3014" t="s">
        <v>3298</v>
      </c>
      <c r="D139" s="3013" t="s">
        <v>3277</v>
      </c>
      <c r="E139" s="3012" t="s">
        <v>3457</v>
      </c>
      <c r="F139" s="3011" t="s">
        <v>3275</v>
      </c>
      <c r="G139" s="3030" t="s">
        <v>3455</v>
      </c>
      <c r="H139" s="3010" t="s">
        <v>3059</v>
      </c>
      <c r="I139" s="3010" t="s">
        <v>3292</v>
      </c>
      <c r="J139" s="3009"/>
      <c r="K139" s="3008">
        <v>119.8</v>
      </c>
      <c r="L139" s="3008">
        <f t="shared" si="9"/>
        <v>2.5</v>
      </c>
      <c r="M139" s="3007">
        <v>75</v>
      </c>
      <c r="N139" s="2994">
        <f t="shared" si="10"/>
        <v>8985</v>
      </c>
      <c r="O139" s="3006">
        <v>55</v>
      </c>
      <c r="P139" s="2994">
        <f t="shared" si="11"/>
        <v>6589</v>
      </c>
      <c r="Q139" s="3005">
        <v>43678</v>
      </c>
      <c r="R139" s="3005">
        <v>44490</v>
      </c>
      <c r="S139" s="3004" t="s">
        <v>3445</v>
      </c>
    </row>
    <row r="140" spans="2:19" ht="21" customHeight="1">
      <c r="B140" s="2998">
        <v>133</v>
      </c>
      <c r="C140" s="3014" t="s">
        <v>3298</v>
      </c>
      <c r="D140" s="3013" t="s">
        <v>3277</v>
      </c>
      <c r="E140" s="3012" t="s">
        <v>3456</v>
      </c>
      <c r="F140" s="3011" t="s">
        <v>3275</v>
      </c>
      <c r="G140" s="3030" t="s">
        <v>3455</v>
      </c>
      <c r="H140" s="3010" t="s">
        <v>3059</v>
      </c>
      <c r="I140" s="3010" t="s">
        <v>3292</v>
      </c>
      <c r="J140" s="3009"/>
      <c r="K140" s="3008">
        <v>214.81</v>
      </c>
      <c r="L140" s="3008">
        <f t="shared" si="9"/>
        <v>2.5</v>
      </c>
      <c r="M140" s="3007">
        <v>75</v>
      </c>
      <c r="N140" s="2994">
        <f t="shared" si="10"/>
        <v>16110.75</v>
      </c>
      <c r="O140" s="3006">
        <v>55</v>
      </c>
      <c r="P140" s="2994">
        <f t="shared" si="11"/>
        <v>11814.55</v>
      </c>
      <c r="Q140" s="3005">
        <v>43678</v>
      </c>
      <c r="R140" s="3005">
        <v>44490</v>
      </c>
      <c r="S140" s="3004" t="s">
        <v>3445</v>
      </c>
    </row>
    <row r="141" spans="2:19" ht="21" customHeight="1">
      <c r="B141" s="2998">
        <v>134</v>
      </c>
      <c r="C141" s="3014" t="s">
        <v>3298</v>
      </c>
      <c r="D141" s="3013" t="s">
        <v>3277</v>
      </c>
      <c r="E141" s="3012" t="s">
        <v>3454</v>
      </c>
      <c r="F141" s="3011" t="s">
        <v>3275</v>
      </c>
      <c r="G141" s="3011" t="s">
        <v>3453</v>
      </c>
      <c r="H141" s="3010" t="s">
        <v>3059</v>
      </c>
      <c r="I141" s="3010" t="s">
        <v>3292</v>
      </c>
      <c r="J141" s="3009"/>
      <c r="K141" s="3008">
        <v>247.13</v>
      </c>
      <c r="L141" s="3008">
        <f t="shared" si="9"/>
        <v>4.5999999999999996</v>
      </c>
      <c r="M141" s="3007">
        <v>140</v>
      </c>
      <c r="N141" s="2994">
        <f t="shared" si="10"/>
        <v>34598.199999999997</v>
      </c>
      <c r="O141" s="3006">
        <v>55</v>
      </c>
      <c r="P141" s="2994">
        <f t="shared" si="11"/>
        <v>13592.15</v>
      </c>
      <c r="Q141" s="3005">
        <v>43456</v>
      </c>
      <c r="R141" s="3005">
        <v>44490</v>
      </c>
      <c r="S141" s="3004" t="s">
        <v>3445</v>
      </c>
    </row>
    <row r="142" spans="2:19" ht="21" customHeight="1">
      <c r="B142" s="2998">
        <v>135</v>
      </c>
      <c r="C142" s="3014" t="s">
        <v>3298</v>
      </c>
      <c r="D142" s="3013" t="s">
        <v>3277</v>
      </c>
      <c r="E142" s="3012" t="s">
        <v>3452</v>
      </c>
      <c r="F142" s="3011" t="s">
        <v>3269</v>
      </c>
      <c r="G142" s="3011" t="s">
        <v>3451</v>
      </c>
      <c r="H142" s="3010" t="s">
        <v>3059</v>
      </c>
      <c r="I142" s="3010" t="s">
        <v>3292</v>
      </c>
      <c r="J142" s="3009"/>
      <c r="K142" s="3008">
        <v>43.09</v>
      </c>
      <c r="L142" s="3008">
        <f t="shared" si="9"/>
        <v>9.9</v>
      </c>
      <c r="M142" s="3007">
        <v>300</v>
      </c>
      <c r="N142" s="2994">
        <f t="shared" si="10"/>
        <v>12927.000000000002</v>
      </c>
      <c r="O142" s="3006">
        <v>55</v>
      </c>
      <c r="P142" s="2994">
        <f t="shared" si="11"/>
        <v>2369.9500000000003</v>
      </c>
      <c r="Q142" s="3005">
        <v>43456</v>
      </c>
      <c r="R142" s="3005">
        <v>44125</v>
      </c>
      <c r="S142" s="3004" t="s">
        <v>3450</v>
      </c>
    </row>
    <row r="143" spans="2:19" ht="21" customHeight="1">
      <c r="B143" s="2998">
        <v>136</v>
      </c>
      <c r="C143" s="3014" t="s">
        <v>3298</v>
      </c>
      <c r="D143" s="3013" t="s">
        <v>3277</v>
      </c>
      <c r="E143" s="3012" t="s">
        <v>3449</v>
      </c>
      <c r="F143" s="3011" t="s">
        <v>3275</v>
      </c>
      <c r="G143" s="3011" t="s">
        <v>3448</v>
      </c>
      <c r="H143" s="3010" t="s">
        <v>3059</v>
      </c>
      <c r="I143" s="3010" t="s">
        <v>3292</v>
      </c>
      <c r="J143" s="3009"/>
      <c r="K143" s="3008">
        <v>80.94</v>
      </c>
      <c r="L143" s="3008">
        <f t="shared" si="9"/>
        <v>5.3</v>
      </c>
      <c r="M143" s="3007">
        <v>160</v>
      </c>
      <c r="N143" s="2994">
        <f t="shared" si="10"/>
        <v>12950.4</v>
      </c>
      <c r="O143" s="3006">
        <v>55</v>
      </c>
      <c r="P143" s="2994">
        <f t="shared" si="11"/>
        <v>4451.7</v>
      </c>
      <c r="Q143" s="3005">
        <v>43456</v>
      </c>
      <c r="R143" s="3005">
        <v>44490</v>
      </c>
      <c r="S143" s="3004" t="s">
        <v>3445</v>
      </c>
    </row>
    <row r="144" spans="2:19" ht="21" customHeight="1">
      <c r="B144" s="2998">
        <v>137</v>
      </c>
      <c r="C144" s="3014" t="s">
        <v>3298</v>
      </c>
      <c r="D144" s="3013" t="s">
        <v>3277</v>
      </c>
      <c r="E144" s="3012" t="s">
        <v>3447</v>
      </c>
      <c r="F144" s="3011" t="s">
        <v>3275</v>
      </c>
      <c r="G144" s="3011" t="s">
        <v>3446</v>
      </c>
      <c r="H144" s="3010" t="s">
        <v>3059</v>
      </c>
      <c r="I144" s="3010" t="s">
        <v>3292</v>
      </c>
      <c r="J144" s="3009"/>
      <c r="K144" s="3008">
        <v>64.36</v>
      </c>
      <c r="L144" s="3008">
        <f t="shared" si="9"/>
        <v>5.4</v>
      </c>
      <c r="M144" s="3007">
        <v>165</v>
      </c>
      <c r="N144" s="2994">
        <f t="shared" si="10"/>
        <v>10619.4</v>
      </c>
      <c r="O144" s="3006">
        <v>55</v>
      </c>
      <c r="P144" s="2994">
        <f t="shared" si="11"/>
        <v>3539.8</v>
      </c>
      <c r="Q144" s="3005">
        <v>43456</v>
      </c>
      <c r="R144" s="3005">
        <v>44490</v>
      </c>
      <c r="S144" s="3004" t="s">
        <v>3445</v>
      </c>
    </row>
    <row r="145" spans="2:19" ht="21" customHeight="1">
      <c r="B145" s="2998">
        <v>138</v>
      </c>
      <c r="C145" s="3014" t="s">
        <v>3441</v>
      </c>
      <c r="D145" s="3013" t="s">
        <v>3277</v>
      </c>
      <c r="E145" s="3012" t="s">
        <v>3444</v>
      </c>
      <c r="F145" s="3014" t="s">
        <v>3439</v>
      </c>
      <c r="G145" s="3011" t="s">
        <v>3443</v>
      </c>
      <c r="H145" s="3010" t="s">
        <v>3059</v>
      </c>
      <c r="I145" s="3010" t="s">
        <v>3292</v>
      </c>
      <c r="J145" s="3009"/>
      <c r="K145" s="3008">
        <v>2539.0300000000002</v>
      </c>
      <c r="L145" s="3008">
        <f t="shared" si="9"/>
        <v>1.8</v>
      </c>
      <c r="M145" s="3007">
        <v>56</v>
      </c>
      <c r="N145" s="2994">
        <f t="shared" si="10"/>
        <v>142185.68000000002</v>
      </c>
      <c r="O145" s="3006">
        <v>18</v>
      </c>
      <c r="P145" s="2994">
        <f t="shared" si="11"/>
        <v>45702.54</v>
      </c>
      <c r="Q145" s="3005">
        <v>43456</v>
      </c>
      <c r="R145" s="3005">
        <v>47108</v>
      </c>
      <c r="S145" s="3004" t="s">
        <v>3442</v>
      </c>
    </row>
    <row r="146" spans="2:19" s="3016" customFormat="1" ht="21" customHeight="1">
      <c r="B146" s="3029"/>
      <c r="C146" s="3028"/>
      <c r="D146" s="3027"/>
      <c r="E146" s="3026"/>
      <c r="F146" s="3028"/>
      <c r="G146" s="3025"/>
      <c r="H146" s="3024"/>
      <c r="I146" s="3024"/>
      <c r="J146" s="3023"/>
      <c r="K146" s="3022"/>
      <c r="L146" s="3022">
        <f>AVERAGE(L103:L145)</f>
        <v>4.3883720930232553</v>
      </c>
      <c r="M146" s="3021"/>
      <c r="N146" s="3019">
        <f>ROUND(SUM(N103:N145)*12,2)</f>
        <v>11616381.48</v>
      </c>
      <c r="O146" s="3020"/>
      <c r="P146" s="3019">
        <f>SUM(P103:P145)*12</f>
        <v>4702580.6400000006</v>
      </c>
      <c r="Q146" s="3018"/>
      <c r="R146" s="3018"/>
      <c r="S146" s="3017"/>
    </row>
    <row r="147" spans="2:19" ht="21" customHeight="1">
      <c r="B147" s="2998">
        <v>139</v>
      </c>
      <c r="C147" s="3014" t="s">
        <v>3441</v>
      </c>
      <c r="D147" s="3013" t="s">
        <v>3274</v>
      </c>
      <c r="E147" s="3012" t="s">
        <v>3440</v>
      </c>
      <c r="F147" s="3014" t="s">
        <v>3439</v>
      </c>
      <c r="G147" s="3011" t="s">
        <v>3438</v>
      </c>
      <c r="H147" s="3010" t="s">
        <v>3071</v>
      </c>
      <c r="I147" s="3010" t="s">
        <v>3291</v>
      </c>
      <c r="J147" s="3009">
        <v>0.11</v>
      </c>
      <c r="K147" s="3008">
        <v>5641.5</v>
      </c>
      <c r="L147" s="3008">
        <f t="shared" ref="L147:L182" si="12">ROUND(N147*12/K147/365,1)</f>
        <v>0.7</v>
      </c>
      <c r="M147" s="3007">
        <v>20.54</v>
      </c>
      <c r="N147" s="2994">
        <f t="shared" ref="N147:N182" si="13">IFERROR(M147*K147,"")</f>
        <v>115876.40999999999</v>
      </c>
      <c r="O147" s="3006">
        <v>9.81</v>
      </c>
      <c r="P147" s="2994">
        <f t="shared" ref="P147:P182" si="14">IFERROR(K147*O147,"-")</f>
        <v>55343.115000000005</v>
      </c>
      <c r="Q147" s="3005">
        <v>43456</v>
      </c>
      <c r="R147" s="3005">
        <v>48934</v>
      </c>
      <c r="S147" s="3004"/>
    </row>
    <row r="148" spans="2:19" ht="21" customHeight="1">
      <c r="B148" s="2998">
        <v>140</v>
      </c>
      <c r="C148" s="3014" t="s">
        <v>3298</v>
      </c>
      <c r="D148" s="3013" t="s">
        <v>3274</v>
      </c>
      <c r="E148" s="3012" t="s">
        <v>3437</v>
      </c>
      <c r="F148" s="3011" t="s">
        <v>3269</v>
      </c>
      <c r="G148" s="3011" t="s">
        <v>3436</v>
      </c>
      <c r="H148" s="3010" t="s">
        <v>3059</v>
      </c>
      <c r="I148" s="3010" t="s">
        <v>3292</v>
      </c>
      <c r="J148" s="3009"/>
      <c r="K148" s="3008">
        <v>220.41</v>
      </c>
      <c r="L148" s="3008">
        <f t="shared" si="12"/>
        <v>4.4000000000000004</v>
      </c>
      <c r="M148" s="3007">
        <v>135</v>
      </c>
      <c r="N148" s="2994">
        <f t="shared" si="13"/>
        <v>29755.35</v>
      </c>
      <c r="O148" s="3006">
        <v>55</v>
      </c>
      <c r="P148" s="2994">
        <f t="shared" si="14"/>
        <v>12122.55</v>
      </c>
      <c r="Q148" s="3005">
        <v>43456</v>
      </c>
      <c r="R148" s="3005">
        <v>45220</v>
      </c>
      <c r="S148" s="3004" t="s">
        <v>3371</v>
      </c>
    </row>
    <row r="149" spans="2:19" ht="21" customHeight="1">
      <c r="B149" s="2998">
        <v>141</v>
      </c>
      <c r="C149" s="3014" t="s">
        <v>3298</v>
      </c>
      <c r="D149" s="3013" t="s">
        <v>3274</v>
      </c>
      <c r="E149" s="3012" t="s">
        <v>3435</v>
      </c>
      <c r="F149" s="3011" t="s">
        <v>3269</v>
      </c>
      <c r="G149" s="3011" t="s">
        <v>3434</v>
      </c>
      <c r="H149" s="3010" t="s">
        <v>3059</v>
      </c>
      <c r="I149" s="3010" t="s">
        <v>3292</v>
      </c>
      <c r="J149" s="3009"/>
      <c r="K149" s="3008">
        <v>264.7</v>
      </c>
      <c r="L149" s="3008">
        <f t="shared" si="12"/>
        <v>3.8</v>
      </c>
      <c r="M149" s="3007">
        <v>115</v>
      </c>
      <c r="N149" s="2994">
        <f t="shared" si="13"/>
        <v>30440.5</v>
      </c>
      <c r="O149" s="3006">
        <v>55</v>
      </c>
      <c r="P149" s="2994">
        <f t="shared" si="14"/>
        <v>14558.5</v>
      </c>
      <c r="Q149" s="3005">
        <v>43647</v>
      </c>
      <c r="R149" s="3005">
        <v>45220</v>
      </c>
      <c r="S149" s="3004" t="s">
        <v>3371</v>
      </c>
    </row>
    <row r="150" spans="2:19" ht="21" customHeight="1">
      <c r="B150" s="2998">
        <v>142</v>
      </c>
      <c r="C150" s="3014" t="s">
        <v>3298</v>
      </c>
      <c r="D150" s="3013" t="s">
        <v>3274</v>
      </c>
      <c r="E150" s="3012" t="s">
        <v>3433</v>
      </c>
      <c r="F150" s="3011" t="s">
        <v>3269</v>
      </c>
      <c r="G150" s="3011" t="s">
        <v>3432</v>
      </c>
      <c r="H150" s="3010" t="s">
        <v>3059</v>
      </c>
      <c r="I150" s="3010" t="s">
        <v>3292</v>
      </c>
      <c r="J150" s="3009"/>
      <c r="K150" s="3008">
        <v>143.30000000000001</v>
      </c>
      <c r="L150" s="3008">
        <f t="shared" si="12"/>
        <v>4.3</v>
      </c>
      <c r="M150" s="3007">
        <v>130</v>
      </c>
      <c r="N150" s="2994">
        <f t="shared" si="13"/>
        <v>18629</v>
      </c>
      <c r="O150" s="3006">
        <v>55</v>
      </c>
      <c r="P150" s="2994">
        <f t="shared" si="14"/>
        <v>7881.5000000000009</v>
      </c>
      <c r="Q150" s="3005">
        <v>43456</v>
      </c>
      <c r="R150" s="3005">
        <v>45220</v>
      </c>
      <c r="S150" s="3004" t="s">
        <v>3371</v>
      </c>
    </row>
    <row r="151" spans="2:19" ht="21" customHeight="1">
      <c r="B151" s="2998">
        <v>143</v>
      </c>
      <c r="C151" s="3014" t="s">
        <v>3298</v>
      </c>
      <c r="D151" s="3013" t="s">
        <v>3274</v>
      </c>
      <c r="E151" s="3012" t="s">
        <v>3431</v>
      </c>
      <c r="F151" s="3011" t="s">
        <v>3269</v>
      </c>
      <c r="G151" s="3011" t="s">
        <v>3430</v>
      </c>
      <c r="H151" s="3010" t="s">
        <v>3059</v>
      </c>
      <c r="I151" s="3010" t="s">
        <v>3292</v>
      </c>
      <c r="J151" s="3009"/>
      <c r="K151" s="3008">
        <v>101.47</v>
      </c>
      <c r="L151" s="3008">
        <f t="shared" si="12"/>
        <v>4.5999999999999996</v>
      </c>
      <c r="M151" s="3007">
        <v>140</v>
      </c>
      <c r="N151" s="2994">
        <f t="shared" si="13"/>
        <v>14205.8</v>
      </c>
      <c r="O151" s="3006">
        <v>55</v>
      </c>
      <c r="P151" s="2994">
        <f t="shared" si="14"/>
        <v>5580.85</v>
      </c>
      <c r="Q151" s="3005">
        <v>43456</v>
      </c>
      <c r="R151" s="3005">
        <v>44490</v>
      </c>
      <c r="S151" s="3004" t="s">
        <v>3366</v>
      </c>
    </row>
    <row r="152" spans="2:19" ht="21" customHeight="1">
      <c r="B152" s="2998">
        <v>144</v>
      </c>
      <c r="C152" s="3014" t="s">
        <v>3298</v>
      </c>
      <c r="D152" s="3013" t="s">
        <v>3274</v>
      </c>
      <c r="E152" s="3012" t="s">
        <v>3429</v>
      </c>
      <c r="F152" s="3011" t="s">
        <v>3269</v>
      </c>
      <c r="G152" s="3011" t="s">
        <v>3428</v>
      </c>
      <c r="H152" s="3010" t="s">
        <v>3059</v>
      </c>
      <c r="I152" s="3010" t="s">
        <v>3292</v>
      </c>
      <c r="J152" s="3009"/>
      <c r="K152" s="3008">
        <v>97.95</v>
      </c>
      <c r="L152" s="3008">
        <f t="shared" si="12"/>
        <v>5.0999999999999996</v>
      </c>
      <c r="M152" s="3007">
        <v>155</v>
      </c>
      <c r="N152" s="2994">
        <f t="shared" si="13"/>
        <v>15182.25</v>
      </c>
      <c r="O152" s="3006">
        <v>55</v>
      </c>
      <c r="P152" s="2994">
        <f t="shared" si="14"/>
        <v>5387.25</v>
      </c>
      <c r="Q152" s="3005">
        <v>43456</v>
      </c>
      <c r="R152" s="3005">
        <v>44490</v>
      </c>
      <c r="S152" s="3004" t="s">
        <v>3366</v>
      </c>
    </row>
    <row r="153" spans="2:19" ht="21" customHeight="1">
      <c r="B153" s="2998">
        <v>145</v>
      </c>
      <c r="C153" s="3014" t="s">
        <v>3298</v>
      </c>
      <c r="D153" s="3013" t="s">
        <v>3274</v>
      </c>
      <c r="E153" s="3012" t="s">
        <v>3427</v>
      </c>
      <c r="F153" s="3011" t="s">
        <v>3269</v>
      </c>
      <c r="G153" s="3011" t="s">
        <v>3426</v>
      </c>
      <c r="H153" s="3010" t="s">
        <v>3059</v>
      </c>
      <c r="I153" s="3010" t="s">
        <v>3292</v>
      </c>
      <c r="J153" s="3009"/>
      <c r="K153" s="3008">
        <v>238.54</v>
      </c>
      <c r="L153" s="3008">
        <f t="shared" si="12"/>
        <v>3.6</v>
      </c>
      <c r="M153" s="3007">
        <v>110</v>
      </c>
      <c r="N153" s="2994">
        <f t="shared" si="13"/>
        <v>26239.399999999998</v>
      </c>
      <c r="O153" s="3006">
        <v>55</v>
      </c>
      <c r="P153" s="2994">
        <f t="shared" si="14"/>
        <v>13119.699999999999</v>
      </c>
      <c r="Q153" s="3005">
        <v>43456</v>
      </c>
      <c r="R153" s="3005">
        <v>45220</v>
      </c>
      <c r="S153" s="3004" t="s">
        <v>3371</v>
      </c>
    </row>
    <row r="154" spans="2:19" ht="21" customHeight="1">
      <c r="B154" s="2998">
        <v>146</v>
      </c>
      <c r="C154" s="3014" t="s">
        <v>3298</v>
      </c>
      <c r="D154" s="3013" t="s">
        <v>3274</v>
      </c>
      <c r="E154" s="3012" t="s">
        <v>3425</v>
      </c>
      <c r="F154" s="3011" t="s">
        <v>3269</v>
      </c>
      <c r="G154" s="3011" t="s">
        <v>3424</v>
      </c>
      <c r="H154" s="3010" t="s">
        <v>3059</v>
      </c>
      <c r="I154" s="3010" t="s">
        <v>3292</v>
      </c>
      <c r="J154" s="3009"/>
      <c r="K154" s="3008">
        <v>249.45</v>
      </c>
      <c r="L154" s="3008">
        <f t="shared" si="12"/>
        <v>3.6</v>
      </c>
      <c r="M154" s="3007">
        <v>110</v>
      </c>
      <c r="N154" s="2994">
        <f t="shared" si="13"/>
        <v>27439.5</v>
      </c>
      <c r="O154" s="3006">
        <v>55</v>
      </c>
      <c r="P154" s="2994">
        <f t="shared" si="14"/>
        <v>13719.75</v>
      </c>
      <c r="Q154" s="3005">
        <v>43456</v>
      </c>
      <c r="R154" s="3005">
        <v>45220</v>
      </c>
      <c r="S154" s="3004" t="s">
        <v>3371</v>
      </c>
    </row>
    <row r="155" spans="2:19" ht="21" customHeight="1">
      <c r="B155" s="2998">
        <v>147</v>
      </c>
      <c r="C155" s="3014" t="s">
        <v>3298</v>
      </c>
      <c r="D155" s="3013" t="s">
        <v>3274</v>
      </c>
      <c r="E155" s="3012" t="s">
        <v>3423</v>
      </c>
      <c r="F155" s="3011" t="s">
        <v>3269</v>
      </c>
      <c r="G155" s="3011" t="s">
        <v>3422</v>
      </c>
      <c r="H155" s="3010" t="s">
        <v>3059</v>
      </c>
      <c r="I155" s="3010" t="s">
        <v>3292</v>
      </c>
      <c r="J155" s="3009"/>
      <c r="K155" s="3008">
        <v>81.099999999999994</v>
      </c>
      <c r="L155" s="3008">
        <f t="shared" si="12"/>
        <v>4.8</v>
      </c>
      <c r="M155" s="3007">
        <v>145</v>
      </c>
      <c r="N155" s="2994">
        <f t="shared" si="13"/>
        <v>11759.5</v>
      </c>
      <c r="O155" s="3006">
        <v>55</v>
      </c>
      <c r="P155" s="2994">
        <f t="shared" si="14"/>
        <v>4460.5</v>
      </c>
      <c r="Q155" s="3005">
        <v>43593</v>
      </c>
      <c r="R155" s="3005">
        <v>44490</v>
      </c>
      <c r="S155" s="3004" t="s">
        <v>3366</v>
      </c>
    </row>
    <row r="156" spans="2:19" ht="21" customHeight="1">
      <c r="B156" s="2998">
        <v>148</v>
      </c>
      <c r="C156" s="3014" t="s">
        <v>3298</v>
      </c>
      <c r="D156" s="3013" t="s">
        <v>3274</v>
      </c>
      <c r="E156" s="3012" t="s">
        <v>3421</v>
      </c>
      <c r="F156" s="3011" t="s">
        <v>3269</v>
      </c>
      <c r="G156" s="3011" t="s">
        <v>3420</v>
      </c>
      <c r="H156" s="3010" t="s">
        <v>3059</v>
      </c>
      <c r="I156" s="3010" t="s">
        <v>3292</v>
      </c>
      <c r="J156" s="3009"/>
      <c r="K156" s="3008">
        <v>31.33</v>
      </c>
      <c r="L156" s="3008">
        <f t="shared" si="12"/>
        <v>8.9</v>
      </c>
      <c r="M156" s="3007">
        <v>270</v>
      </c>
      <c r="N156" s="2994">
        <f t="shared" si="13"/>
        <v>8459.1</v>
      </c>
      <c r="O156" s="3006">
        <v>55</v>
      </c>
      <c r="P156" s="2994">
        <f t="shared" si="14"/>
        <v>1723.1499999999999</v>
      </c>
      <c r="Q156" s="3005">
        <v>43456</v>
      </c>
      <c r="R156" s="3005">
        <v>44125</v>
      </c>
      <c r="S156" s="3004" t="s">
        <v>3366</v>
      </c>
    </row>
    <row r="157" spans="2:19" ht="21" customHeight="1">
      <c r="B157" s="2998">
        <v>149</v>
      </c>
      <c r="C157" s="3014" t="s">
        <v>3298</v>
      </c>
      <c r="D157" s="3013" t="s">
        <v>3274</v>
      </c>
      <c r="E157" s="3012" t="s">
        <v>3419</v>
      </c>
      <c r="F157" s="3011" t="s">
        <v>3269</v>
      </c>
      <c r="G157" s="3030" t="s">
        <v>3418</v>
      </c>
      <c r="H157" s="3010" t="s">
        <v>3059</v>
      </c>
      <c r="I157" s="3010" t="s">
        <v>3292</v>
      </c>
      <c r="J157" s="3009"/>
      <c r="K157" s="3008">
        <v>132.86000000000001</v>
      </c>
      <c r="L157" s="3008">
        <f t="shared" si="12"/>
        <v>4.8</v>
      </c>
      <c r="M157" s="3007">
        <v>145</v>
      </c>
      <c r="N157" s="2994">
        <f t="shared" si="13"/>
        <v>19264.7</v>
      </c>
      <c r="O157" s="3006">
        <v>55</v>
      </c>
      <c r="P157" s="2994">
        <f t="shared" si="14"/>
        <v>7307.3000000000011</v>
      </c>
      <c r="Q157" s="3005"/>
      <c r="R157" s="3005"/>
      <c r="S157" s="3004"/>
    </row>
    <row r="158" spans="2:19" ht="21" customHeight="1">
      <c r="B158" s="2998">
        <v>150</v>
      </c>
      <c r="C158" s="3014" t="s">
        <v>3298</v>
      </c>
      <c r="D158" s="3013" t="s">
        <v>3274</v>
      </c>
      <c r="E158" s="3012" t="s">
        <v>3417</v>
      </c>
      <c r="F158" s="3011" t="s">
        <v>3269</v>
      </c>
      <c r="G158" s="3011" t="s">
        <v>3416</v>
      </c>
      <c r="H158" s="3010" t="s">
        <v>3059</v>
      </c>
      <c r="I158" s="3010" t="s">
        <v>3292</v>
      </c>
      <c r="J158" s="3009"/>
      <c r="K158" s="3008">
        <v>92.93</v>
      </c>
      <c r="L158" s="3008">
        <f t="shared" si="12"/>
        <v>4.0999999999999996</v>
      </c>
      <c r="M158" s="3007">
        <v>125</v>
      </c>
      <c r="N158" s="2994">
        <f t="shared" si="13"/>
        <v>11616.25</v>
      </c>
      <c r="O158" s="3006">
        <v>55</v>
      </c>
      <c r="P158" s="2994">
        <f t="shared" si="14"/>
        <v>5111.1500000000005</v>
      </c>
      <c r="Q158" s="3005">
        <v>43456</v>
      </c>
      <c r="R158" s="3005">
        <v>44490</v>
      </c>
      <c r="S158" s="3004" t="s">
        <v>3366</v>
      </c>
    </row>
    <row r="159" spans="2:19" ht="21" customHeight="1">
      <c r="B159" s="2998">
        <v>151</v>
      </c>
      <c r="C159" s="3014" t="s">
        <v>3298</v>
      </c>
      <c r="D159" s="3013" t="s">
        <v>3274</v>
      </c>
      <c r="E159" s="3012" t="s">
        <v>3415</v>
      </c>
      <c r="F159" s="3011" t="s">
        <v>3269</v>
      </c>
      <c r="G159" s="3011" t="s">
        <v>3414</v>
      </c>
      <c r="H159" s="3010" t="s">
        <v>3059</v>
      </c>
      <c r="I159" s="3010" t="s">
        <v>3292</v>
      </c>
      <c r="J159" s="3009"/>
      <c r="K159" s="3008">
        <v>79.83</v>
      </c>
      <c r="L159" s="3008">
        <f t="shared" si="12"/>
        <v>5.4</v>
      </c>
      <c r="M159" s="3007">
        <v>165</v>
      </c>
      <c r="N159" s="2994">
        <f t="shared" si="13"/>
        <v>13171.949999999999</v>
      </c>
      <c r="O159" s="3006">
        <v>55</v>
      </c>
      <c r="P159" s="2994">
        <f t="shared" si="14"/>
        <v>4390.6499999999996</v>
      </c>
      <c r="Q159" s="3005">
        <v>43456</v>
      </c>
      <c r="R159" s="3005">
        <v>44125</v>
      </c>
      <c r="S159" s="3004" t="s">
        <v>3366</v>
      </c>
    </row>
    <row r="160" spans="2:19" ht="21" customHeight="1">
      <c r="B160" s="2998">
        <v>152</v>
      </c>
      <c r="C160" s="3014" t="s">
        <v>3298</v>
      </c>
      <c r="D160" s="3013" t="s">
        <v>3274</v>
      </c>
      <c r="E160" s="3012" t="s">
        <v>3413</v>
      </c>
      <c r="F160" s="3011" t="s">
        <v>3269</v>
      </c>
      <c r="G160" s="3011" t="s">
        <v>3412</v>
      </c>
      <c r="H160" s="3010" t="s">
        <v>3059</v>
      </c>
      <c r="I160" s="3010" t="s">
        <v>3292</v>
      </c>
      <c r="J160" s="3009"/>
      <c r="K160" s="3008">
        <v>283.89</v>
      </c>
      <c r="L160" s="3008">
        <f t="shared" si="12"/>
        <v>3.6</v>
      </c>
      <c r="M160" s="3007">
        <v>110</v>
      </c>
      <c r="N160" s="2994">
        <f t="shared" si="13"/>
        <v>31227.899999999998</v>
      </c>
      <c r="O160" s="3006">
        <v>55</v>
      </c>
      <c r="P160" s="2994">
        <f t="shared" si="14"/>
        <v>15613.949999999999</v>
      </c>
      <c r="Q160" s="3005">
        <v>43456</v>
      </c>
      <c r="R160" s="3005">
        <v>45220</v>
      </c>
      <c r="S160" s="3004" t="s">
        <v>3371</v>
      </c>
    </row>
    <row r="161" spans="2:19" ht="21" customHeight="1">
      <c r="B161" s="2998">
        <v>153</v>
      </c>
      <c r="C161" s="3014" t="s">
        <v>3298</v>
      </c>
      <c r="D161" s="3013" t="s">
        <v>3274</v>
      </c>
      <c r="E161" s="3012" t="s">
        <v>3411</v>
      </c>
      <c r="F161" s="3011" t="s">
        <v>3269</v>
      </c>
      <c r="G161" s="3011" t="s">
        <v>3410</v>
      </c>
      <c r="H161" s="3010" t="s">
        <v>3059</v>
      </c>
      <c r="I161" s="3010" t="s">
        <v>3292</v>
      </c>
      <c r="J161" s="3009"/>
      <c r="K161" s="3008">
        <v>308.39</v>
      </c>
      <c r="L161" s="3008">
        <f t="shared" si="12"/>
        <v>3.5</v>
      </c>
      <c r="M161" s="3007">
        <v>105</v>
      </c>
      <c r="N161" s="2994">
        <f t="shared" si="13"/>
        <v>32380.949999999997</v>
      </c>
      <c r="O161" s="3006">
        <v>55</v>
      </c>
      <c r="P161" s="2994">
        <f t="shared" si="14"/>
        <v>16961.45</v>
      </c>
      <c r="Q161" s="3005">
        <v>43456</v>
      </c>
      <c r="R161" s="3005">
        <v>45220</v>
      </c>
      <c r="S161" s="3004" t="s">
        <v>3371</v>
      </c>
    </row>
    <row r="162" spans="2:19" ht="21" customHeight="1">
      <c r="B162" s="2998">
        <v>154</v>
      </c>
      <c r="C162" s="3014" t="s">
        <v>3298</v>
      </c>
      <c r="D162" s="3013" t="s">
        <v>3274</v>
      </c>
      <c r="E162" s="3012" t="s">
        <v>3409</v>
      </c>
      <c r="F162" s="3011" t="s">
        <v>3269</v>
      </c>
      <c r="G162" s="3011" t="s">
        <v>3408</v>
      </c>
      <c r="H162" s="3010" t="s">
        <v>3059</v>
      </c>
      <c r="I162" s="3010" t="s">
        <v>3292</v>
      </c>
      <c r="J162" s="3009"/>
      <c r="K162" s="3008">
        <v>369.94</v>
      </c>
      <c r="L162" s="3008">
        <f t="shared" si="12"/>
        <v>4.8</v>
      </c>
      <c r="M162" s="3007">
        <v>145</v>
      </c>
      <c r="N162" s="2994">
        <f t="shared" si="13"/>
        <v>53641.3</v>
      </c>
      <c r="O162" s="3006">
        <v>55</v>
      </c>
      <c r="P162" s="2994">
        <f t="shared" si="14"/>
        <v>20346.7</v>
      </c>
      <c r="Q162" s="3005">
        <v>43456</v>
      </c>
      <c r="R162" s="3005">
        <v>45220</v>
      </c>
      <c r="S162" s="3004" t="s">
        <v>3371</v>
      </c>
    </row>
    <row r="163" spans="2:19" ht="21" customHeight="1">
      <c r="B163" s="2998">
        <v>155</v>
      </c>
      <c r="C163" s="3014" t="s">
        <v>3298</v>
      </c>
      <c r="D163" s="3013" t="s">
        <v>3274</v>
      </c>
      <c r="E163" s="3012" t="s">
        <v>3407</v>
      </c>
      <c r="F163" s="3011" t="s">
        <v>3269</v>
      </c>
      <c r="G163" s="3030" t="s">
        <v>3406</v>
      </c>
      <c r="H163" s="3010" t="s">
        <v>3059</v>
      </c>
      <c r="I163" s="3010" t="s">
        <v>3292</v>
      </c>
      <c r="J163" s="3009"/>
      <c r="K163" s="3008">
        <v>135.84</v>
      </c>
      <c r="L163" s="3008">
        <f t="shared" si="12"/>
        <v>3.6</v>
      </c>
      <c r="M163" s="3007">
        <v>110</v>
      </c>
      <c r="N163" s="2994">
        <f t="shared" si="13"/>
        <v>14942.4</v>
      </c>
      <c r="O163" s="3006">
        <v>55</v>
      </c>
      <c r="P163" s="2994">
        <f t="shared" si="14"/>
        <v>7471.2</v>
      </c>
      <c r="Q163" s="3005">
        <v>43739</v>
      </c>
      <c r="R163" s="3005">
        <v>44834</v>
      </c>
      <c r="S163" s="3004" t="s">
        <v>3366</v>
      </c>
    </row>
    <row r="164" spans="2:19" ht="21" customHeight="1">
      <c r="B164" s="2998">
        <v>156</v>
      </c>
      <c r="C164" s="3014" t="s">
        <v>3298</v>
      </c>
      <c r="D164" s="3013" t="s">
        <v>3274</v>
      </c>
      <c r="E164" s="3012" t="s">
        <v>3405</v>
      </c>
      <c r="F164" s="3011" t="s">
        <v>3269</v>
      </c>
      <c r="G164" s="3030" t="s">
        <v>3404</v>
      </c>
      <c r="H164" s="3010" t="s">
        <v>3059</v>
      </c>
      <c r="I164" s="3010" t="s">
        <v>3292</v>
      </c>
      <c r="J164" s="3009"/>
      <c r="K164" s="3008">
        <v>100.86</v>
      </c>
      <c r="L164" s="3008">
        <f t="shared" si="12"/>
        <v>4.8</v>
      </c>
      <c r="M164" s="3007">
        <v>145</v>
      </c>
      <c r="N164" s="2994">
        <f t="shared" si="13"/>
        <v>14624.7</v>
      </c>
      <c r="O164" s="3006">
        <v>55</v>
      </c>
      <c r="P164" s="2994">
        <f t="shared" si="14"/>
        <v>5547.3</v>
      </c>
      <c r="Q164" s="3005">
        <v>43800</v>
      </c>
      <c r="R164" s="3005">
        <v>44895</v>
      </c>
      <c r="S164" s="3004" t="s">
        <v>3366</v>
      </c>
    </row>
    <row r="165" spans="2:19" ht="21" customHeight="1">
      <c r="B165" s="2998">
        <v>157</v>
      </c>
      <c r="C165" s="3014" t="s">
        <v>3298</v>
      </c>
      <c r="D165" s="3013" t="s">
        <v>3274</v>
      </c>
      <c r="E165" s="3012" t="s">
        <v>3403</v>
      </c>
      <c r="F165" s="3011" t="s">
        <v>3269</v>
      </c>
      <c r="G165" s="3011" t="s">
        <v>3402</v>
      </c>
      <c r="H165" s="3010" t="s">
        <v>3059</v>
      </c>
      <c r="I165" s="3010" t="s">
        <v>3292</v>
      </c>
      <c r="J165" s="3009"/>
      <c r="K165" s="3008">
        <v>329.53</v>
      </c>
      <c r="L165" s="3008">
        <f t="shared" si="12"/>
        <v>3.6</v>
      </c>
      <c r="M165" s="3007">
        <v>110</v>
      </c>
      <c r="N165" s="2994">
        <f t="shared" si="13"/>
        <v>36248.299999999996</v>
      </c>
      <c r="O165" s="3006">
        <v>55</v>
      </c>
      <c r="P165" s="2994">
        <f t="shared" si="14"/>
        <v>18124.149999999998</v>
      </c>
      <c r="Q165" s="3005">
        <v>43456</v>
      </c>
      <c r="R165" s="3005">
        <v>45220</v>
      </c>
      <c r="S165" s="3004" t="s">
        <v>3371</v>
      </c>
    </row>
    <row r="166" spans="2:19" ht="21" customHeight="1">
      <c r="B166" s="2998">
        <v>158</v>
      </c>
      <c r="C166" s="3014" t="s">
        <v>3298</v>
      </c>
      <c r="D166" s="3013" t="s">
        <v>3274</v>
      </c>
      <c r="E166" s="3012" t="s">
        <v>3401</v>
      </c>
      <c r="F166" s="3011" t="s">
        <v>3269</v>
      </c>
      <c r="G166" s="3011" t="s">
        <v>3400</v>
      </c>
      <c r="H166" s="3010" t="s">
        <v>3059</v>
      </c>
      <c r="I166" s="3010" t="s">
        <v>3292</v>
      </c>
      <c r="J166" s="3009"/>
      <c r="K166" s="3008">
        <v>228.62</v>
      </c>
      <c r="L166" s="3008">
        <f t="shared" si="12"/>
        <v>4.0999999999999996</v>
      </c>
      <c r="M166" s="3007">
        <v>125</v>
      </c>
      <c r="N166" s="2994">
        <f t="shared" si="13"/>
        <v>28577.5</v>
      </c>
      <c r="O166" s="3006">
        <v>55</v>
      </c>
      <c r="P166" s="2994">
        <f t="shared" si="14"/>
        <v>12574.1</v>
      </c>
      <c r="Q166" s="3005">
        <v>43456</v>
      </c>
      <c r="R166" s="3005">
        <v>45220</v>
      </c>
      <c r="S166" s="3004" t="s">
        <v>3371</v>
      </c>
    </row>
    <row r="167" spans="2:19" ht="21" customHeight="1">
      <c r="B167" s="2998">
        <v>159</v>
      </c>
      <c r="C167" s="3014" t="s">
        <v>3298</v>
      </c>
      <c r="D167" s="3013" t="s">
        <v>3274</v>
      </c>
      <c r="E167" s="3012" t="s">
        <v>3399</v>
      </c>
      <c r="F167" s="3011" t="s">
        <v>3269</v>
      </c>
      <c r="G167" s="3011" t="s">
        <v>3398</v>
      </c>
      <c r="H167" s="3010" t="s">
        <v>3059</v>
      </c>
      <c r="I167" s="3010" t="s">
        <v>3292</v>
      </c>
      <c r="J167" s="3009"/>
      <c r="K167" s="3008">
        <v>73.22</v>
      </c>
      <c r="L167" s="3008">
        <f t="shared" si="12"/>
        <v>6.2</v>
      </c>
      <c r="M167" s="3007">
        <v>190</v>
      </c>
      <c r="N167" s="2994">
        <f t="shared" si="13"/>
        <v>13911.8</v>
      </c>
      <c r="O167" s="3006">
        <v>55</v>
      </c>
      <c r="P167" s="2994">
        <f t="shared" si="14"/>
        <v>4027.1</v>
      </c>
      <c r="Q167" s="3005">
        <v>43456</v>
      </c>
      <c r="R167" s="3005">
        <v>44490</v>
      </c>
      <c r="S167" s="3004" t="s">
        <v>3366</v>
      </c>
    </row>
    <row r="168" spans="2:19" ht="21" customHeight="1">
      <c r="B168" s="2998">
        <v>160</v>
      </c>
      <c r="C168" s="3014" t="s">
        <v>3298</v>
      </c>
      <c r="D168" s="3013" t="s">
        <v>3274</v>
      </c>
      <c r="E168" s="3012" t="s">
        <v>3397</v>
      </c>
      <c r="F168" s="3011" t="s">
        <v>3269</v>
      </c>
      <c r="G168" s="3011" t="s">
        <v>3396</v>
      </c>
      <c r="H168" s="3010" t="s">
        <v>3059</v>
      </c>
      <c r="I168" s="3010" t="s">
        <v>3292</v>
      </c>
      <c r="J168" s="3009"/>
      <c r="K168" s="3008">
        <v>86.93</v>
      </c>
      <c r="L168" s="3008">
        <f t="shared" si="12"/>
        <v>5.0999999999999996</v>
      </c>
      <c r="M168" s="3007">
        <v>155</v>
      </c>
      <c r="N168" s="2994">
        <f t="shared" si="13"/>
        <v>13474.150000000001</v>
      </c>
      <c r="O168" s="3006">
        <v>55</v>
      </c>
      <c r="P168" s="2994">
        <f t="shared" si="14"/>
        <v>4781.1500000000005</v>
      </c>
      <c r="Q168" s="3005">
        <v>43456</v>
      </c>
      <c r="R168" s="3005">
        <v>44490</v>
      </c>
      <c r="S168" s="3004" t="s">
        <v>3366</v>
      </c>
    </row>
    <row r="169" spans="2:19" ht="21" customHeight="1">
      <c r="B169" s="2998">
        <v>161</v>
      </c>
      <c r="C169" s="3014" t="s">
        <v>3298</v>
      </c>
      <c r="D169" s="3013" t="s">
        <v>3274</v>
      </c>
      <c r="E169" s="3012" t="s">
        <v>3395</v>
      </c>
      <c r="F169" s="3011" t="s">
        <v>3269</v>
      </c>
      <c r="G169" s="3011" t="s">
        <v>3394</v>
      </c>
      <c r="H169" s="3010" t="s">
        <v>3059</v>
      </c>
      <c r="I169" s="3010" t="s">
        <v>3292</v>
      </c>
      <c r="J169" s="3009"/>
      <c r="K169" s="3008">
        <v>98.61</v>
      </c>
      <c r="L169" s="3008">
        <f t="shared" si="12"/>
        <v>4.8</v>
      </c>
      <c r="M169" s="3007">
        <v>145</v>
      </c>
      <c r="N169" s="2994">
        <f t="shared" si="13"/>
        <v>14298.45</v>
      </c>
      <c r="O169" s="3006">
        <v>55</v>
      </c>
      <c r="P169" s="2994">
        <f t="shared" si="14"/>
        <v>5423.55</v>
      </c>
      <c r="Q169" s="3005">
        <v>43456</v>
      </c>
      <c r="R169" s="3005">
        <v>44490</v>
      </c>
      <c r="S169" s="3004" t="s">
        <v>3366</v>
      </c>
    </row>
    <row r="170" spans="2:19" ht="21" customHeight="1">
      <c r="B170" s="2998">
        <v>162</v>
      </c>
      <c r="C170" s="3014" t="s">
        <v>3298</v>
      </c>
      <c r="D170" s="3013" t="s">
        <v>3274</v>
      </c>
      <c r="E170" s="3012" t="s">
        <v>3393</v>
      </c>
      <c r="F170" s="3011" t="s">
        <v>3269</v>
      </c>
      <c r="G170" s="3011" t="s">
        <v>3392</v>
      </c>
      <c r="H170" s="3010" t="s">
        <v>3059</v>
      </c>
      <c r="I170" s="3010" t="s">
        <v>3292</v>
      </c>
      <c r="J170" s="3009"/>
      <c r="K170" s="3008">
        <v>286.98</v>
      </c>
      <c r="L170" s="3008">
        <f t="shared" si="12"/>
        <v>3.6</v>
      </c>
      <c r="M170" s="3007">
        <v>110</v>
      </c>
      <c r="N170" s="2994">
        <f t="shared" si="13"/>
        <v>31567.800000000003</v>
      </c>
      <c r="O170" s="3006">
        <v>55</v>
      </c>
      <c r="P170" s="2994">
        <f t="shared" si="14"/>
        <v>15783.900000000001</v>
      </c>
      <c r="Q170" s="3005">
        <v>43456</v>
      </c>
      <c r="R170" s="3005">
        <v>45220</v>
      </c>
      <c r="S170" s="3004" t="s">
        <v>3371</v>
      </c>
    </row>
    <row r="171" spans="2:19" ht="21" customHeight="1">
      <c r="B171" s="2998">
        <v>163</v>
      </c>
      <c r="C171" s="3014" t="s">
        <v>3298</v>
      </c>
      <c r="D171" s="3013" t="s">
        <v>3274</v>
      </c>
      <c r="E171" s="3012" t="s">
        <v>3391</v>
      </c>
      <c r="F171" s="3011" t="s">
        <v>3269</v>
      </c>
      <c r="G171" s="3011" t="s">
        <v>3390</v>
      </c>
      <c r="H171" s="3010" t="s">
        <v>3059</v>
      </c>
      <c r="I171" s="3010" t="s">
        <v>3292</v>
      </c>
      <c r="J171" s="3009"/>
      <c r="K171" s="3008">
        <v>59.92</v>
      </c>
      <c r="L171" s="3008">
        <f t="shared" si="12"/>
        <v>7.6</v>
      </c>
      <c r="M171" s="3007">
        <v>230</v>
      </c>
      <c r="N171" s="2994">
        <f t="shared" si="13"/>
        <v>13781.6</v>
      </c>
      <c r="O171" s="3006">
        <v>55</v>
      </c>
      <c r="P171" s="2994">
        <f t="shared" si="14"/>
        <v>3295.6</v>
      </c>
      <c r="Q171" s="3005">
        <v>43456</v>
      </c>
      <c r="R171" s="3005">
        <v>44125</v>
      </c>
      <c r="S171" s="3004" t="s">
        <v>3366</v>
      </c>
    </row>
    <row r="172" spans="2:19" ht="21" customHeight="1">
      <c r="B172" s="2998">
        <v>164</v>
      </c>
      <c r="C172" s="3014" t="s">
        <v>3298</v>
      </c>
      <c r="D172" s="3013" t="s">
        <v>3274</v>
      </c>
      <c r="E172" s="3012" t="s">
        <v>3389</v>
      </c>
      <c r="F172" s="3011" t="s">
        <v>3269</v>
      </c>
      <c r="G172" s="3011" t="s">
        <v>3388</v>
      </c>
      <c r="H172" s="3010" t="s">
        <v>3059</v>
      </c>
      <c r="I172" s="3010" t="s">
        <v>3292</v>
      </c>
      <c r="J172" s="3009"/>
      <c r="K172" s="3008">
        <v>227.61</v>
      </c>
      <c r="L172" s="3008">
        <f t="shared" si="12"/>
        <v>4.0999999999999996</v>
      </c>
      <c r="M172" s="3007">
        <v>125</v>
      </c>
      <c r="N172" s="2994">
        <f t="shared" si="13"/>
        <v>28451.25</v>
      </c>
      <c r="O172" s="3006">
        <v>55</v>
      </c>
      <c r="P172" s="2994">
        <f t="shared" si="14"/>
        <v>12518.550000000001</v>
      </c>
      <c r="Q172" s="3005">
        <v>43456</v>
      </c>
      <c r="R172" s="3005">
        <v>45220</v>
      </c>
      <c r="S172" s="3004" t="s">
        <v>3371</v>
      </c>
    </row>
    <row r="173" spans="2:19" ht="21" customHeight="1">
      <c r="B173" s="2998">
        <v>165</v>
      </c>
      <c r="C173" s="3014" t="s">
        <v>3298</v>
      </c>
      <c r="D173" s="3013" t="s">
        <v>3274</v>
      </c>
      <c r="E173" s="3012" t="s">
        <v>3387</v>
      </c>
      <c r="F173" s="3011" t="s">
        <v>3269</v>
      </c>
      <c r="G173" s="3011" t="s">
        <v>3386</v>
      </c>
      <c r="H173" s="3010" t="s">
        <v>3059</v>
      </c>
      <c r="I173" s="3010" t="s">
        <v>3292</v>
      </c>
      <c r="J173" s="3009"/>
      <c r="K173" s="3008">
        <v>276.72000000000003</v>
      </c>
      <c r="L173" s="3008">
        <f t="shared" si="12"/>
        <v>4.3</v>
      </c>
      <c r="M173" s="3007">
        <v>130</v>
      </c>
      <c r="N173" s="2994">
        <f t="shared" si="13"/>
        <v>35973.600000000006</v>
      </c>
      <c r="O173" s="3006">
        <v>55</v>
      </c>
      <c r="P173" s="2994">
        <f t="shared" si="14"/>
        <v>15219.600000000002</v>
      </c>
      <c r="Q173" s="3005">
        <v>43456</v>
      </c>
      <c r="R173" s="3005">
        <v>45220</v>
      </c>
      <c r="S173" s="3004" t="s">
        <v>3371</v>
      </c>
    </row>
    <row r="174" spans="2:19" ht="21" customHeight="1">
      <c r="B174" s="2998">
        <v>166</v>
      </c>
      <c r="C174" s="3014" t="s">
        <v>3298</v>
      </c>
      <c r="D174" s="3013" t="s">
        <v>3274</v>
      </c>
      <c r="E174" s="3012" t="s">
        <v>3385</v>
      </c>
      <c r="F174" s="3011" t="s">
        <v>3269</v>
      </c>
      <c r="G174" s="3011" t="s">
        <v>3384</v>
      </c>
      <c r="H174" s="3010" t="s">
        <v>3059</v>
      </c>
      <c r="I174" s="3010" t="s">
        <v>3292</v>
      </c>
      <c r="J174" s="3009"/>
      <c r="K174" s="3008">
        <v>159.91</v>
      </c>
      <c r="L174" s="3008">
        <f t="shared" si="12"/>
        <v>4.3</v>
      </c>
      <c r="M174" s="3007">
        <v>130</v>
      </c>
      <c r="N174" s="2994">
        <f t="shared" si="13"/>
        <v>20788.3</v>
      </c>
      <c r="O174" s="3006">
        <v>55</v>
      </c>
      <c r="P174" s="2994">
        <f t="shared" si="14"/>
        <v>8795.0499999999993</v>
      </c>
      <c r="Q174" s="3005">
        <v>43456</v>
      </c>
      <c r="R174" s="3005">
        <v>45220</v>
      </c>
      <c r="S174" s="3004" t="s">
        <v>3371</v>
      </c>
    </row>
    <row r="175" spans="2:19" ht="21" customHeight="1">
      <c r="B175" s="2998">
        <v>167</v>
      </c>
      <c r="C175" s="3014" t="s">
        <v>3298</v>
      </c>
      <c r="D175" s="3013" t="s">
        <v>3274</v>
      </c>
      <c r="E175" s="3012" t="s">
        <v>3383</v>
      </c>
      <c r="F175" s="3011" t="s">
        <v>3269</v>
      </c>
      <c r="G175" s="3030" t="s">
        <v>3382</v>
      </c>
      <c r="H175" s="3010" t="s">
        <v>3059</v>
      </c>
      <c r="I175" s="3010" t="s">
        <v>3292</v>
      </c>
      <c r="J175" s="3009"/>
      <c r="K175" s="3008">
        <v>89.96</v>
      </c>
      <c r="L175" s="3008">
        <f t="shared" si="12"/>
        <v>5.0999999999999996</v>
      </c>
      <c r="M175" s="3007">
        <v>155</v>
      </c>
      <c r="N175" s="2994">
        <f t="shared" si="13"/>
        <v>13943.8</v>
      </c>
      <c r="O175" s="3006">
        <v>55</v>
      </c>
      <c r="P175" s="2994">
        <f t="shared" si="14"/>
        <v>4947.7999999999993</v>
      </c>
      <c r="Q175" s="3005">
        <v>43753</v>
      </c>
      <c r="R175" s="3005">
        <v>44848</v>
      </c>
      <c r="S175" s="3004" t="s">
        <v>3366</v>
      </c>
    </row>
    <row r="176" spans="2:19" ht="21" customHeight="1">
      <c r="B176" s="2998">
        <v>168</v>
      </c>
      <c r="C176" s="3014" t="s">
        <v>3298</v>
      </c>
      <c r="D176" s="3013" t="s">
        <v>3274</v>
      </c>
      <c r="E176" s="3012" t="s">
        <v>3381</v>
      </c>
      <c r="F176" s="3011" t="s">
        <v>3269</v>
      </c>
      <c r="G176" s="3030" t="s">
        <v>3380</v>
      </c>
      <c r="H176" s="3010" t="s">
        <v>3059</v>
      </c>
      <c r="I176" s="3010" t="s">
        <v>3292</v>
      </c>
      <c r="J176" s="3009"/>
      <c r="K176" s="3008">
        <v>80.59</v>
      </c>
      <c r="L176" s="3008">
        <f t="shared" si="12"/>
        <v>5.3</v>
      </c>
      <c r="M176" s="3007">
        <v>160</v>
      </c>
      <c r="N176" s="2994">
        <f t="shared" si="13"/>
        <v>12894.400000000001</v>
      </c>
      <c r="O176" s="3006">
        <v>55</v>
      </c>
      <c r="P176" s="2994">
        <f t="shared" si="14"/>
        <v>4432.45</v>
      </c>
      <c r="Q176" s="3005">
        <v>43770</v>
      </c>
      <c r="R176" s="3005">
        <v>44865</v>
      </c>
      <c r="S176" s="3004" t="s">
        <v>3366</v>
      </c>
    </row>
    <row r="177" spans="2:19" ht="21" customHeight="1">
      <c r="B177" s="2998">
        <v>169</v>
      </c>
      <c r="C177" s="3014" t="s">
        <v>3298</v>
      </c>
      <c r="D177" s="3013" t="s">
        <v>3274</v>
      </c>
      <c r="E177" s="3012" t="s">
        <v>3379</v>
      </c>
      <c r="F177" s="3011" t="s">
        <v>3269</v>
      </c>
      <c r="G177" s="3011" t="s">
        <v>3378</v>
      </c>
      <c r="H177" s="3010" t="s">
        <v>3059</v>
      </c>
      <c r="I177" s="3010" t="s">
        <v>3292</v>
      </c>
      <c r="J177" s="3009"/>
      <c r="K177" s="3008">
        <v>144.19</v>
      </c>
      <c r="L177" s="3008">
        <f t="shared" si="12"/>
        <v>4.4000000000000004</v>
      </c>
      <c r="M177" s="3007">
        <v>135</v>
      </c>
      <c r="N177" s="2994">
        <f t="shared" si="13"/>
        <v>19465.650000000001</v>
      </c>
      <c r="O177" s="3006">
        <v>55</v>
      </c>
      <c r="P177" s="2994">
        <f t="shared" si="14"/>
        <v>7930.45</v>
      </c>
      <c r="Q177" s="3005">
        <v>43456</v>
      </c>
      <c r="R177" s="3005">
        <v>44490</v>
      </c>
      <c r="S177" s="3004" t="s">
        <v>3366</v>
      </c>
    </row>
    <row r="178" spans="2:19" ht="21" customHeight="1">
      <c r="B178" s="2998">
        <v>170</v>
      </c>
      <c r="C178" s="3014" t="s">
        <v>3298</v>
      </c>
      <c r="D178" s="3013" t="s">
        <v>3274</v>
      </c>
      <c r="E178" s="3012" t="s">
        <v>3377</v>
      </c>
      <c r="F178" s="3011" t="s">
        <v>3269</v>
      </c>
      <c r="G178" s="3011" t="s">
        <v>3376</v>
      </c>
      <c r="H178" s="3010" t="s">
        <v>3059</v>
      </c>
      <c r="I178" s="3010" t="s">
        <v>3292</v>
      </c>
      <c r="J178" s="3009"/>
      <c r="K178" s="3008">
        <v>274.41000000000003</v>
      </c>
      <c r="L178" s="3008">
        <f t="shared" si="12"/>
        <v>3.8</v>
      </c>
      <c r="M178" s="3007">
        <v>115</v>
      </c>
      <c r="N178" s="2994">
        <f t="shared" si="13"/>
        <v>31557.15</v>
      </c>
      <c r="O178" s="3006">
        <v>55</v>
      </c>
      <c r="P178" s="2994">
        <f t="shared" si="14"/>
        <v>15092.550000000001</v>
      </c>
      <c r="Q178" s="3005">
        <v>43456</v>
      </c>
      <c r="R178" s="3005">
        <v>45220</v>
      </c>
      <c r="S178" s="3004" t="s">
        <v>3371</v>
      </c>
    </row>
    <row r="179" spans="2:19" ht="21" customHeight="1">
      <c r="B179" s="2998">
        <v>171</v>
      </c>
      <c r="C179" s="3014" t="s">
        <v>3298</v>
      </c>
      <c r="D179" s="3013" t="s">
        <v>3274</v>
      </c>
      <c r="E179" s="3012" t="s">
        <v>3375</v>
      </c>
      <c r="F179" s="3011" t="s">
        <v>3269</v>
      </c>
      <c r="G179" s="3011" t="s">
        <v>3374</v>
      </c>
      <c r="H179" s="3010" t="s">
        <v>3059</v>
      </c>
      <c r="I179" s="3010" t="s">
        <v>3292</v>
      </c>
      <c r="J179" s="3009"/>
      <c r="K179" s="3008">
        <v>214.82</v>
      </c>
      <c r="L179" s="3008">
        <f t="shared" si="12"/>
        <v>3.6</v>
      </c>
      <c r="M179" s="3007">
        <v>110</v>
      </c>
      <c r="N179" s="2994">
        <f t="shared" si="13"/>
        <v>23630.2</v>
      </c>
      <c r="O179" s="3006">
        <v>55</v>
      </c>
      <c r="P179" s="2994">
        <f t="shared" si="14"/>
        <v>11815.1</v>
      </c>
      <c r="Q179" s="3005">
        <v>43456</v>
      </c>
      <c r="R179" s="3005">
        <v>45220</v>
      </c>
      <c r="S179" s="3004" t="s">
        <v>3371</v>
      </c>
    </row>
    <row r="180" spans="2:19" ht="21" customHeight="1">
      <c r="B180" s="2998">
        <v>172</v>
      </c>
      <c r="C180" s="3014" t="s">
        <v>3298</v>
      </c>
      <c r="D180" s="3013" t="s">
        <v>3274</v>
      </c>
      <c r="E180" s="3012" t="s">
        <v>3373</v>
      </c>
      <c r="F180" s="3011" t="s">
        <v>3269</v>
      </c>
      <c r="G180" s="3011" t="s">
        <v>3372</v>
      </c>
      <c r="H180" s="3010" t="s">
        <v>3059</v>
      </c>
      <c r="I180" s="3010" t="s">
        <v>3292</v>
      </c>
      <c r="J180" s="3009"/>
      <c r="K180" s="3008">
        <v>247.35</v>
      </c>
      <c r="L180" s="3008">
        <f t="shared" si="12"/>
        <v>4.0999999999999996</v>
      </c>
      <c r="M180" s="3007">
        <v>125</v>
      </c>
      <c r="N180" s="2994">
        <f t="shared" si="13"/>
        <v>30918.75</v>
      </c>
      <c r="O180" s="3006">
        <v>55</v>
      </c>
      <c r="P180" s="2994">
        <f t="shared" si="14"/>
        <v>13604.25</v>
      </c>
      <c r="Q180" s="3005">
        <v>43456</v>
      </c>
      <c r="R180" s="3005">
        <v>45220</v>
      </c>
      <c r="S180" s="3004" t="s">
        <v>3371</v>
      </c>
    </row>
    <row r="181" spans="2:19" ht="21" customHeight="1">
      <c r="B181" s="2998">
        <v>173</v>
      </c>
      <c r="C181" s="3014" t="s">
        <v>3298</v>
      </c>
      <c r="D181" s="3013" t="s">
        <v>3274</v>
      </c>
      <c r="E181" s="3012" t="s">
        <v>3370</v>
      </c>
      <c r="F181" s="3011" t="s">
        <v>3269</v>
      </c>
      <c r="G181" s="3011" t="s">
        <v>3369</v>
      </c>
      <c r="H181" s="3010" t="s">
        <v>3059</v>
      </c>
      <c r="I181" s="3010" t="s">
        <v>3292</v>
      </c>
      <c r="J181" s="3009"/>
      <c r="K181" s="3008">
        <v>124.02</v>
      </c>
      <c r="L181" s="3008">
        <f t="shared" si="12"/>
        <v>4.3</v>
      </c>
      <c r="M181" s="3007">
        <v>130</v>
      </c>
      <c r="N181" s="2994">
        <f t="shared" si="13"/>
        <v>16122.6</v>
      </c>
      <c r="O181" s="3006">
        <v>55</v>
      </c>
      <c r="P181" s="2994">
        <f t="shared" si="14"/>
        <v>6821.0999999999995</v>
      </c>
      <c r="Q181" s="3005">
        <v>43456</v>
      </c>
      <c r="R181" s="3005">
        <v>44490</v>
      </c>
      <c r="S181" s="3004" t="s">
        <v>3366</v>
      </c>
    </row>
    <row r="182" spans="2:19" ht="21" customHeight="1">
      <c r="B182" s="2998">
        <v>174</v>
      </c>
      <c r="C182" s="3014" t="s">
        <v>3298</v>
      </c>
      <c r="D182" s="3013" t="s">
        <v>3274</v>
      </c>
      <c r="E182" s="3012" t="s">
        <v>3368</v>
      </c>
      <c r="F182" s="3011" t="s">
        <v>3269</v>
      </c>
      <c r="G182" s="3011" t="s">
        <v>3367</v>
      </c>
      <c r="H182" s="3010" t="s">
        <v>3059</v>
      </c>
      <c r="I182" s="3010" t="s">
        <v>3292</v>
      </c>
      <c r="J182" s="3009"/>
      <c r="K182" s="3008">
        <v>64.36</v>
      </c>
      <c r="L182" s="3008">
        <f t="shared" si="12"/>
        <v>7.6</v>
      </c>
      <c r="M182" s="3007">
        <v>230</v>
      </c>
      <c r="N182" s="2994">
        <f t="shared" si="13"/>
        <v>14802.8</v>
      </c>
      <c r="O182" s="3006">
        <v>55</v>
      </c>
      <c r="P182" s="2994">
        <f t="shared" si="14"/>
        <v>3539.8</v>
      </c>
      <c r="Q182" s="3005">
        <v>43456</v>
      </c>
      <c r="R182" s="3005">
        <v>44125</v>
      </c>
      <c r="S182" s="3004" t="s">
        <v>3366</v>
      </c>
    </row>
    <row r="183" spans="2:19" s="3016" customFormat="1" ht="21" customHeight="1">
      <c r="B183" s="3029"/>
      <c r="C183" s="3028"/>
      <c r="D183" s="3027"/>
      <c r="E183" s="3026"/>
      <c r="F183" s="3025"/>
      <c r="G183" s="3025"/>
      <c r="H183" s="3024"/>
      <c r="I183" s="3024"/>
      <c r="J183" s="3023"/>
      <c r="K183" s="3022"/>
      <c r="L183" s="3022">
        <f>AVERAGE(L147:L182)</f>
        <v>4.5638888888888873</v>
      </c>
      <c r="M183" s="3021"/>
      <c r="N183" s="3019">
        <f>SUM(N147:N182)*12</f>
        <v>10671180.720000003</v>
      </c>
      <c r="O183" s="3020"/>
      <c r="P183" s="3019">
        <f>SUM(P147:P182)*12</f>
        <v>4624473.7799999984</v>
      </c>
      <c r="Q183" s="3018"/>
      <c r="R183" s="3018"/>
      <c r="S183" s="3017"/>
    </row>
    <row r="184" spans="2:19" ht="21" customHeight="1">
      <c r="B184" s="2998">
        <v>175</v>
      </c>
      <c r="C184" s="3014" t="s">
        <v>3298</v>
      </c>
      <c r="D184" s="3013" t="s">
        <v>3365</v>
      </c>
      <c r="E184" s="3012" t="s">
        <v>3364</v>
      </c>
      <c r="F184" s="3011" t="s">
        <v>3268</v>
      </c>
      <c r="G184" s="3011" t="s">
        <v>3363</v>
      </c>
      <c r="H184" s="3010" t="s">
        <v>3059</v>
      </c>
      <c r="I184" s="3010" t="s">
        <v>3292</v>
      </c>
      <c r="J184" s="3009"/>
      <c r="K184" s="3008">
        <v>57.98</v>
      </c>
      <c r="L184" s="3008">
        <f t="shared" ref="L184:L217" si="15">ROUND(N184*12/K184/365,1)</f>
        <v>3.6</v>
      </c>
      <c r="M184" s="3007">
        <v>108</v>
      </c>
      <c r="N184" s="2994">
        <f t="shared" ref="N184:N217" si="16">IFERROR(M184*K184,"")</f>
        <v>6261.8399999999992</v>
      </c>
      <c r="O184" s="3006">
        <v>30</v>
      </c>
      <c r="P184" s="2994">
        <f t="shared" ref="P184:P217" si="17">IFERROR(K184*O184,"-")</f>
        <v>1739.3999999999999</v>
      </c>
      <c r="Q184" s="3005">
        <v>43819</v>
      </c>
      <c r="R184" s="3005">
        <v>44184</v>
      </c>
      <c r="S184" s="3004"/>
    </row>
    <row r="185" spans="2:19" ht="21" customHeight="1">
      <c r="B185" s="2998">
        <v>176</v>
      </c>
      <c r="C185" s="3014" t="s">
        <v>3298</v>
      </c>
      <c r="D185" s="3013" t="s">
        <v>3271</v>
      </c>
      <c r="E185" s="3012" t="s">
        <v>3362</v>
      </c>
      <c r="F185" s="3011" t="s">
        <v>3267</v>
      </c>
      <c r="G185" s="3011" t="s">
        <v>3361</v>
      </c>
      <c r="H185" s="3010" t="s">
        <v>3059</v>
      </c>
      <c r="I185" s="3010" t="s">
        <v>3292</v>
      </c>
      <c r="J185" s="3009"/>
      <c r="K185" s="3008">
        <v>67.099999999999994</v>
      </c>
      <c r="L185" s="3008">
        <f t="shared" si="15"/>
        <v>3.5</v>
      </c>
      <c r="M185" s="3007">
        <v>105</v>
      </c>
      <c r="N185" s="2994">
        <f t="shared" si="16"/>
        <v>7045.4999999999991</v>
      </c>
      <c r="O185" s="3006">
        <v>30</v>
      </c>
      <c r="P185" s="2994">
        <f t="shared" si="17"/>
        <v>2012.9999999999998</v>
      </c>
      <c r="Q185" s="3005">
        <v>43819</v>
      </c>
      <c r="R185" s="3005">
        <v>44184</v>
      </c>
      <c r="S185" s="3004"/>
    </row>
    <row r="186" spans="2:19" ht="21" customHeight="1">
      <c r="B186" s="2998">
        <v>177</v>
      </c>
      <c r="C186" s="3014" t="s">
        <v>3298</v>
      </c>
      <c r="D186" s="3013" t="s">
        <v>3271</v>
      </c>
      <c r="E186" s="3012" t="s">
        <v>3360</v>
      </c>
      <c r="F186" s="3011" t="s">
        <v>3267</v>
      </c>
      <c r="G186" s="3011" t="s">
        <v>3359</v>
      </c>
      <c r="H186" s="3010" t="s">
        <v>3059</v>
      </c>
      <c r="I186" s="3010" t="s">
        <v>3292</v>
      </c>
      <c r="J186" s="3009"/>
      <c r="K186" s="3008">
        <v>52.13</v>
      </c>
      <c r="L186" s="3008">
        <f t="shared" si="15"/>
        <v>2.8</v>
      </c>
      <c r="M186" s="3007">
        <v>85</v>
      </c>
      <c r="N186" s="2994">
        <f t="shared" si="16"/>
        <v>4431.05</v>
      </c>
      <c r="O186" s="3006">
        <v>30</v>
      </c>
      <c r="P186" s="2994">
        <f t="shared" si="17"/>
        <v>1563.9</v>
      </c>
      <c r="Q186" s="3005">
        <v>43819</v>
      </c>
      <c r="R186" s="3005">
        <v>44184</v>
      </c>
      <c r="S186" s="3004"/>
    </row>
    <row r="187" spans="2:19" ht="21" customHeight="1">
      <c r="B187" s="2998">
        <v>178</v>
      </c>
      <c r="C187" s="3014" t="s">
        <v>3298</v>
      </c>
      <c r="D187" s="3013" t="s">
        <v>3271</v>
      </c>
      <c r="E187" s="3012" t="s">
        <v>3358</v>
      </c>
      <c r="F187" s="3011" t="s">
        <v>3269</v>
      </c>
      <c r="G187" s="3011" t="s">
        <v>3357</v>
      </c>
      <c r="H187" s="3010" t="s">
        <v>3059</v>
      </c>
      <c r="I187" s="3010" t="s">
        <v>3292</v>
      </c>
      <c r="J187" s="3009"/>
      <c r="K187" s="3008">
        <v>14.2</v>
      </c>
      <c r="L187" s="3008">
        <f t="shared" si="15"/>
        <v>3.3</v>
      </c>
      <c r="M187" s="3007">
        <v>100</v>
      </c>
      <c r="N187" s="2994">
        <f t="shared" si="16"/>
        <v>1420</v>
      </c>
      <c r="O187" s="3006">
        <v>55</v>
      </c>
      <c r="P187" s="2994">
        <f t="shared" si="17"/>
        <v>781</v>
      </c>
      <c r="Q187" s="3005">
        <v>43819</v>
      </c>
      <c r="R187" s="3005">
        <v>44184</v>
      </c>
      <c r="S187" s="3004"/>
    </row>
    <row r="188" spans="2:19" ht="21" customHeight="1">
      <c r="B188" s="2998">
        <v>179</v>
      </c>
      <c r="C188" s="3014" t="s">
        <v>3298</v>
      </c>
      <c r="D188" s="3013" t="s">
        <v>3271</v>
      </c>
      <c r="E188" s="3012" t="s">
        <v>3356</v>
      </c>
      <c r="F188" s="3011" t="s">
        <v>3267</v>
      </c>
      <c r="G188" s="3011" t="s">
        <v>3355</v>
      </c>
      <c r="H188" s="3010" t="s">
        <v>3059</v>
      </c>
      <c r="I188" s="3010" t="s">
        <v>3292</v>
      </c>
      <c r="J188" s="3009"/>
      <c r="K188" s="3008">
        <v>15.22</v>
      </c>
      <c r="L188" s="3008">
        <f t="shared" si="15"/>
        <v>3.3</v>
      </c>
      <c r="M188" s="3007">
        <v>100</v>
      </c>
      <c r="N188" s="2994">
        <f t="shared" si="16"/>
        <v>1522</v>
      </c>
      <c r="O188" s="3006">
        <v>30</v>
      </c>
      <c r="P188" s="2994">
        <f t="shared" si="17"/>
        <v>456.6</v>
      </c>
      <c r="Q188" s="3005">
        <v>43819</v>
      </c>
      <c r="R188" s="3005">
        <v>44184</v>
      </c>
      <c r="S188" s="3004"/>
    </row>
    <row r="189" spans="2:19" ht="21" customHeight="1">
      <c r="B189" s="2998">
        <v>180</v>
      </c>
      <c r="C189" s="3014" t="s">
        <v>3298</v>
      </c>
      <c r="D189" s="3013" t="s">
        <v>3271</v>
      </c>
      <c r="E189" s="3012" t="s">
        <v>3354</v>
      </c>
      <c r="F189" s="3011" t="s">
        <v>3267</v>
      </c>
      <c r="G189" s="3011" t="s">
        <v>3353</v>
      </c>
      <c r="H189" s="3010" t="s">
        <v>3059</v>
      </c>
      <c r="I189" s="3010" t="s">
        <v>3292</v>
      </c>
      <c r="J189" s="3009"/>
      <c r="K189" s="3008">
        <v>18.649999999999999</v>
      </c>
      <c r="L189" s="3008">
        <f t="shared" si="15"/>
        <v>2.7</v>
      </c>
      <c r="M189" s="3007">
        <v>82</v>
      </c>
      <c r="N189" s="2994">
        <f t="shared" si="16"/>
        <v>1529.3</v>
      </c>
      <c r="O189" s="3006">
        <v>30</v>
      </c>
      <c r="P189" s="2994">
        <f t="shared" si="17"/>
        <v>559.5</v>
      </c>
      <c r="Q189" s="3005">
        <v>43819</v>
      </c>
      <c r="R189" s="3005">
        <v>44184</v>
      </c>
      <c r="S189" s="3004"/>
    </row>
    <row r="190" spans="2:19" ht="21" customHeight="1">
      <c r="B190" s="2998">
        <v>181</v>
      </c>
      <c r="C190" s="3014" t="s">
        <v>3298</v>
      </c>
      <c r="D190" s="3013" t="s">
        <v>3271</v>
      </c>
      <c r="E190" s="3012" t="s">
        <v>3352</v>
      </c>
      <c r="F190" s="3011" t="s">
        <v>3267</v>
      </c>
      <c r="G190" s="3011" t="s">
        <v>3351</v>
      </c>
      <c r="H190" s="3010" t="s">
        <v>3059</v>
      </c>
      <c r="I190" s="3010" t="s">
        <v>3292</v>
      </c>
      <c r="J190" s="3009"/>
      <c r="K190" s="3008">
        <v>1434</v>
      </c>
      <c r="L190" s="3008">
        <f t="shared" si="15"/>
        <v>0.8</v>
      </c>
      <c r="M190" s="3007">
        <v>23.2</v>
      </c>
      <c r="N190" s="2994">
        <f t="shared" si="16"/>
        <v>33268.799999999996</v>
      </c>
      <c r="O190" s="3006">
        <v>10</v>
      </c>
      <c r="P190" s="2994">
        <f t="shared" si="17"/>
        <v>14340</v>
      </c>
      <c r="Q190" s="3005">
        <v>43819</v>
      </c>
      <c r="R190" s="3005">
        <v>45645</v>
      </c>
      <c r="S190" s="3004"/>
    </row>
    <row r="191" spans="2:19" ht="21" customHeight="1">
      <c r="B191" s="2998">
        <v>182</v>
      </c>
      <c r="C191" s="3014" t="s">
        <v>3298</v>
      </c>
      <c r="D191" s="3013" t="s">
        <v>3271</v>
      </c>
      <c r="E191" s="3012" t="s">
        <v>3350</v>
      </c>
      <c r="F191" s="3011" t="s">
        <v>3269</v>
      </c>
      <c r="G191" s="3011" t="s">
        <v>3349</v>
      </c>
      <c r="H191" s="3010" t="s">
        <v>3059</v>
      </c>
      <c r="I191" s="3010" t="s">
        <v>3292</v>
      </c>
      <c r="J191" s="3009"/>
      <c r="K191" s="3008">
        <v>17.260000000000002</v>
      </c>
      <c r="L191" s="3008">
        <f t="shared" si="15"/>
        <v>2.8</v>
      </c>
      <c r="M191" s="3007">
        <v>85</v>
      </c>
      <c r="N191" s="2994">
        <f t="shared" si="16"/>
        <v>1467.1000000000001</v>
      </c>
      <c r="O191" s="3006">
        <v>30</v>
      </c>
      <c r="P191" s="2994">
        <f t="shared" si="17"/>
        <v>517.80000000000007</v>
      </c>
      <c r="Q191" s="3005">
        <v>43819</v>
      </c>
      <c r="R191" s="3005">
        <v>44184</v>
      </c>
      <c r="S191" s="3004"/>
    </row>
    <row r="192" spans="2:19" ht="21" customHeight="1">
      <c r="B192" s="2998">
        <v>183</v>
      </c>
      <c r="C192" s="3014" t="s">
        <v>3298</v>
      </c>
      <c r="D192" s="3013" t="s">
        <v>3271</v>
      </c>
      <c r="E192" s="3012" t="s">
        <v>3348</v>
      </c>
      <c r="F192" s="3011" t="s">
        <v>3267</v>
      </c>
      <c r="G192" s="3011" t="s">
        <v>3347</v>
      </c>
      <c r="H192" s="3010" t="s">
        <v>3059</v>
      </c>
      <c r="I192" s="3010" t="s">
        <v>3292</v>
      </c>
      <c r="J192" s="3009"/>
      <c r="K192" s="3008">
        <v>17.53</v>
      </c>
      <c r="L192" s="3008">
        <f t="shared" si="15"/>
        <v>2.5</v>
      </c>
      <c r="M192" s="3007">
        <v>76</v>
      </c>
      <c r="N192" s="2994">
        <f t="shared" si="16"/>
        <v>1332.2800000000002</v>
      </c>
      <c r="O192" s="3006">
        <v>15</v>
      </c>
      <c r="P192" s="2994">
        <f t="shared" si="17"/>
        <v>262.95000000000005</v>
      </c>
      <c r="Q192" s="3005">
        <v>43819</v>
      </c>
      <c r="R192" s="3005">
        <v>44184</v>
      </c>
      <c r="S192" s="3004"/>
    </row>
    <row r="193" spans="2:19" ht="21" customHeight="1">
      <c r="B193" s="2998">
        <v>184</v>
      </c>
      <c r="C193" s="3014" t="s">
        <v>3298</v>
      </c>
      <c r="D193" s="3013" t="s">
        <v>3271</v>
      </c>
      <c r="E193" s="3012" t="s">
        <v>3346</v>
      </c>
      <c r="F193" s="3011" t="s">
        <v>3267</v>
      </c>
      <c r="G193" s="3011" t="s">
        <v>3345</v>
      </c>
      <c r="H193" s="3010" t="s">
        <v>3059</v>
      </c>
      <c r="I193" s="3010" t="s">
        <v>3292</v>
      </c>
      <c r="J193" s="3009"/>
      <c r="K193" s="3008">
        <v>32.479999999999997</v>
      </c>
      <c r="L193" s="3008">
        <f t="shared" si="15"/>
        <v>3.9</v>
      </c>
      <c r="M193" s="3007">
        <v>120</v>
      </c>
      <c r="N193" s="2994">
        <f t="shared" si="16"/>
        <v>3897.5999999999995</v>
      </c>
      <c r="O193" s="3006">
        <v>15</v>
      </c>
      <c r="P193" s="2994">
        <f t="shared" si="17"/>
        <v>487.19999999999993</v>
      </c>
      <c r="Q193" s="3005">
        <v>43819</v>
      </c>
      <c r="R193" s="3005">
        <v>44184</v>
      </c>
      <c r="S193" s="3004"/>
    </row>
    <row r="194" spans="2:19" ht="21" customHeight="1">
      <c r="B194" s="2998">
        <v>185</v>
      </c>
      <c r="C194" s="3014" t="s">
        <v>3298</v>
      </c>
      <c r="D194" s="3013" t="s">
        <v>3271</v>
      </c>
      <c r="E194" s="3012" t="s">
        <v>3344</v>
      </c>
      <c r="F194" s="3011" t="s">
        <v>3267</v>
      </c>
      <c r="G194" s="3011" t="s">
        <v>3343</v>
      </c>
      <c r="H194" s="3010" t="s">
        <v>3059</v>
      </c>
      <c r="I194" s="3010" t="s">
        <v>3292</v>
      </c>
      <c r="J194" s="3009"/>
      <c r="K194" s="3008">
        <v>18.3</v>
      </c>
      <c r="L194" s="3008">
        <f t="shared" si="15"/>
        <v>2.2999999999999998</v>
      </c>
      <c r="M194" s="3007">
        <v>70</v>
      </c>
      <c r="N194" s="2994">
        <f t="shared" si="16"/>
        <v>1281</v>
      </c>
      <c r="O194" s="3006">
        <v>30</v>
      </c>
      <c r="P194" s="2994">
        <f t="shared" si="17"/>
        <v>549</v>
      </c>
      <c r="Q194" s="3005">
        <v>43819</v>
      </c>
      <c r="R194" s="3005">
        <v>44184</v>
      </c>
      <c r="S194" s="3004"/>
    </row>
    <row r="195" spans="2:19" ht="21" customHeight="1">
      <c r="B195" s="2998">
        <v>186</v>
      </c>
      <c r="C195" s="3014" t="s">
        <v>3298</v>
      </c>
      <c r="D195" s="3013" t="s">
        <v>3271</v>
      </c>
      <c r="E195" s="3012" t="s">
        <v>3342</v>
      </c>
      <c r="F195" s="3011" t="s">
        <v>3267</v>
      </c>
      <c r="G195" s="3011" t="s">
        <v>3341</v>
      </c>
      <c r="H195" s="3010" t="s">
        <v>3059</v>
      </c>
      <c r="I195" s="3010" t="s">
        <v>3292</v>
      </c>
      <c r="J195" s="3009"/>
      <c r="K195" s="3008">
        <v>18.600000000000001</v>
      </c>
      <c r="L195" s="3008">
        <f t="shared" si="15"/>
        <v>2.2000000000000002</v>
      </c>
      <c r="M195" s="3007">
        <v>67</v>
      </c>
      <c r="N195" s="2994">
        <f t="shared" si="16"/>
        <v>1246.2</v>
      </c>
      <c r="O195" s="3006">
        <v>30</v>
      </c>
      <c r="P195" s="2994">
        <f t="shared" si="17"/>
        <v>558</v>
      </c>
      <c r="Q195" s="3005">
        <v>43819</v>
      </c>
      <c r="R195" s="3005">
        <v>44184</v>
      </c>
      <c r="S195" s="3004"/>
    </row>
    <row r="196" spans="2:19" ht="21" customHeight="1">
      <c r="B196" s="2998">
        <v>187</v>
      </c>
      <c r="C196" s="3014" t="s">
        <v>3298</v>
      </c>
      <c r="D196" s="3013" t="s">
        <v>3271</v>
      </c>
      <c r="E196" s="3012" t="s">
        <v>3340</v>
      </c>
      <c r="F196" s="3011" t="s">
        <v>3267</v>
      </c>
      <c r="G196" s="3011" t="s">
        <v>3339</v>
      </c>
      <c r="H196" s="3010" t="s">
        <v>3059</v>
      </c>
      <c r="I196" s="3010" t="s">
        <v>3292</v>
      </c>
      <c r="J196" s="3009"/>
      <c r="K196" s="3008">
        <v>120</v>
      </c>
      <c r="L196" s="3008">
        <f t="shared" si="15"/>
        <v>1.8</v>
      </c>
      <c r="M196" s="3007">
        <v>55</v>
      </c>
      <c r="N196" s="2994">
        <f t="shared" si="16"/>
        <v>6600</v>
      </c>
      <c r="O196" s="3006">
        <v>15</v>
      </c>
      <c r="P196" s="2994">
        <f t="shared" si="17"/>
        <v>1800</v>
      </c>
      <c r="Q196" s="3005">
        <v>43819</v>
      </c>
      <c r="R196" s="3005">
        <v>44184</v>
      </c>
      <c r="S196" s="3004"/>
    </row>
    <row r="197" spans="2:19" ht="21" customHeight="1">
      <c r="B197" s="2998">
        <v>189</v>
      </c>
      <c r="C197" s="3014" t="s">
        <v>3298</v>
      </c>
      <c r="D197" s="3013" t="s">
        <v>3271</v>
      </c>
      <c r="E197" s="3012" t="s">
        <v>3338</v>
      </c>
      <c r="F197" s="3011" t="s">
        <v>3267</v>
      </c>
      <c r="G197" s="3011" t="s">
        <v>3337</v>
      </c>
      <c r="H197" s="3010" t="s">
        <v>3059</v>
      </c>
      <c r="I197" s="3010" t="s">
        <v>3292</v>
      </c>
      <c r="J197" s="3009"/>
      <c r="K197" s="3008">
        <v>25.76</v>
      </c>
      <c r="L197" s="3008">
        <f t="shared" si="15"/>
        <v>3.5</v>
      </c>
      <c r="M197" s="3007">
        <v>105</v>
      </c>
      <c r="N197" s="2994">
        <f t="shared" si="16"/>
        <v>2704.8</v>
      </c>
      <c r="O197" s="3006">
        <v>30</v>
      </c>
      <c r="P197" s="2994">
        <f t="shared" si="17"/>
        <v>772.80000000000007</v>
      </c>
      <c r="Q197" s="3005">
        <v>43819</v>
      </c>
      <c r="R197" s="3005">
        <v>44184</v>
      </c>
      <c r="S197" s="3004"/>
    </row>
    <row r="198" spans="2:19" ht="21" customHeight="1">
      <c r="B198" s="2998">
        <v>190</v>
      </c>
      <c r="C198" s="3014" t="s">
        <v>3298</v>
      </c>
      <c r="D198" s="3013" t="s">
        <v>3271</v>
      </c>
      <c r="E198" s="3012" t="s">
        <v>3336</v>
      </c>
      <c r="F198" s="3011" t="s">
        <v>3267</v>
      </c>
      <c r="G198" s="3011" t="s">
        <v>3335</v>
      </c>
      <c r="H198" s="3010" t="s">
        <v>3059</v>
      </c>
      <c r="I198" s="3010" t="s">
        <v>3292</v>
      </c>
      <c r="J198" s="3009"/>
      <c r="K198" s="3008">
        <v>19.260000000000002</v>
      </c>
      <c r="L198" s="3008">
        <f t="shared" si="15"/>
        <v>3</v>
      </c>
      <c r="M198" s="3007">
        <v>90</v>
      </c>
      <c r="N198" s="2994">
        <f t="shared" si="16"/>
        <v>1733.4</v>
      </c>
      <c r="O198" s="3006">
        <v>30</v>
      </c>
      <c r="P198" s="2994">
        <f t="shared" si="17"/>
        <v>577.80000000000007</v>
      </c>
      <c r="Q198" s="3005">
        <v>43819</v>
      </c>
      <c r="R198" s="3005">
        <v>44184</v>
      </c>
      <c r="S198" s="3004"/>
    </row>
    <row r="199" spans="2:19" ht="21" customHeight="1">
      <c r="B199" s="2998">
        <v>191</v>
      </c>
      <c r="C199" s="3014" t="s">
        <v>3298</v>
      </c>
      <c r="D199" s="3013" t="s">
        <v>3271</v>
      </c>
      <c r="E199" s="3012" t="s">
        <v>3334</v>
      </c>
      <c r="F199" s="3011" t="s">
        <v>3267</v>
      </c>
      <c r="G199" s="3011" t="s">
        <v>3333</v>
      </c>
      <c r="H199" s="3010" t="s">
        <v>3059</v>
      </c>
      <c r="I199" s="3010" t="s">
        <v>3292</v>
      </c>
      <c r="J199" s="3009"/>
      <c r="K199" s="3008">
        <v>14.16</v>
      </c>
      <c r="L199" s="3008">
        <f t="shared" si="15"/>
        <v>4.8</v>
      </c>
      <c r="M199" s="3007">
        <v>147</v>
      </c>
      <c r="N199" s="2994">
        <f t="shared" si="16"/>
        <v>2081.52</v>
      </c>
      <c r="O199" s="3006">
        <v>30</v>
      </c>
      <c r="P199" s="2994">
        <f t="shared" si="17"/>
        <v>424.8</v>
      </c>
      <c r="Q199" s="3005">
        <v>43819</v>
      </c>
      <c r="R199" s="3005">
        <v>44184</v>
      </c>
      <c r="S199" s="3004"/>
    </row>
    <row r="200" spans="2:19" ht="21" customHeight="1">
      <c r="B200" s="2998">
        <v>192</v>
      </c>
      <c r="C200" s="3014" t="s">
        <v>3298</v>
      </c>
      <c r="D200" s="3013" t="s">
        <v>3271</v>
      </c>
      <c r="E200" s="3012" t="s">
        <v>3332</v>
      </c>
      <c r="F200" s="3011" t="s">
        <v>3267</v>
      </c>
      <c r="G200" s="3011" t="s">
        <v>3331</v>
      </c>
      <c r="H200" s="3010" t="s">
        <v>3059</v>
      </c>
      <c r="I200" s="3010" t="s">
        <v>3292</v>
      </c>
      <c r="J200" s="3009"/>
      <c r="K200" s="3008">
        <v>95</v>
      </c>
      <c r="L200" s="3008">
        <f t="shared" si="15"/>
        <v>1.4</v>
      </c>
      <c r="M200" s="3007">
        <v>42</v>
      </c>
      <c r="N200" s="2994">
        <f t="shared" si="16"/>
        <v>3990</v>
      </c>
      <c r="O200" s="3006">
        <v>15</v>
      </c>
      <c r="P200" s="2994">
        <f t="shared" si="17"/>
        <v>1425</v>
      </c>
      <c r="Q200" s="3005">
        <v>43819</v>
      </c>
      <c r="R200" s="3005">
        <v>44549</v>
      </c>
      <c r="S200" s="3004"/>
    </row>
    <row r="201" spans="2:19" ht="21" customHeight="1">
      <c r="B201" s="2998">
        <v>193</v>
      </c>
      <c r="C201" s="3014" t="s">
        <v>3298</v>
      </c>
      <c r="D201" s="3013" t="s">
        <v>3271</v>
      </c>
      <c r="E201" s="3015" t="s">
        <v>3330</v>
      </c>
      <c r="F201" s="3011" t="s">
        <v>3267</v>
      </c>
      <c r="G201" s="3011" t="s">
        <v>3329</v>
      </c>
      <c r="H201" s="3010" t="s">
        <v>3059</v>
      </c>
      <c r="I201" s="3010" t="s">
        <v>3292</v>
      </c>
      <c r="J201" s="3009"/>
      <c r="K201" s="3008">
        <v>62.47</v>
      </c>
      <c r="L201" s="3008">
        <f t="shared" si="15"/>
        <v>2</v>
      </c>
      <c r="M201" s="3007">
        <v>60</v>
      </c>
      <c r="N201" s="2994">
        <f t="shared" si="16"/>
        <v>3748.2</v>
      </c>
      <c r="O201" s="3006">
        <v>15</v>
      </c>
      <c r="P201" s="2994">
        <f t="shared" si="17"/>
        <v>937.05</v>
      </c>
      <c r="Q201" s="3005">
        <v>43819</v>
      </c>
      <c r="R201" s="3005">
        <v>44184</v>
      </c>
      <c r="S201" s="3004"/>
    </row>
    <row r="202" spans="2:19" ht="21" customHeight="1">
      <c r="B202" s="2998">
        <v>194</v>
      </c>
      <c r="C202" s="3014" t="s">
        <v>3298</v>
      </c>
      <c r="D202" s="3013" t="s">
        <v>3271</v>
      </c>
      <c r="E202" s="3015" t="s">
        <v>3328</v>
      </c>
      <c r="F202" s="3011" t="s">
        <v>3267</v>
      </c>
      <c r="G202" s="3011" t="s">
        <v>3327</v>
      </c>
      <c r="H202" s="3010" t="s">
        <v>3059</v>
      </c>
      <c r="I202" s="3010" t="s">
        <v>3292</v>
      </c>
      <c r="J202" s="3009"/>
      <c r="K202" s="3008">
        <v>47.8</v>
      </c>
      <c r="L202" s="3008">
        <f t="shared" si="15"/>
        <v>2.5</v>
      </c>
      <c r="M202" s="3007">
        <v>75</v>
      </c>
      <c r="N202" s="2994">
        <f t="shared" si="16"/>
        <v>3585</v>
      </c>
      <c r="O202" s="3006">
        <v>15</v>
      </c>
      <c r="P202" s="2994">
        <f t="shared" si="17"/>
        <v>717</v>
      </c>
      <c r="Q202" s="3005">
        <v>43819</v>
      </c>
      <c r="R202" s="3005">
        <v>44184</v>
      </c>
      <c r="S202" s="3004"/>
    </row>
    <row r="203" spans="2:19" ht="21" customHeight="1">
      <c r="B203" s="2998">
        <v>195</v>
      </c>
      <c r="C203" s="3014" t="s">
        <v>3298</v>
      </c>
      <c r="D203" s="3013" t="s">
        <v>3271</v>
      </c>
      <c r="E203" s="3015" t="s">
        <v>3326</v>
      </c>
      <c r="F203" s="3011" t="s">
        <v>3267</v>
      </c>
      <c r="G203" s="3011" t="s">
        <v>3325</v>
      </c>
      <c r="H203" s="3010" t="s">
        <v>3059</v>
      </c>
      <c r="I203" s="3010" t="s">
        <v>3292</v>
      </c>
      <c r="J203" s="3009"/>
      <c r="K203" s="3008">
        <v>30.77</v>
      </c>
      <c r="L203" s="3008">
        <f t="shared" si="15"/>
        <v>2.6</v>
      </c>
      <c r="M203" s="3007">
        <v>80</v>
      </c>
      <c r="N203" s="2994">
        <f t="shared" si="16"/>
        <v>2461.6</v>
      </c>
      <c r="O203" s="3006">
        <v>15</v>
      </c>
      <c r="P203" s="2994">
        <f t="shared" si="17"/>
        <v>461.55</v>
      </c>
      <c r="Q203" s="3005">
        <v>43819</v>
      </c>
      <c r="R203" s="3005">
        <v>44184</v>
      </c>
      <c r="S203" s="3004"/>
    </row>
    <row r="204" spans="2:19" ht="21" customHeight="1">
      <c r="B204" s="2998">
        <v>196</v>
      </c>
      <c r="C204" s="3014" t="s">
        <v>3298</v>
      </c>
      <c r="D204" s="3013" t="s">
        <v>3271</v>
      </c>
      <c r="E204" s="3012" t="s">
        <v>3324</v>
      </c>
      <c r="F204" s="3011" t="s">
        <v>3267</v>
      </c>
      <c r="G204" s="3011" t="s">
        <v>3323</v>
      </c>
      <c r="H204" s="3010" t="s">
        <v>3059</v>
      </c>
      <c r="I204" s="3010" t="s">
        <v>3292</v>
      </c>
      <c r="J204" s="3009"/>
      <c r="K204" s="3008">
        <v>16.600000000000001</v>
      </c>
      <c r="L204" s="3008">
        <f t="shared" si="15"/>
        <v>5</v>
      </c>
      <c r="M204" s="3007">
        <v>151</v>
      </c>
      <c r="N204" s="2994">
        <f t="shared" si="16"/>
        <v>2506.6000000000004</v>
      </c>
      <c r="O204" s="3006">
        <v>15</v>
      </c>
      <c r="P204" s="2994">
        <f t="shared" si="17"/>
        <v>249.00000000000003</v>
      </c>
      <c r="Q204" s="3005">
        <v>43819</v>
      </c>
      <c r="R204" s="3005">
        <v>44184</v>
      </c>
      <c r="S204" s="3004"/>
    </row>
    <row r="205" spans="2:19" ht="21" customHeight="1">
      <c r="B205" s="2998">
        <v>197</v>
      </c>
      <c r="C205" s="3014" t="s">
        <v>3298</v>
      </c>
      <c r="D205" s="3013" t="s">
        <v>3271</v>
      </c>
      <c r="E205" s="3012" t="s">
        <v>3322</v>
      </c>
      <c r="F205" s="3011" t="s">
        <v>3267</v>
      </c>
      <c r="G205" s="3011" t="s">
        <v>3321</v>
      </c>
      <c r="H205" s="3010" t="s">
        <v>3059</v>
      </c>
      <c r="I205" s="3010" t="s">
        <v>3292</v>
      </c>
      <c r="J205" s="3009"/>
      <c r="K205" s="3008">
        <v>13.78</v>
      </c>
      <c r="L205" s="3008">
        <f t="shared" si="15"/>
        <v>3.3</v>
      </c>
      <c r="M205" s="3007">
        <v>100</v>
      </c>
      <c r="N205" s="2994">
        <f t="shared" si="16"/>
        <v>1378</v>
      </c>
      <c r="O205" s="3006">
        <v>15</v>
      </c>
      <c r="P205" s="2994">
        <f t="shared" si="17"/>
        <v>206.7</v>
      </c>
      <c r="Q205" s="3005">
        <v>43819</v>
      </c>
      <c r="R205" s="3005">
        <v>44184</v>
      </c>
      <c r="S205" s="3004"/>
    </row>
    <row r="206" spans="2:19" ht="21" customHeight="1">
      <c r="B206" s="2998">
        <v>198</v>
      </c>
      <c r="C206" s="3014" t="s">
        <v>3298</v>
      </c>
      <c r="D206" s="3013" t="s">
        <v>3271</v>
      </c>
      <c r="E206" s="3012" t="s">
        <v>3320</v>
      </c>
      <c r="F206" s="3011" t="s">
        <v>3267</v>
      </c>
      <c r="G206" s="3011" t="s">
        <v>3319</v>
      </c>
      <c r="H206" s="3010" t="s">
        <v>3059</v>
      </c>
      <c r="I206" s="3010" t="s">
        <v>3292</v>
      </c>
      <c r="J206" s="3009"/>
      <c r="K206" s="3008">
        <v>13.78</v>
      </c>
      <c r="L206" s="3008">
        <f t="shared" si="15"/>
        <v>6.2</v>
      </c>
      <c r="M206" s="3007">
        <v>188</v>
      </c>
      <c r="N206" s="2994">
        <f t="shared" si="16"/>
        <v>2590.64</v>
      </c>
      <c r="O206" s="3006">
        <v>15</v>
      </c>
      <c r="P206" s="2994">
        <f t="shared" si="17"/>
        <v>206.7</v>
      </c>
      <c r="Q206" s="3005">
        <v>43819</v>
      </c>
      <c r="R206" s="3005">
        <v>44184</v>
      </c>
      <c r="S206" s="3004"/>
    </row>
    <row r="207" spans="2:19" ht="21" customHeight="1">
      <c r="B207" s="2998">
        <v>199</v>
      </c>
      <c r="C207" s="3014" t="s">
        <v>3298</v>
      </c>
      <c r="D207" s="3013" t="s">
        <v>3271</v>
      </c>
      <c r="E207" s="3015" t="s">
        <v>3318</v>
      </c>
      <c r="F207" s="3011" t="s">
        <v>3267</v>
      </c>
      <c r="G207" s="3011" t="s">
        <v>3317</v>
      </c>
      <c r="H207" s="3010" t="s">
        <v>3059</v>
      </c>
      <c r="I207" s="3010" t="s">
        <v>3292</v>
      </c>
      <c r="J207" s="3009"/>
      <c r="K207" s="3008">
        <v>38.770000000000003</v>
      </c>
      <c r="L207" s="3008">
        <f t="shared" si="15"/>
        <v>1.5</v>
      </c>
      <c r="M207" s="3007">
        <v>45</v>
      </c>
      <c r="N207" s="2994">
        <f t="shared" si="16"/>
        <v>1744.65</v>
      </c>
      <c r="O207" s="3006">
        <v>15</v>
      </c>
      <c r="P207" s="2994">
        <f t="shared" si="17"/>
        <v>581.55000000000007</v>
      </c>
      <c r="Q207" s="3005">
        <v>43819</v>
      </c>
      <c r="R207" s="3005">
        <v>44184</v>
      </c>
      <c r="S207" s="3004"/>
    </row>
    <row r="208" spans="2:19" ht="21" customHeight="1">
      <c r="B208" s="2998">
        <v>200</v>
      </c>
      <c r="C208" s="3014" t="s">
        <v>3298</v>
      </c>
      <c r="D208" s="3013" t="s">
        <v>3271</v>
      </c>
      <c r="E208" s="3015" t="s">
        <v>3316</v>
      </c>
      <c r="F208" s="3011" t="s">
        <v>3267</v>
      </c>
      <c r="G208" s="3011" t="s">
        <v>3315</v>
      </c>
      <c r="H208" s="3010" t="s">
        <v>3059</v>
      </c>
      <c r="I208" s="3010" t="s">
        <v>3292</v>
      </c>
      <c r="J208" s="3009"/>
      <c r="K208" s="3008">
        <v>39.479999999999997</v>
      </c>
      <c r="L208" s="3008">
        <f t="shared" si="15"/>
        <v>3</v>
      </c>
      <c r="M208" s="3007">
        <v>90</v>
      </c>
      <c r="N208" s="2994">
        <f t="shared" si="16"/>
        <v>3553.2</v>
      </c>
      <c r="O208" s="3006">
        <v>15</v>
      </c>
      <c r="P208" s="2994">
        <f t="shared" si="17"/>
        <v>592.19999999999993</v>
      </c>
      <c r="Q208" s="3005">
        <v>43819</v>
      </c>
      <c r="R208" s="3005">
        <v>44184</v>
      </c>
      <c r="S208" s="3004"/>
    </row>
    <row r="209" spans="2:19" ht="21" customHeight="1">
      <c r="B209" s="2998">
        <v>201</v>
      </c>
      <c r="C209" s="3014" t="s">
        <v>3298</v>
      </c>
      <c r="D209" s="3013" t="s">
        <v>3271</v>
      </c>
      <c r="E209" s="3015" t="s">
        <v>3314</v>
      </c>
      <c r="F209" s="3011" t="s">
        <v>3267</v>
      </c>
      <c r="G209" s="3011" t="s">
        <v>3313</v>
      </c>
      <c r="H209" s="3010" t="s">
        <v>3059</v>
      </c>
      <c r="I209" s="3010" t="s">
        <v>3292</v>
      </c>
      <c r="J209" s="3009"/>
      <c r="K209" s="3008">
        <v>30.01</v>
      </c>
      <c r="L209" s="3008">
        <f t="shared" si="15"/>
        <v>2</v>
      </c>
      <c r="M209" s="3007">
        <v>60</v>
      </c>
      <c r="N209" s="2994">
        <f t="shared" si="16"/>
        <v>1800.6000000000001</v>
      </c>
      <c r="O209" s="3006">
        <v>15</v>
      </c>
      <c r="P209" s="2994">
        <f t="shared" si="17"/>
        <v>450.15000000000003</v>
      </c>
      <c r="Q209" s="3005">
        <v>43819</v>
      </c>
      <c r="R209" s="3005">
        <v>44184</v>
      </c>
      <c r="S209" s="3004"/>
    </row>
    <row r="210" spans="2:19" ht="21" customHeight="1">
      <c r="B210" s="2998">
        <v>202</v>
      </c>
      <c r="C210" s="3014" t="s">
        <v>3298</v>
      </c>
      <c r="D210" s="3013" t="s">
        <v>3271</v>
      </c>
      <c r="E210" s="3015" t="s">
        <v>3312</v>
      </c>
      <c r="F210" s="3011" t="s">
        <v>3267</v>
      </c>
      <c r="G210" s="3011" t="s">
        <v>3311</v>
      </c>
      <c r="H210" s="3010" t="s">
        <v>3059</v>
      </c>
      <c r="I210" s="3010" t="s">
        <v>3292</v>
      </c>
      <c r="J210" s="3009"/>
      <c r="K210" s="3008">
        <v>26.03</v>
      </c>
      <c r="L210" s="3008">
        <f t="shared" si="15"/>
        <v>2</v>
      </c>
      <c r="M210" s="3007">
        <v>62</v>
      </c>
      <c r="N210" s="2994">
        <f t="shared" si="16"/>
        <v>1613.8600000000001</v>
      </c>
      <c r="O210" s="3006">
        <v>15</v>
      </c>
      <c r="P210" s="2994">
        <f t="shared" si="17"/>
        <v>390.45000000000005</v>
      </c>
      <c r="Q210" s="3005">
        <v>43819</v>
      </c>
      <c r="R210" s="3005">
        <v>44184</v>
      </c>
      <c r="S210" s="3004"/>
    </row>
    <row r="211" spans="2:19" ht="21" customHeight="1">
      <c r="B211" s="2998">
        <v>203</v>
      </c>
      <c r="C211" s="3014" t="s">
        <v>3298</v>
      </c>
      <c r="D211" s="3013" t="s">
        <v>3271</v>
      </c>
      <c r="E211" s="3015" t="s">
        <v>3310</v>
      </c>
      <c r="F211" s="3011" t="s">
        <v>3267</v>
      </c>
      <c r="G211" s="3011" t="s">
        <v>3309</v>
      </c>
      <c r="H211" s="3010" t="s">
        <v>3059</v>
      </c>
      <c r="I211" s="3010" t="s">
        <v>3292</v>
      </c>
      <c r="J211" s="3009"/>
      <c r="K211" s="3008">
        <v>29</v>
      </c>
      <c r="L211" s="3008">
        <f t="shared" si="15"/>
        <v>2.1</v>
      </c>
      <c r="M211" s="3007">
        <v>65</v>
      </c>
      <c r="N211" s="2994">
        <f t="shared" si="16"/>
        <v>1885</v>
      </c>
      <c r="O211" s="3006">
        <v>15</v>
      </c>
      <c r="P211" s="2994">
        <f t="shared" si="17"/>
        <v>435</v>
      </c>
      <c r="Q211" s="3005">
        <v>43819</v>
      </c>
      <c r="R211" s="3005">
        <v>44184</v>
      </c>
      <c r="S211" s="3004"/>
    </row>
    <row r="212" spans="2:19" ht="21" customHeight="1">
      <c r="B212" s="2998">
        <v>204</v>
      </c>
      <c r="C212" s="3014" t="s">
        <v>3298</v>
      </c>
      <c r="D212" s="3013" t="s">
        <v>3271</v>
      </c>
      <c r="E212" s="3015" t="s">
        <v>3308</v>
      </c>
      <c r="F212" s="3011" t="s">
        <v>3267</v>
      </c>
      <c r="G212" s="3011" t="s">
        <v>3307</v>
      </c>
      <c r="H212" s="3010" t="s">
        <v>3059</v>
      </c>
      <c r="I212" s="3010" t="s">
        <v>3292</v>
      </c>
      <c r="J212" s="3009"/>
      <c r="K212" s="3008">
        <v>21.19</v>
      </c>
      <c r="L212" s="3008">
        <f t="shared" si="15"/>
        <v>2.9</v>
      </c>
      <c r="M212" s="3007">
        <v>88</v>
      </c>
      <c r="N212" s="2994">
        <f t="shared" si="16"/>
        <v>1864.72</v>
      </c>
      <c r="O212" s="3006">
        <v>15</v>
      </c>
      <c r="P212" s="2994">
        <f t="shared" si="17"/>
        <v>317.85000000000002</v>
      </c>
      <c r="Q212" s="3005">
        <v>43819</v>
      </c>
      <c r="R212" s="3005">
        <v>44184</v>
      </c>
      <c r="S212" s="3004"/>
    </row>
    <row r="213" spans="2:19" ht="21" customHeight="1">
      <c r="B213" s="2998">
        <v>205</v>
      </c>
      <c r="C213" s="3014" t="s">
        <v>3298</v>
      </c>
      <c r="D213" s="3013" t="s">
        <v>3271</v>
      </c>
      <c r="E213" s="3015" t="s">
        <v>3306</v>
      </c>
      <c r="F213" s="3011" t="s">
        <v>3267</v>
      </c>
      <c r="G213" s="3011" t="s">
        <v>3305</v>
      </c>
      <c r="H213" s="3010" t="s">
        <v>3059</v>
      </c>
      <c r="I213" s="3010" t="s">
        <v>3292</v>
      </c>
      <c r="J213" s="3009"/>
      <c r="K213" s="3008">
        <v>28.41</v>
      </c>
      <c r="L213" s="3008">
        <f t="shared" si="15"/>
        <v>2.5</v>
      </c>
      <c r="M213" s="3007">
        <v>75</v>
      </c>
      <c r="N213" s="2994">
        <f t="shared" si="16"/>
        <v>2130.75</v>
      </c>
      <c r="O213" s="3006">
        <v>15</v>
      </c>
      <c r="P213" s="2994">
        <f t="shared" si="17"/>
        <v>426.15</v>
      </c>
      <c r="Q213" s="3005">
        <v>43819</v>
      </c>
      <c r="R213" s="3005">
        <v>44184</v>
      </c>
      <c r="S213" s="3004"/>
    </row>
    <row r="214" spans="2:19" ht="21" customHeight="1">
      <c r="B214" s="2998">
        <v>206</v>
      </c>
      <c r="C214" s="3014" t="s">
        <v>3298</v>
      </c>
      <c r="D214" s="3013" t="s">
        <v>3271</v>
      </c>
      <c r="E214" s="3012" t="s">
        <v>3304</v>
      </c>
      <c r="F214" s="3011" t="s">
        <v>3267</v>
      </c>
      <c r="G214" s="3011" t="s">
        <v>3303</v>
      </c>
      <c r="H214" s="3010" t="s">
        <v>3059</v>
      </c>
      <c r="I214" s="3010" t="s">
        <v>3292</v>
      </c>
      <c r="J214" s="3009"/>
      <c r="K214" s="3008">
        <v>74.5</v>
      </c>
      <c r="L214" s="3008">
        <f t="shared" si="15"/>
        <v>1.6</v>
      </c>
      <c r="M214" s="3007">
        <v>50</v>
      </c>
      <c r="N214" s="2994">
        <f t="shared" si="16"/>
        <v>3725</v>
      </c>
      <c r="O214" s="3006">
        <v>15</v>
      </c>
      <c r="P214" s="2994">
        <f t="shared" si="17"/>
        <v>1117.5</v>
      </c>
      <c r="Q214" s="3005">
        <v>43819</v>
      </c>
      <c r="R214" s="3005">
        <v>44184</v>
      </c>
      <c r="S214" s="3004"/>
    </row>
    <row r="215" spans="2:19" ht="21" customHeight="1">
      <c r="B215" s="2998">
        <v>207</v>
      </c>
      <c r="C215" s="3014" t="s">
        <v>3298</v>
      </c>
      <c r="D215" s="3013" t="s">
        <v>3271</v>
      </c>
      <c r="E215" s="3012" t="s">
        <v>3302</v>
      </c>
      <c r="F215" s="3011" t="s">
        <v>3267</v>
      </c>
      <c r="G215" s="3011" t="s">
        <v>3301</v>
      </c>
      <c r="H215" s="3010" t="s">
        <v>3059</v>
      </c>
      <c r="I215" s="3010" t="s">
        <v>3292</v>
      </c>
      <c r="J215" s="3009"/>
      <c r="K215" s="3008">
        <v>28.95</v>
      </c>
      <c r="L215" s="3008">
        <f t="shared" si="15"/>
        <v>2.5</v>
      </c>
      <c r="M215" s="3007">
        <v>75</v>
      </c>
      <c r="N215" s="2994">
        <f t="shared" si="16"/>
        <v>2171.25</v>
      </c>
      <c r="O215" s="3006">
        <v>15</v>
      </c>
      <c r="P215" s="2994">
        <f t="shared" si="17"/>
        <v>434.25</v>
      </c>
      <c r="Q215" s="3005">
        <v>43819</v>
      </c>
      <c r="R215" s="3005">
        <v>44184</v>
      </c>
      <c r="S215" s="3004"/>
    </row>
    <row r="216" spans="2:19" ht="21" customHeight="1">
      <c r="B216" s="2998">
        <v>208</v>
      </c>
      <c r="C216" s="3014" t="s">
        <v>3298</v>
      </c>
      <c r="D216" s="3013" t="s">
        <v>3271</v>
      </c>
      <c r="E216" s="3012" t="s">
        <v>3300</v>
      </c>
      <c r="F216" s="3011" t="s">
        <v>3267</v>
      </c>
      <c r="G216" s="3011" t="s">
        <v>3299</v>
      </c>
      <c r="H216" s="3010" t="s">
        <v>3059</v>
      </c>
      <c r="I216" s="3010" t="s">
        <v>3292</v>
      </c>
      <c r="J216" s="3009"/>
      <c r="K216" s="3008">
        <v>63.7</v>
      </c>
      <c r="L216" s="3008">
        <f t="shared" si="15"/>
        <v>2.2999999999999998</v>
      </c>
      <c r="M216" s="3007">
        <v>70</v>
      </c>
      <c r="N216" s="2994">
        <f t="shared" si="16"/>
        <v>4459</v>
      </c>
      <c r="O216" s="3006">
        <v>15</v>
      </c>
      <c r="P216" s="2994">
        <f t="shared" si="17"/>
        <v>955.5</v>
      </c>
      <c r="Q216" s="3005">
        <v>43819</v>
      </c>
      <c r="R216" s="3005">
        <v>44184</v>
      </c>
      <c r="S216" s="3004"/>
    </row>
    <row r="217" spans="2:19" ht="21" customHeight="1">
      <c r="B217" s="2998">
        <v>209</v>
      </c>
      <c r="C217" s="3014" t="s">
        <v>3298</v>
      </c>
      <c r="D217" s="3013" t="s">
        <v>3271</v>
      </c>
      <c r="E217" s="3012" t="s">
        <v>3297</v>
      </c>
      <c r="F217" s="3011" t="s">
        <v>3267</v>
      </c>
      <c r="G217" s="3011" t="s">
        <v>3296</v>
      </c>
      <c r="H217" s="3010" t="s">
        <v>3059</v>
      </c>
      <c r="I217" s="3010" t="s">
        <v>3292</v>
      </c>
      <c r="J217" s="3009"/>
      <c r="K217" s="3008">
        <v>32.79</v>
      </c>
      <c r="L217" s="3008">
        <f t="shared" si="15"/>
        <v>2.2999999999999998</v>
      </c>
      <c r="M217" s="3007">
        <v>70</v>
      </c>
      <c r="N217" s="2994">
        <f t="shared" si="16"/>
        <v>2295.2999999999997</v>
      </c>
      <c r="O217" s="3006">
        <v>15</v>
      </c>
      <c r="P217" s="2994">
        <f t="shared" si="17"/>
        <v>491.84999999999997</v>
      </c>
      <c r="Q217" s="3005">
        <v>43819</v>
      </c>
      <c r="R217" s="3005">
        <v>44184</v>
      </c>
      <c r="S217" s="3004"/>
    </row>
    <row r="218" spans="2:19" ht="21" customHeight="1">
      <c r="B218" s="2998"/>
      <c r="C218" s="2989"/>
      <c r="D218" s="2989"/>
      <c r="E218" s="3003"/>
      <c r="F218" s="2989"/>
      <c r="G218" s="3002"/>
      <c r="H218" s="3002"/>
      <c r="I218" s="2989"/>
      <c r="J218" s="2996"/>
      <c r="K218" s="3001"/>
      <c r="L218" s="3001">
        <f>AVERAGE(L184:L217)</f>
        <v>2.7794117647058818</v>
      </c>
      <c r="M218" s="2985" t="str">
        <f>IFERROR(ROUND(#REF!*J218/K218,2),"-")</f>
        <v>-</v>
      </c>
      <c r="N218" s="2994">
        <f>SUM(N184:N217)*12</f>
        <v>1503909.1199999999</v>
      </c>
      <c r="O218" s="2989"/>
      <c r="P218" s="2994">
        <f>SUM(P184:P217)*12</f>
        <v>453590.39999999997</v>
      </c>
      <c r="Q218" s="2993"/>
      <c r="R218" s="2993"/>
      <c r="S218" s="2992"/>
    </row>
    <row r="219" spans="2:19" ht="21" customHeight="1">
      <c r="B219" s="2998"/>
      <c r="C219" s="2989"/>
      <c r="D219" s="2989"/>
      <c r="E219" s="3000"/>
      <c r="F219" s="2989"/>
      <c r="G219" s="3000"/>
      <c r="H219" s="3000"/>
      <c r="I219" s="2989"/>
      <c r="J219" s="2996"/>
      <c r="K219" s="2999"/>
      <c r="L219" s="2999"/>
      <c r="M219" s="2985" t="str">
        <f>IFERROR(ROUND(#REF!*J219/K219,2),"-")</f>
        <v>-</v>
      </c>
      <c r="N219" s="2994" t="str">
        <f t="shared" ref="N219:N282" si="18">IFERROR(M219*K219,"")</f>
        <v/>
      </c>
      <c r="O219" s="2989"/>
      <c r="P219" s="2994">
        <f t="shared" ref="P219:P282" si="19">IFERROR(K219*O219,"-")</f>
        <v>0</v>
      </c>
      <c r="Q219" s="2993"/>
      <c r="R219" s="2993"/>
      <c r="S219" s="2992"/>
    </row>
    <row r="220" spans="2:19" ht="21" customHeight="1">
      <c r="B220" s="2998"/>
      <c r="C220" s="2989"/>
      <c r="D220" s="2989"/>
      <c r="E220" s="3000"/>
      <c r="F220" s="2989"/>
      <c r="G220" s="3000"/>
      <c r="H220" s="3000"/>
      <c r="I220" s="2989"/>
      <c r="J220" s="2996"/>
      <c r="K220" s="2999"/>
      <c r="L220" s="2999"/>
      <c r="M220" s="2985" t="str">
        <f>IFERROR(ROUND(#REF!*J220/K220,2),"-")</f>
        <v>-</v>
      </c>
      <c r="N220" s="2994" t="str">
        <f t="shared" si="18"/>
        <v/>
      </c>
      <c r="O220" s="2989"/>
      <c r="P220" s="2994">
        <f t="shared" si="19"/>
        <v>0</v>
      </c>
      <c r="Q220" s="2993"/>
      <c r="R220" s="2993"/>
      <c r="S220" s="2992"/>
    </row>
    <row r="221" spans="2:19" ht="21" customHeight="1">
      <c r="B221" s="2998"/>
      <c r="C221" s="2989"/>
      <c r="D221" s="2989"/>
      <c r="E221" s="3000"/>
      <c r="F221" s="2989"/>
      <c r="G221" s="3000"/>
      <c r="H221" s="3000"/>
      <c r="I221" s="2989"/>
      <c r="J221" s="2996"/>
      <c r="K221" s="2999"/>
      <c r="L221" s="2999"/>
      <c r="M221" s="2985" t="str">
        <f>IFERROR(ROUND(#REF!*J221/K221,2),"-")</f>
        <v>-</v>
      </c>
      <c r="N221" s="2994" t="str">
        <f t="shared" si="18"/>
        <v/>
      </c>
      <c r="O221" s="2989"/>
      <c r="P221" s="2994">
        <f t="shared" si="19"/>
        <v>0</v>
      </c>
      <c r="Q221" s="2993"/>
      <c r="R221" s="2993"/>
      <c r="S221" s="2992"/>
    </row>
    <row r="222" spans="2:19" ht="21" customHeight="1">
      <c r="B222" s="2998"/>
      <c r="C222" s="2989"/>
      <c r="D222" s="2989"/>
      <c r="E222" s="2997"/>
      <c r="F222" s="2989"/>
      <c r="G222" s="2989"/>
      <c r="H222" s="2989"/>
      <c r="I222" s="2989"/>
      <c r="J222" s="2996"/>
      <c r="K222" s="2995"/>
      <c r="L222" s="2995"/>
      <c r="M222" s="2985" t="str">
        <f>IFERROR(ROUND(#REF!*J222/K222,2),"-")</f>
        <v>-</v>
      </c>
      <c r="N222" s="2994" t="str">
        <f t="shared" si="18"/>
        <v/>
      </c>
      <c r="O222" s="2989"/>
      <c r="P222" s="2994">
        <f t="shared" si="19"/>
        <v>0</v>
      </c>
      <c r="Q222" s="2993"/>
      <c r="R222" s="2993"/>
      <c r="S222" s="2992"/>
    </row>
    <row r="223" spans="2:19" ht="21" customHeight="1">
      <c r="B223" s="2998"/>
      <c r="C223" s="2989"/>
      <c r="D223" s="2989"/>
      <c r="E223" s="2997"/>
      <c r="F223" s="2989"/>
      <c r="G223" s="2989"/>
      <c r="H223" s="2989"/>
      <c r="I223" s="2989"/>
      <c r="J223" s="2996"/>
      <c r="K223" s="2995"/>
      <c r="L223" s="2995"/>
      <c r="M223" s="2985" t="str">
        <f>IFERROR(ROUND(#REF!*J223/K223,2),"-")</f>
        <v>-</v>
      </c>
      <c r="N223" s="2994" t="str">
        <f t="shared" si="18"/>
        <v/>
      </c>
      <c r="O223" s="2989"/>
      <c r="P223" s="2994">
        <f t="shared" si="19"/>
        <v>0</v>
      </c>
      <c r="Q223" s="2993"/>
      <c r="R223" s="2993"/>
      <c r="S223" s="2992"/>
    </row>
    <row r="224" spans="2:19" ht="21" customHeight="1">
      <c r="B224" s="2998"/>
      <c r="C224" s="2989"/>
      <c r="D224" s="2989"/>
      <c r="E224" s="2997"/>
      <c r="F224" s="2989"/>
      <c r="G224" s="2989"/>
      <c r="H224" s="2989"/>
      <c r="I224" s="2989"/>
      <c r="J224" s="2996"/>
      <c r="K224" s="2995"/>
      <c r="L224" s="2995"/>
      <c r="M224" s="2985" t="str">
        <f>IFERROR(ROUND(#REF!*J224/K224,2),"-")</f>
        <v>-</v>
      </c>
      <c r="N224" s="2994" t="str">
        <f t="shared" si="18"/>
        <v/>
      </c>
      <c r="O224" s="2989"/>
      <c r="P224" s="2994">
        <f t="shared" si="19"/>
        <v>0</v>
      </c>
      <c r="Q224" s="2993"/>
      <c r="R224" s="2993"/>
      <c r="S224" s="2992"/>
    </row>
    <row r="225" spans="2:19" ht="21" customHeight="1">
      <c r="B225" s="2998"/>
      <c r="C225" s="2989"/>
      <c r="D225" s="2989"/>
      <c r="E225" s="2997"/>
      <c r="F225" s="2989"/>
      <c r="G225" s="2989"/>
      <c r="H225" s="2989"/>
      <c r="I225" s="2989"/>
      <c r="J225" s="2996"/>
      <c r="K225" s="2995"/>
      <c r="L225" s="2995"/>
      <c r="M225" s="2985" t="str">
        <f>IFERROR(ROUND(#REF!*J225/K225,2),"-")</f>
        <v>-</v>
      </c>
      <c r="N225" s="2994" t="str">
        <f t="shared" si="18"/>
        <v/>
      </c>
      <c r="O225" s="2989"/>
      <c r="P225" s="2994">
        <f t="shared" si="19"/>
        <v>0</v>
      </c>
      <c r="Q225" s="2993"/>
      <c r="R225" s="2993"/>
      <c r="S225" s="2992"/>
    </row>
    <row r="226" spans="2:19" ht="21" customHeight="1">
      <c r="B226" s="2998"/>
      <c r="C226" s="2989"/>
      <c r="D226" s="2989"/>
      <c r="E226" s="2997"/>
      <c r="F226" s="2989"/>
      <c r="G226" s="2989"/>
      <c r="H226" s="2989"/>
      <c r="I226" s="2989"/>
      <c r="J226" s="2996"/>
      <c r="K226" s="2995"/>
      <c r="L226" s="2995"/>
      <c r="M226" s="2985" t="str">
        <f>IFERROR(ROUND(#REF!*J226/K226,2),"-")</f>
        <v>-</v>
      </c>
      <c r="N226" s="2994" t="str">
        <f t="shared" si="18"/>
        <v/>
      </c>
      <c r="O226" s="2989"/>
      <c r="P226" s="2994">
        <f t="shared" si="19"/>
        <v>0</v>
      </c>
      <c r="Q226" s="2993"/>
      <c r="R226" s="2993"/>
      <c r="S226" s="2992"/>
    </row>
    <row r="227" spans="2:19" ht="21" customHeight="1">
      <c r="B227" s="2998"/>
      <c r="C227" s="2989"/>
      <c r="D227" s="2989"/>
      <c r="E227" s="2997"/>
      <c r="F227" s="2989"/>
      <c r="G227" s="2989"/>
      <c r="H227" s="2989"/>
      <c r="I227" s="2989"/>
      <c r="J227" s="2996"/>
      <c r="K227" s="2995"/>
      <c r="L227" s="2995"/>
      <c r="M227" s="2985" t="str">
        <f>IFERROR(ROUND(#REF!*J227/K227,2),"-")</f>
        <v>-</v>
      </c>
      <c r="N227" s="2994" t="str">
        <f t="shared" si="18"/>
        <v/>
      </c>
      <c r="O227" s="2989"/>
      <c r="P227" s="2994">
        <f t="shared" si="19"/>
        <v>0</v>
      </c>
      <c r="Q227" s="2993"/>
      <c r="R227" s="2993"/>
      <c r="S227" s="2992"/>
    </row>
    <row r="228" spans="2:19" ht="21" customHeight="1">
      <c r="B228" s="2998"/>
      <c r="C228" s="2989"/>
      <c r="D228" s="2989"/>
      <c r="E228" s="2997"/>
      <c r="F228" s="2989"/>
      <c r="G228" s="2989"/>
      <c r="H228" s="2989"/>
      <c r="I228" s="2989"/>
      <c r="J228" s="2996"/>
      <c r="K228" s="2995"/>
      <c r="L228" s="2995"/>
      <c r="M228" s="2985" t="str">
        <f>IFERROR(ROUND(#REF!*J228/K228,2),"-")</f>
        <v>-</v>
      </c>
      <c r="N228" s="2994" t="str">
        <f t="shared" si="18"/>
        <v/>
      </c>
      <c r="O228" s="2989"/>
      <c r="P228" s="2994">
        <f t="shared" si="19"/>
        <v>0</v>
      </c>
      <c r="Q228" s="2993"/>
      <c r="R228" s="2993"/>
      <c r="S228" s="2992"/>
    </row>
    <row r="229" spans="2:19" ht="21" customHeight="1">
      <c r="B229" s="2998"/>
      <c r="C229" s="2989"/>
      <c r="D229" s="2989"/>
      <c r="E229" s="2997"/>
      <c r="F229" s="2989"/>
      <c r="G229" s="2989"/>
      <c r="H229" s="2989"/>
      <c r="I229" s="2989"/>
      <c r="J229" s="2996"/>
      <c r="K229" s="2995"/>
      <c r="L229" s="2995"/>
      <c r="M229" s="2985" t="str">
        <f>IFERROR(ROUND(#REF!*J229/K229,2),"-")</f>
        <v>-</v>
      </c>
      <c r="N229" s="2994" t="str">
        <f t="shared" si="18"/>
        <v/>
      </c>
      <c r="O229" s="2989"/>
      <c r="P229" s="2994">
        <f t="shared" si="19"/>
        <v>0</v>
      </c>
      <c r="Q229" s="2993"/>
      <c r="R229" s="2993"/>
      <c r="S229" s="2992"/>
    </row>
    <row r="230" spans="2:19" ht="21" customHeight="1">
      <c r="B230" s="2998"/>
      <c r="C230" s="2989"/>
      <c r="D230" s="2989"/>
      <c r="E230" s="2997"/>
      <c r="F230" s="2989"/>
      <c r="G230" s="2989"/>
      <c r="H230" s="2989"/>
      <c r="I230" s="2989"/>
      <c r="J230" s="2996"/>
      <c r="K230" s="2995"/>
      <c r="L230" s="2995"/>
      <c r="M230" s="2985" t="str">
        <f>IFERROR(ROUND(#REF!*J230/K230,2),"-")</f>
        <v>-</v>
      </c>
      <c r="N230" s="2994" t="str">
        <f t="shared" si="18"/>
        <v/>
      </c>
      <c r="O230" s="2989"/>
      <c r="P230" s="2994">
        <f t="shared" si="19"/>
        <v>0</v>
      </c>
      <c r="Q230" s="2993"/>
      <c r="R230" s="2993"/>
      <c r="S230" s="2992"/>
    </row>
    <row r="231" spans="2:19" ht="21" customHeight="1">
      <c r="B231" s="2998"/>
      <c r="C231" s="2989"/>
      <c r="D231" s="2989"/>
      <c r="E231" s="2997"/>
      <c r="F231" s="2989"/>
      <c r="G231" s="2989"/>
      <c r="H231" s="2989"/>
      <c r="I231" s="2989"/>
      <c r="J231" s="2996"/>
      <c r="K231" s="2995"/>
      <c r="L231" s="2995"/>
      <c r="M231" s="2985" t="str">
        <f>IFERROR(ROUND(#REF!*J231/K231,2),"-")</f>
        <v>-</v>
      </c>
      <c r="N231" s="2994" t="str">
        <f t="shared" si="18"/>
        <v/>
      </c>
      <c r="O231" s="2989"/>
      <c r="P231" s="2994">
        <f t="shared" si="19"/>
        <v>0</v>
      </c>
      <c r="Q231" s="2993"/>
      <c r="R231" s="2993"/>
      <c r="S231" s="2992"/>
    </row>
    <row r="232" spans="2:19" ht="21" customHeight="1">
      <c r="B232" s="2998"/>
      <c r="C232" s="2989"/>
      <c r="D232" s="2989"/>
      <c r="E232" s="2997"/>
      <c r="F232" s="2989"/>
      <c r="G232" s="2989"/>
      <c r="H232" s="2989"/>
      <c r="I232" s="2989"/>
      <c r="J232" s="2996"/>
      <c r="K232" s="2995"/>
      <c r="L232" s="2995"/>
      <c r="M232" s="2985" t="str">
        <f>IFERROR(ROUND(#REF!*J232/K232,2),"-")</f>
        <v>-</v>
      </c>
      <c r="N232" s="2994" t="str">
        <f t="shared" si="18"/>
        <v/>
      </c>
      <c r="O232" s="2989"/>
      <c r="P232" s="2994">
        <f t="shared" si="19"/>
        <v>0</v>
      </c>
      <c r="Q232" s="2993"/>
      <c r="R232" s="2993"/>
      <c r="S232" s="2992"/>
    </row>
    <row r="233" spans="2:19" ht="21" customHeight="1">
      <c r="B233" s="2998"/>
      <c r="C233" s="2989"/>
      <c r="D233" s="2989"/>
      <c r="E233" s="2997"/>
      <c r="F233" s="2989"/>
      <c r="G233" s="2989"/>
      <c r="H233" s="2989"/>
      <c r="I233" s="2989"/>
      <c r="J233" s="2996"/>
      <c r="K233" s="2995"/>
      <c r="L233" s="2995"/>
      <c r="M233" s="2985" t="str">
        <f>IFERROR(ROUND(#REF!*J233/K233,2),"-")</f>
        <v>-</v>
      </c>
      <c r="N233" s="2994" t="str">
        <f t="shared" si="18"/>
        <v/>
      </c>
      <c r="O233" s="2989"/>
      <c r="P233" s="2994">
        <f t="shared" si="19"/>
        <v>0</v>
      </c>
      <c r="Q233" s="2993"/>
      <c r="R233" s="2993"/>
      <c r="S233" s="2992"/>
    </row>
    <row r="234" spans="2:19" ht="21" customHeight="1">
      <c r="B234" s="2998"/>
      <c r="C234" s="2989"/>
      <c r="D234" s="2989"/>
      <c r="E234" s="2997"/>
      <c r="F234" s="2989"/>
      <c r="G234" s="2989"/>
      <c r="H234" s="2989"/>
      <c r="I234" s="2989"/>
      <c r="J234" s="2996"/>
      <c r="K234" s="2995"/>
      <c r="L234" s="2995"/>
      <c r="M234" s="2985" t="str">
        <f>IFERROR(ROUND(#REF!*J234/K234,2),"-")</f>
        <v>-</v>
      </c>
      <c r="N234" s="2994" t="str">
        <f t="shared" si="18"/>
        <v/>
      </c>
      <c r="O234" s="2989"/>
      <c r="P234" s="2994">
        <f t="shared" si="19"/>
        <v>0</v>
      </c>
      <c r="Q234" s="2993"/>
      <c r="R234" s="2993"/>
      <c r="S234" s="2992"/>
    </row>
    <row r="235" spans="2:19" ht="21" customHeight="1">
      <c r="B235" s="2998"/>
      <c r="C235" s="2989"/>
      <c r="D235" s="2989"/>
      <c r="E235" s="2997"/>
      <c r="F235" s="2989"/>
      <c r="G235" s="2989"/>
      <c r="H235" s="2989"/>
      <c r="I235" s="2989"/>
      <c r="J235" s="2996"/>
      <c r="K235" s="2995"/>
      <c r="L235" s="2995"/>
      <c r="M235" s="2985" t="str">
        <f>IFERROR(ROUND(#REF!*J235/K235,2),"-")</f>
        <v>-</v>
      </c>
      <c r="N235" s="2994" t="str">
        <f t="shared" si="18"/>
        <v/>
      </c>
      <c r="O235" s="2989"/>
      <c r="P235" s="2994">
        <f t="shared" si="19"/>
        <v>0</v>
      </c>
      <c r="Q235" s="2993"/>
      <c r="R235" s="2993"/>
      <c r="S235" s="2992"/>
    </row>
    <row r="236" spans="2:19" ht="21" customHeight="1">
      <c r="B236" s="2998"/>
      <c r="C236" s="2989"/>
      <c r="D236" s="2989"/>
      <c r="E236" s="2997"/>
      <c r="F236" s="2989"/>
      <c r="G236" s="2989"/>
      <c r="H236" s="2989"/>
      <c r="I236" s="2989"/>
      <c r="J236" s="2996"/>
      <c r="K236" s="2995"/>
      <c r="L236" s="2995"/>
      <c r="M236" s="2985" t="str">
        <f>IFERROR(ROUND(#REF!*J236/K236,2),"-")</f>
        <v>-</v>
      </c>
      <c r="N236" s="2994" t="str">
        <f t="shared" si="18"/>
        <v/>
      </c>
      <c r="O236" s="2989"/>
      <c r="P236" s="2994">
        <f t="shared" si="19"/>
        <v>0</v>
      </c>
      <c r="Q236" s="2993"/>
      <c r="R236" s="2993"/>
      <c r="S236" s="2992"/>
    </row>
    <row r="237" spans="2:19" ht="21" customHeight="1">
      <c r="B237" s="2998"/>
      <c r="C237" s="2989"/>
      <c r="D237" s="2989"/>
      <c r="E237" s="2997"/>
      <c r="F237" s="2989"/>
      <c r="G237" s="2989"/>
      <c r="H237" s="2989"/>
      <c r="I237" s="2989"/>
      <c r="J237" s="2996"/>
      <c r="K237" s="2995"/>
      <c r="L237" s="2995"/>
      <c r="M237" s="2985" t="str">
        <f>IFERROR(ROUND(#REF!*J237/K237,2),"-")</f>
        <v>-</v>
      </c>
      <c r="N237" s="2994" t="str">
        <f t="shared" si="18"/>
        <v/>
      </c>
      <c r="O237" s="2989"/>
      <c r="P237" s="2994">
        <f t="shared" si="19"/>
        <v>0</v>
      </c>
      <c r="Q237" s="2993"/>
      <c r="R237" s="2993"/>
      <c r="S237" s="2992"/>
    </row>
    <row r="238" spans="2:19" ht="21" customHeight="1">
      <c r="B238" s="2998"/>
      <c r="C238" s="2989"/>
      <c r="D238" s="2989"/>
      <c r="E238" s="2997"/>
      <c r="F238" s="2989"/>
      <c r="G238" s="2989"/>
      <c r="H238" s="2989"/>
      <c r="I238" s="2989"/>
      <c r="J238" s="2996"/>
      <c r="K238" s="2995"/>
      <c r="L238" s="2995"/>
      <c r="M238" s="2985" t="str">
        <f>IFERROR(ROUND(#REF!*J238/K238,2),"-")</f>
        <v>-</v>
      </c>
      <c r="N238" s="2994" t="str">
        <f t="shared" si="18"/>
        <v/>
      </c>
      <c r="O238" s="2989"/>
      <c r="P238" s="2994">
        <f t="shared" si="19"/>
        <v>0</v>
      </c>
      <c r="Q238" s="2993"/>
      <c r="R238" s="2993"/>
      <c r="S238" s="2992"/>
    </row>
    <row r="239" spans="2:19" ht="21" customHeight="1">
      <c r="B239" s="2998"/>
      <c r="C239" s="2989"/>
      <c r="D239" s="2989"/>
      <c r="E239" s="2997"/>
      <c r="F239" s="2989"/>
      <c r="G239" s="2989"/>
      <c r="H239" s="2989"/>
      <c r="I239" s="2989"/>
      <c r="J239" s="2996"/>
      <c r="K239" s="2995"/>
      <c r="L239" s="2995"/>
      <c r="M239" s="2985" t="str">
        <f>IFERROR(ROUND(#REF!*J239/K239,2),"-")</f>
        <v>-</v>
      </c>
      <c r="N239" s="2994" t="str">
        <f t="shared" si="18"/>
        <v/>
      </c>
      <c r="O239" s="2989"/>
      <c r="P239" s="2994">
        <f t="shared" si="19"/>
        <v>0</v>
      </c>
      <c r="Q239" s="2993"/>
      <c r="R239" s="2993"/>
      <c r="S239" s="2992"/>
    </row>
    <row r="240" spans="2:19" ht="21" customHeight="1">
      <c r="B240" s="2998"/>
      <c r="C240" s="2989"/>
      <c r="D240" s="2989"/>
      <c r="E240" s="2997"/>
      <c r="F240" s="2989"/>
      <c r="G240" s="2989"/>
      <c r="H240" s="2989"/>
      <c r="I240" s="2989"/>
      <c r="J240" s="2996"/>
      <c r="K240" s="2995"/>
      <c r="L240" s="2995"/>
      <c r="M240" s="2985" t="str">
        <f>IFERROR(ROUND(#REF!*J240/K240,2),"-")</f>
        <v>-</v>
      </c>
      <c r="N240" s="2994" t="str">
        <f t="shared" si="18"/>
        <v/>
      </c>
      <c r="O240" s="2989"/>
      <c r="P240" s="2994">
        <f t="shared" si="19"/>
        <v>0</v>
      </c>
      <c r="Q240" s="2993"/>
      <c r="R240" s="2993"/>
      <c r="S240" s="2992"/>
    </row>
    <row r="241" spans="2:19" ht="21" customHeight="1">
      <c r="B241" s="2998"/>
      <c r="C241" s="2989"/>
      <c r="D241" s="2989"/>
      <c r="E241" s="2997"/>
      <c r="F241" s="2989"/>
      <c r="G241" s="2989"/>
      <c r="H241" s="2989"/>
      <c r="I241" s="2989"/>
      <c r="J241" s="2996"/>
      <c r="K241" s="2995"/>
      <c r="L241" s="2995"/>
      <c r="M241" s="2985" t="str">
        <f>IFERROR(ROUND(#REF!*J241/K241,2),"-")</f>
        <v>-</v>
      </c>
      <c r="N241" s="2994" t="str">
        <f t="shared" si="18"/>
        <v/>
      </c>
      <c r="O241" s="2989"/>
      <c r="P241" s="2994">
        <f t="shared" si="19"/>
        <v>0</v>
      </c>
      <c r="Q241" s="2993"/>
      <c r="R241" s="2993"/>
      <c r="S241" s="2992"/>
    </row>
    <row r="242" spans="2:19" ht="21" customHeight="1">
      <c r="B242" s="2998"/>
      <c r="C242" s="2989"/>
      <c r="D242" s="2989"/>
      <c r="E242" s="2997"/>
      <c r="F242" s="2989"/>
      <c r="G242" s="2989"/>
      <c r="H242" s="2989"/>
      <c r="I242" s="2989"/>
      <c r="J242" s="2996"/>
      <c r="K242" s="2995"/>
      <c r="L242" s="2995"/>
      <c r="M242" s="2985" t="str">
        <f>IFERROR(ROUND(#REF!*J242/K242,2),"-")</f>
        <v>-</v>
      </c>
      <c r="N242" s="2994" t="str">
        <f t="shared" si="18"/>
        <v/>
      </c>
      <c r="O242" s="2989"/>
      <c r="P242" s="2994">
        <f t="shared" si="19"/>
        <v>0</v>
      </c>
      <c r="Q242" s="2993"/>
      <c r="R242" s="2993"/>
      <c r="S242" s="2992"/>
    </row>
    <row r="243" spans="2:19" ht="21" customHeight="1">
      <c r="B243" s="2998"/>
      <c r="C243" s="2989"/>
      <c r="D243" s="2989"/>
      <c r="E243" s="2997"/>
      <c r="F243" s="2989"/>
      <c r="G243" s="2989"/>
      <c r="H243" s="2989"/>
      <c r="I243" s="2989"/>
      <c r="J243" s="2996"/>
      <c r="K243" s="2995"/>
      <c r="L243" s="2995"/>
      <c r="M243" s="2985" t="str">
        <f>IFERROR(ROUND(#REF!*J243/K243,2),"-")</f>
        <v>-</v>
      </c>
      <c r="N243" s="2994" t="str">
        <f t="shared" si="18"/>
        <v/>
      </c>
      <c r="O243" s="2989"/>
      <c r="P243" s="2994">
        <f t="shared" si="19"/>
        <v>0</v>
      </c>
      <c r="Q243" s="2993"/>
      <c r="R243" s="2993"/>
      <c r="S243" s="2992"/>
    </row>
    <row r="244" spans="2:19" ht="21" customHeight="1">
      <c r="B244" s="2998"/>
      <c r="C244" s="2989"/>
      <c r="D244" s="2989"/>
      <c r="E244" s="2997"/>
      <c r="F244" s="2989"/>
      <c r="G244" s="2989"/>
      <c r="H244" s="2989"/>
      <c r="I244" s="2989"/>
      <c r="J244" s="2996"/>
      <c r="K244" s="2995"/>
      <c r="L244" s="2995"/>
      <c r="M244" s="2985" t="str">
        <f>IFERROR(ROUND(#REF!*J244/K244,2),"-")</f>
        <v>-</v>
      </c>
      <c r="N244" s="2994" t="str">
        <f t="shared" si="18"/>
        <v/>
      </c>
      <c r="O244" s="2989"/>
      <c r="P244" s="2994">
        <f t="shared" si="19"/>
        <v>0</v>
      </c>
      <c r="Q244" s="2993"/>
      <c r="R244" s="2993"/>
      <c r="S244" s="2992"/>
    </row>
    <row r="245" spans="2:19" ht="21" customHeight="1">
      <c r="B245" s="2998"/>
      <c r="C245" s="2989"/>
      <c r="D245" s="2989"/>
      <c r="E245" s="2997"/>
      <c r="F245" s="2989"/>
      <c r="G245" s="2989"/>
      <c r="H245" s="2989"/>
      <c r="I245" s="2989"/>
      <c r="J245" s="2996"/>
      <c r="K245" s="2995"/>
      <c r="L245" s="2995"/>
      <c r="M245" s="2985" t="str">
        <f>IFERROR(ROUND(#REF!*J245/K245,2),"-")</f>
        <v>-</v>
      </c>
      <c r="N245" s="2994" t="str">
        <f t="shared" si="18"/>
        <v/>
      </c>
      <c r="O245" s="2989"/>
      <c r="P245" s="2994">
        <f t="shared" si="19"/>
        <v>0</v>
      </c>
      <c r="Q245" s="2993"/>
      <c r="R245" s="2993"/>
      <c r="S245" s="2992"/>
    </row>
    <row r="246" spans="2:19" ht="21" customHeight="1">
      <c r="B246" s="2998"/>
      <c r="C246" s="2989"/>
      <c r="D246" s="2989"/>
      <c r="E246" s="2997"/>
      <c r="F246" s="2989"/>
      <c r="G246" s="2989"/>
      <c r="H246" s="2989"/>
      <c r="I246" s="2989"/>
      <c r="J246" s="2996"/>
      <c r="K246" s="2995"/>
      <c r="L246" s="2995"/>
      <c r="M246" s="2985" t="str">
        <f>IFERROR(ROUND(#REF!*J246/K246,2),"-")</f>
        <v>-</v>
      </c>
      <c r="N246" s="2994" t="str">
        <f t="shared" si="18"/>
        <v/>
      </c>
      <c r="O246" s="2989"/>
      <c r="P246" s="2994">
        <f t="shared" si="19"/>
        <v>0</v>
      </c>
      <c r="Q246" s="2993"/>
      <c r="R246" s="2993"/>
      <c r="S246" s="2992"/>
    </row>
    <row r="247" spans="2:19" ht="21" customHeight="1">
      <c r="B247" s="2998"/>
      <c r="C247" s="2989"/>
      <c r="D247" s="2989"/>
      <c r="E247" s="2997"/>
      <c r="F247" s="2989"/>
      <c r="G247" s="2989"/>
      <c r="H247" s="2989"/>
      <c r="I247" s="2989"/>
      <c r="J247" s="2996"/>
      <c r="K247" s="2995"/>
      <c r="L247" s="2995"/>
      <c r="M247" s="2985" t="str">
        <f>IFERROR(ROUND(#REF!*J247/K247,2),"-")</f>
        <v>-</v>
      </c>
      <c r="N247" s="2994" t="str">
        <f t="shared" si="18"/>
        <v/>
      </c>
      <c r="O247" s="2989"/>
      <c r="P247" s="2994">
        <f t="shared" si="19"/>
        <v>0</v>
      </c>
      <c r="Q247" s="2993"/>
      <c r="R247" s="2993"/>
      <c r="S247" s="2992"/>
    </row>
    <row r="248" spans="2:19" ht="21" customHeight="1">
      <c r="B248" s="2998"/>
      <c r="C248" s="2989"/>
      <c r="D248" s="2989"/>
      <c r="E248" s="2997"/>
      <c r="F248" s="2989"/>
      <c r="G248" s="2989"/>
      <c r="H248" s="2989"/>
      <c r="I248" s="2989"/>
      <c r="J248" s="2996"/>
      <c r="K248" s="2995"/>
      <c r="L248" s="2995"/>
      <c r="M248" s="2985" t="str">
        <f>IFERROR(ROUND(#REF!*J248/K248,2),"-")</f>
        <v>-</v>
      </c>
      <c r="N248" s="2994" t="str">
        <f t="shared" si="18"/>
        <v/>
      </c>
      <c r="O248" s="2989"/>
      <c r="P248" s="2994">
        <f t="shared" si="19"/>
        <v>0</v>
      </c>
      <c r="Q248" s="2993"/>
      <c r="R248" s="2993"/>
      <c r="S248" s="2992"/>
    </row>
    <row r="249" spans="2:19" ht="21" customHeight="1">
      <c r="B249" s="2998"/>
      <c r="C249" s="2989"/>
      <c r="D249" s="2989"/>
      <c r="E249" s="2997"/>
      <c r="F249" s="2989"/>
      <c r="G249" s="2989"/>
      <c r="H249" s="2989"/>
      <c r="I249" s="2989"/>
      <c r="J249" s="2996"/>
      <c r="K249" s="2995"/>
      <c r="L249" s="2995"/>
      <c r="M249" s="2985" t="str">
        <f>IFERROR(ROUND(#REF!*J249/K249,2),"-")</f>
        <v>-</v>
      </c>
      <c r="N249" s="2994" t="str">
        <f t="shared" si="18"/>
        <v/>
      </c>
      <c r="O249" s="2989"/>
      <c r="P249" s="2994">
        <f t="shared" si="19"/>
        <v>0</v>
      </c>
      <c r="Q249" s="2993"/>
      <c r="R249" s="2993"/>
      <c r="S249" s="2992"/>
    </row>
    <row r="250" spans="2:19" ht="21" customHeight="1">
      <c r="B250" s="2998"/>
      <c r="C250" s="2989"/>
      <c r="D250" s="2989"/>
      <c r="E250" s="2997"/>
      <c r="F250" s="2989"/>
      <c r="G250" s="2989"/>
      <c r="H250" s="2989"/>
      <c r="I250" s="2989"/>
      <c r="J250" s="2996"/>
      <c r="K250" s="2995"/>
      <c r="L250" s="2995"/>
      <c r="M250" s="2985" t="str">
        <f>IFERROR(ROUND(#REF!*J250/K250,2),"-")</f>
        <v>-</v>
      </c>
      <c r="N250" s="2994" t="str">
        <f t="shared" si="18"/>
        <v/>
      </c>
      <c r="O250" s="2989"/>
      <c r="P250" s="2994">
        <f t="shared" si="19"/>
        <v>0</v>
      </c>
      <c r="Q250" s="2993"/>
      <c r="R250" s="2993"/>
      <c r="S250" s="2992"/>
    </row>
    <row r="251" spans="2:19" ht="21" customHeight="1">
      <c r="B251" s="2998"/>
      <c r="C251" s="2989"/>
      <c r="D251" s="2989"/>
      <c r="E251" s="2997"/>
      <c r="F251" s="2989"/>
      <c r="G251" s="2989"/>
      <c r="H251" s="2989"/>
      <c r="I251" s="2989"/>
      <c r="J251" s="2996"/>
      <c r="K251" s="2995"/>
      <c r="L251" s="2995"/>
      <c r="M251" s="2985" t="str">
        <f>IFERROR(ROUND(#REF!*J251/K251,2),"-")</f>
        <v>-</v>
      </c>
      <c r="N251" s="2994" t="str">
        <f t="shared" si="18"/>
        <v/>
      </c>
      <c r="O251" s="2989"/>
      <c r="P251" s="2994">
        <f t="shared" si="19"/>
        <v>0</v>
      </c>
      <c r="Q251" s="2993"/>
      <c r="R251" s="2993"/>
      <c r="S251" s="2992"/>
    </row>
    <row r="252" spans="2:19" ht="21" customHeight="1">
      <c r="B252" s="2998"/>
      <c r="C252" s="2989"/>
      <c r="D252" s="2989"/>
      <c r="E252" s="2997"/>
      <c r="F252" s="2989"/>
      <c r="G252" s="2989"/>
      <c r="H252" s="2989"/>
      <c r="I252" s="2989"/>
      <c r="J252" s="2996"/>
      <c r="K252" s="2995"/>
      <c r="L252" s="2995"/>
      <c r="M252" s="2985" t="str">
        <f>IFERROR(ROUND(#REF!*J252/K252,2),"-")</f>
        <v>-</v>
      </c>
      <c r="N252" s="2994" t="str">
        <f t="shared" si="18"/>
        <v/>
      </c>
      <c r="O252" s="2989"/>
      <c r="P252" s="2994">
        <f t="shared" si="19"/>
        <v>0</v>
      </c>
      <c r="Q252" s="2993"/>
      <c r="R252" s="2993"/>
      <c r="S252" s="2992"/>
    </row>
    <row r="253" spans="2:19" ht="21" customHeight="1">
      <c r="B253" s="2998"/>
      <c r="C253" s="2989"/>
      <c r="D253" s="2989"/>
      <c r="E253" s="2997"/>
      <c r="F253" s="2989"/>
      <c r="G253" s="2989"/>
      <c r="H253" s="2989"/>
      <c r="I253" s="2989"/>
      <c r="J253" s="2996"/>
      <c r="K253" s="2995"/>
      <c r="L253" s="2995"/>
      <c r="M253" s="2985" t="str">
        <f>IFERROR(ROUND(#REF!*J253/K253,2),"-")</f>
        <v>-</v>
      </c>
      <c r="N253" s="2994" t="str">
        <f t="shared" si="18"/>
        <v/>
      </c>
      <c r="O253" s="2989"/>
      <c r="P253" s="2994">
        <f t="shared" si="19"/>
        <v>0</v>
      </c>
      <c r="Q253" s="2993"/>
      <c r="R253" s="2993"/>
      <c r="S253" s="2992"/>
    </row>
    <row r="254" spans="2:19" ht="21" customHeight="1">
      <c r="B254" s="2998"/>
      <c r="C254" s="2989"/>
      <c r="D254" s="2989"/>
      <c r="E254" s="2997"/>
      <c r="F254" s="2989"/>
      <c r="G254" s="2989"/>
      <c r="H254" s="2989"/>
      <c r="I254" s="2989"/>
      <c r="J254" s="2996"/>
      <c r="K254" s="2995"/>
      <c r="L254" s="2995"/>
      <c r="M254" s="2985" t="str">
        <f>IFERROR(ROUND(#REF!*J254/K254,2),"-")</f>
        <v>-</v>
      </c>
      <c r="N254" s="2994" t="str">
        <f t="shared" si="18"/>
        <v/>
      </c>
      <c r="O254" s="2989"/>
      <c r="P254" s="2994">
        <f t="shared" si="19"/>
        <v>0</v>
      </c>
      <c r="Q254" s="2993"/>
      <c r="R254" s="2993"/>
      <c r="S254" s="2992"/>
    </row>
    <row r="255" spans="2:19" ht="21" customHeight="1">
      <c r="B255" s="2998"/>
      <c r="C255" s="2989"/>
      <c r="D255" s="2989"/>
      <c r="E255" s="2997"/>
      <c r="F255" s="2989"/>
      <c r="G255" s="2989"/>
      <c r="H255" s="2989"/>
      <c r="I255" s="2989"/>
      <c r="J255" s="2996"/>
      <c r="K255" s="2995"/>
      <c r="L255" s="2995"/>
      <c r="M255" s="2985" t="str">
        <f>IFERROR(ROUND(#REF!*J255/K255,2),"-")</f>
        <v>-</v>
      </c>
      <c r="N255" s="2994" t="str">
        <f t="shared" si="18"/>
        <v/>
      </c>
      <c r="O255" s="2989"/>
      <c r="P255" s="2994">
        <f t="shared" si="19"/>
        <v>0</v>
      </c>
      <c r="Q255" s="2993"/>
      <c r="R255" s="2993"/>
      <c r="S255" s="2992"/>
    </row>
    <row r="256" spans="2:19" ht="21" customHeight="1">
      <c r="B256" s="2998"/>
      <c r="C256" s="2989"/>
      <c r="D256" s="2989"/>
      <c r="E256" s="2997"/>
      <c r="F256" s="2989"/>
      <c r="G256" s="2989"/>
      <c r="H256" s="2989"/>
      <c r="I256" s="2989"/>
      <c r="J256" s="2996"/>
      <c r="K256" s="2995"/>
      <c r="L256" s="2995"/>
      <c r="M256" s="2985" t="str">
        <f>IFERROR(ROUND(#REF!*J256/K256,2),"-")</f>
        <v>-</v>
      </c>
      <c r="N256" s="2994" t="str">
        <f t="shared" si="18"/>
        <v/>
      </c>
      <c r="O256" s="2989"/>
      <c r="P256" s="2994">
        <f t="shared" si="19"/>
        <v>0</v>
      </c>
      <c r="Q256" s="2993"/>
      <c r="R256" s="2993"/>
      <c r="S256" s="2992"/>
    </row>
    <row r="257" spans="2:19" ht="21" customHeight="1">
      <c r="B257" s="2998"/>
      <c r="C257" s="2989"/>
      <c r="D257" s="2989"/>
      <c r="E257" s="2997"/>
      <c r="F257" s="2989"/>
      <c r="G257" s="2989"/>
      <c r="H257" s="2989"/>
      <c r="I257" s="2989"/>
      <c r="J257" s="2996"/>
      <c r="K257" s="2995"/>
      <c r="L257" s="2995"/>
      <c r="M257" s="2985" t="str">
        <f>IFERROR(ROUND(#REF!*J257/K257,2),"-")</f>
        <v>-</v>
      </c>
      <c r="N257" s="2994" t="str">
        <f t="shared" si="18"/>
        <v/>
      </c>
      <c r="O257" s="2989"/>
      <c r="P257" s="2994">
        <f t="shared" si="19"/>
        <v>0</v>
      </c>
      <c r="Q257" s="2993"/>
      <c r="R257" s="2993"/>
      <c r="S257" s="2992"/>
    </row>
    <row r="258" spans="2:19" ht="21" customHeight="1">
      <c r="B258" s="2998"/>
      <c r="C258" s="2989"/>
      <c r="D258" s="2989"/>
      <c r="E258" s="2997"/>
      <c r="F258" s="2989"/>
      <c r="G258" s="2989"/>
      <c r="H258" s="2989"/>
      <c r="I258" s="2989"/>
      <c r="J258" s="2996"/>
      <c r="K258" s="2995"/>
      <c r="L258" s="2995"/>
      <c r="M258" s="2985" t="str">
        <f>IFERROR(ROUND(#REF!*J258/K258,2),"-")</f>
        <v>-</v>
      </c>
      <c r="N258" s="2994" t="str">
        <f t="shared" si="18"/>
        <v/>
      </c>
      <c r="O258" s="2989"/>
      <c r="P258" s="2994">
        <f t="shared" si="19"/>
        <v>0</v>
      </c>
      <c r="Q258" s="2993"/>
      <c r="R258" s="2993"/>
      <c r="S258" s="2992"/>
    </row>
    <row r="259" spans="2:19" ht="21" customHeight="1">
      <c r="B259" s="2998"/>
      <c r="C259" s="2989"/>
      <c r="D259" s="2989"/>
      <c r="E259" s="2997"/>
      <c r="F259" s="2989"/>
      <c r="G259" s="2989"/>
      <c r="H259" s="2989"/>
      <c r="I259" s="2989"/>
      <c r="J259" s="2996"/>
      <c r="K259" s="2995"/>
      <c r="L259" s="2995"/>
      <c r="M259" s="2985" t="str">
        <f>IFERROR(ROUND(#REF!*J259/K259,2),"-")</f>
        <v>-</v>
      </c>
      <c r="N259" s="2994" t="str">
        <f t="shared" si="18"/>
        <v/>
      </c>
      <c r="O259" s="2989"/>
      <c r="P259" s="2994">
        <f t="shared" si="19"/>
        <v>0</v>
      </c>
      <c r="Q259" s="2993"/>
      <c r="R259" s="2993"/>
      <c r="S259" s="2992"/>
    </row>
    <row r="260" spans="2:19" ht="21" customHeight="1">
      <c r="B260" s="2998"/>
      <c r="C260" s="2989"/>
      <c r="D260" s="2989"/>
      <c r="E260" s="2997"/>
      <c r="F260" s="2989"/>
      <c r="G260" s="2989"/>
      <c r="H260" s="2989"/>
      <c r="I260" s="2989"/>
      <c r="J260" s="2996"/>
      <c r="K260" s="2995"/>
      <c r="L260" s="2995"/>
      <c r="M260" s="2985" t="str">
        <f>IFERROR(ROUND(#REF!*J260/K260,2),"-")</f>
        <v>-</v>
      </c>
      <c r="N260" s="2994" t="str">
        <f t="shared" si="18"/>
        <v/>
      </c>
      <c r="O260" s="2989"/>
      <c r="P260" s="2994">
        <f t="shared" si="19"/>
        <v>0</v>
      </c>
      <c r="Q260" s="2993"/>
      <c r="R260" s="2993"/>
      <c r="S260" s="2992"/>
    </row>
    <row r="261" spans="2:19" ht="21" customHeight="1">
      <c r="B261" s="2998"/>
      <c r="C261" s="2989"/>
      <c r="D261" s="2989"/>
      <c r="E261" s="2997"/>
      <c r="F261" s="2989"/>
      <c r="G261" s="2989"/>
      <c r="H261" s="2989"/>
      <c r="I261" s="2989"/>
      <c r="J261" s="2996"/>
      <c r="K261" s="2995"/>
      <c r="L261" s="2995"/>
      <c r="M261" s="2985" t="str">
        <f>IFERROR(ROUND(#REF!*J261/K261,2),"-")</f>
        <v>-</v>
      </c>
      <c r="N261" s="2994" t="str">
        <f t="shared" si="18"/>
        <v/>
      </c>
      <c r="O261" s="2989"/>
      <c r="P261" s="2994">
        <f t="shared" si="19"/>
        <v>0</v>
      </c>
      <c r="Q261" s="2993"/>
      <c r="R261" s="2993"/>
      <c r="S261" s="2992"/>
    </row>
    <row r="262" spans="2:19" ht="21" customHeight="1">
      <c r="B262" s="2998"/>
      <c r="C262" s="2989"/>
      <c r="D262" s="2989"/>
      <c r="E262" s="2997"/>
      <c r="F262" s="2989"/>
      <c r="G262" s="2989"/>
      <c r="H262" s="2989"/>
      <c r="I262" s="2989"/>
      <c r="J262" s="2996"/>
      <c r="K262" s="2995"/>
      <c r="L262" s="2995"/>
      <c r="M262" s="2985" t="str">
        <f>IFERROR(ROUND(#REF!*J262/K262,2),"-")</f>
        <v>-</v>
      </c>
      <c r="N262" s="2994" t="str">
        <f t="shared" si="18"/>
        <v/>
      </c>
      <c r="O262" s="2989"/>
      <c r="P262" s="2994">
        <f t="shared" si="19"/>
        <v>0</v>
      </c>
      <c r="Q262" s="2993"/>
      <c r="R262" s="2993"/>
      <c r="S262" s="2992"/>
    </row>
    <row r="263" spans="2:19" ht="21" customHeight="1">
      <c r="B263" s="2998"/>
      <c r="C263" s="2989"/>
      <c r="D263" s="2989"/>
      <c r="E263" s="2997"/>
      <c r="F263" s="2989"/>
      <c r="G263" s="2989"/>
      <c r="H263" s="2989"/>
      <c r="I263" s="2989"/>
      <c r="J263" s="2996"/>
      <c r="K263" s="2995"/>
      <c r="L263" s="2995"/>
      <c r="M263" s="2985" t="str">
        <f>IFERROR(ROUND(#REF!*J263/K263,2),"-")</f>
        <v>-</v>
      </c>
      <c r="N263" s="2994" t="str">
        <f t="shared" si="18"/>
        <v/>
      </c>
      <c r="O263" s="2989"/>
      <c r="P263" s="2994">
        <f t="shared" si="19"/>
        <v>0</v>
      </c>
      <c r="Q263" s="2993"/>
      <c r="R263" s="2993"/>
      <c r="S263" s="2992"/>
    </row>
    <row r="264" spans="2:19" ht="21" customHeight="1">
      <c r="B264" s="2998"/>
      <c r="C264" s="2989"/>
      <c r="D264" s="2989"/>
      <c r="E264" s="2997"/>
      <c r="F264" s="2989"/>
      <c r="G264" s="2989"/>
      <c r="H264" s="2989"/>
      <c r="I264" s="2989"/>
      <c r="J264" s="2996"/>
      <c r="K264" s="2995"/>
      <c r="L264" s="2995"/>
      <c r="M264" s="2985" t="str">
        <f>IFERROR(ROUND(#REF!*J264/K264,2),"-")</f>
        <v>-</v>
      </c>
      <c r="N264" s="2994" t="str">
        <f t="shared" si="18"/>
        <v/>
      </c>
      <c r="O264" s="2989"/>
      <c r="P264" s="2994">
        <f t="shared" si="19"/>
        <v>0</v>
      </c>
      <c r="Q264" s="2993"/>
      <c r="R264" s="2993"/>
      <c r="S264" s="2992"/>
    </row>
    <row r="265" spans="2:19" ht="21" customHeight="1">
      <c r="B265" s="2998"/>
      <c r="C265" s="2989"/>
      <c r="D265" s="2989"/>
      <c r="E265" s="2997"/>
      <c r="F265" s="2989"/>
      <c r="G265" s="2989"/>
      <c r="H265" s="2989"/>
      <c r="I265" s="2989"/>
      <c r="J265" s="2996"/>
      <c r="K265" s="2995"/>
      <c r="L265" s="2995"/>
      <c r="M265" s="2985" t="str">
        <f>IFERROR(ROUND(#REF!*J265/K265,2),"-")</f>
        <v>-</v>
      </c>
      <c r="N265" s="2994" t="str">
        <f t="shared" si="18"/>
        <v/>
      </c>
      <c r="O265" s="2989"/>
      <c r="P265" s="2994">
        <f t="shared" si="19"/>
        <v>0</v>
      </c>
      <c r="Q265" s="2993"/>
      <c r="R265" s="2993"/>
      <c r="S265" s="2992"/>
    </row>
    <row r="266" spans="2:19" ht="21" customHeight="1">
      <c r="B266" s="2998"/>
      <c r="C266" s="2989"/>
      <c r="D266" s="2989"/>
      <c r="E266" s="2997"/>
      <c r="F266" s="2989"/>
      <c r="G266" s="2989"/>
      <c r="H266" s="2989"/>
      <c r="I266" s="2989"/>
      <c r="J266" s="2996"/>
      <c r="K266" s="2995"/>
      <c r="L266" s="2995"/>
      <c r="M266" s="2985" t="str">
        <f>IFERROR(ROUND(#REF!*J266/K266,2),"-")</f>
        <v>-</v>
      </c>
      <c r="N266" s="2994" t="str">
        <f t="shared" si="18"/>
        <v/>
      </c>
      <c r="O266" s="2989"/>
      <c r="P266" s="2994">
        <f t="shared" si="19"/>
        <v>0</v>
      </c>
      <c r="Q266" s="2993"/>
      <c r="R266" s="2993"/>
      <c r="S266" s="2992"/>
    </row>
    <row r="267" spans="2:19" ht="21" customHeight="1">
      <c r="B267" s="2998"/>
      <c r="C267" s="2989"/>
      <c r="D267" s="2989"/>
      <c r="E267" s="2997"/>
      <c r="F267" s="2989"/>
      <c r="G267" s="2989"/>
      <c r="H267" s="2989"/>
      <c r="I267" s="2989"/>
      <c r="J267" s="2996"/>
      <c r="K267" s="2995"/>
      <c r="L267" s="2995"/>
      <c r="M267" s="2985" t="str">
        <f>IFERROR(ROUND(#REF!*J267/K267,2),"-")</f>
        <v>-</v>
      </c>
      <c r="N267" s="2994" t="str">
        <f t="shared" si="18"/>
        <v/>
      </c>
      <c r="O267" s="2989"/>
      <c r="P267" s="2994">
        <f t="shared" si="19"/>
        <v>0</v>
      </c>
      <c r="Q267" s="2993"/>
      <c r="R267" s="2993"/>
      <c r="S267" s="2992"/>
    </row>
    <row r="268" spans="2:19" ht="21" customHeight="1">
      <c r="B268" s="2998"/>
      <c r="C268" s="2989"/>
      <c r="D268" s="2989"/>
      <c r="E268" s="2997"/>
      <c r="F268" s="2989"/>
      <c r="G268" s="2989"/>
      <c r="H268" s="2989"/>
      <c r="I268" s="2989"/>
      <c r="J268" s="2996"/>
      <c r="K268" s="2995"/>
      <c r="L268" s="2995"/>
      <c r="M268" s="2985" t="str">
        <f>IFERROR(ROUND(#REF!*J268/K268,2),"-")</f>
        <v>-</v>
      </c>
      <c r="N268" s="2994" t="str">
        <f t="shared" si="18"/>
        <v/>
      </c>
      <c r="O268" s="2989"/>
      <c r="P268" s="2994">
        <f t="shared" si="19"/>
        <v>0</v>
      </c>
      <c r="Q268" s="2993"/>
      <c r="R268" s="2993"/>
      <c r="S268" s="2992"/>
    </row>
    <row r="269" spans="2:19" ht="21" customHeight="1">
      <c r="B269" s="2998"/>
      <c r="C269" s="2989"/>
      <c r="D269" s="2989"/>
      <c r="E269" s="2997"/>
      <c r="F269" s="2989"/>
      <c r="G269" s="2989"/>
      <c r="H269" s="2989"/>
      <c r="I269" s="2989"/>
      <c r="J269" s="2996"/>
      <c r="K269" s="2995"/>
      <c r="L269" s="2995"/>
      <c r="M269" s="2985" t="str">
        <f>IFERROR(ROUND(#REF!*J269/K269,2),"-")</f>
        <v>-</v>
      </c>
      <c r="N269" s="2994" t="str">
        <f t="shared" si="18"/>
        <v/>
      </c>
      <c r="O269" s="2989"/>
      <c r="P269" s="2994">
        <f t="shared" si="19"/>
        <v>0</v>
      </c>
      <c r="Q269" s="2993"/>
      <c r="R269" s="2993"/>
      <c r="S269" s="2992"/>
    </row>
    <row r="270" spans="2:19" ht="21" customHeight="1">
      <c r="B270" s="2998"/>
      <c r="C270" s="2989"/>
      <c r="D270" s="2989"/>
      <c r="E270" s="2997"/>
      <c r="F270" s="2989"/>
      <c r="G270" s="2989"/>
      <c r="H270" s="2989"/>
      <c r="I270" s="2989"/>
      <c r="J270" s="2996"/>
      <c r="K270" s="2995"/>
      <c r="L270" s="2995"/>
      <c r="M270" s="2985" t="str">
        <f>IFERROR(ROUND(#REF!*J270/K270,2),"-")</f>
        <v>-</v>
      </c>
      <c r="N270" s="2994" t="str">
        <f t="shared" si="18"/>
        <v/>
      </c>
      <c r="O270" s="2989"/>
      <c r="P270" s="2994">
        <f t="shared" si="19"/>
        <v>0</v>
      </c>
      <c r="Q270" s="2993"/>
      <c r="R270" s="2993"/>
      <c r="S270" s="2992"/>
    </row>
    <row r="271" spans="2:19" ht="21" customHeight="1">
      <c r="B271" s="2998"/>
      <c r="C271" s="2989"/>
      <c r="D271" s="2989"/>
      <c r="E271" s="2997"/>
      <c r="F271" s="2989"/>
      <c r="G271" s="2989"/>
      <c r="H271" s="2989"/>
      <c r="I271" s="2989"/>
      <c r="J271" s="2996"/>
      <c r="K271" s="2995"/>
      <c r="L271" s="2995"/>
      <c r="M271" s="2985" t="str">
        <f>IFERROR(ROUND(#REF!*J271/K271,2),"-")</f>
        <v>-</v>
      </c>
      <c r="N271" s="2994" t="str">
        <f t="shared" si="18"/>
        <v/>
      </c>
      <c r="O271" s="2989"/>
      <c r="P271" s="2994">
        <f t="shared" si="19"/>
        <v>0</v>
      </c>
      <c r="Q271" s="2993"/>
      <c r="R271" s="2993"/>
      <c r="S271" s="2992"/>
    </row>
    <row r="272" spans="2:19" ht="21" customHeight="1">
      <c r="B272" s="2998"/>
      <c r="C272" s="2989"/>
      <c r="D272" s="2989"/>
      <c r="E272" s="2997"/>
      <c r="F272" s="2989"/>
      <c r="G272" s="2989"/>
      <c r="H272" s="2989"/>
      <c r="I272" s="2989"/>
      <c r="J272" s="2996"/>
      <c r="K272" s="2995"/>
      <c r="L272" s="2995"/>
      <c r="M272" s="2985" t="str">
        <f>IFERROR(ROUND(#REF!*J272/K272,2),"-")</f>
        <v>-</v>
      </c>
      <c r="N272" s="2994" t="str">
        <f t="shared" si="18"/>
        <v/>
      </c>
      <c r="O272" s="2989"/>
      <c r="P272" s="2994">
        <f t="shared" si="19"/>
        <v>0</v>
      </c>
      <c r="Q272" s="2993"/>
      <c r="R272" s="2993"/>
      <c r="S272" s="2992"/>
    </row>
    <row r="273" spans="2:19" ht="21" customHeight="1">
      <c r="B273" s="2998"/>
      <c r="C273" s="2989"/>
      <c r="D273" s="2989"/>
      <c r="E273" s="2997"/>
      <c r="F273" s="2989"/>
      <c r="G273" s="2989"/>
      <c r="H273" s="2989"/>
      <c r="I273" s="2989"/>
      <c r="J273" s="2996"/>
      <c r="K273" s="2995"/>
      <c r="L273" s="2995"/>
      <c r="M273" s="2985" t="str">
        <f>IFERROR(ROUND(#REF!*J273/K273,2),"-")</f>
        <v>-</v>
      </c>
      <c r="N273" s="2994" t="str">
        <f t="shared" si="18"/>
        <v/>
      </c>
      <c r="O273" s="2989"/>
      <c r="P273" s="2994">
        <f t="shared" si="19"/>
        <v>0</v>
      </c>
      <c r="Q273" s="2993"/>
      <c r="R273" s="2993"/>
      <c r="S273" s="2992"/>
    </row>
    <row r="274" spans="2:19" ht="21" customHeight="1">
      <c r="B274" s="2998"/>
      <c r="C274" s="2989"/>
      <c r="D274" s="2989"/>
      <c r="E274" s="2997"/>
      <c r="F274" s="2989"/>
      <c r="G274" s="2989"/>
      <c r="H274" s="2989"/>
      <c r="I274" s="2989"/>
      <c r="J274" s="2996"/>
      <c r="K274" s="2995"/>
      <c r="L274" s="2995"/>
      <c r="M274" s="2985" t="str">
        <f>IFERROR(ROUND(#REF!*J274/K274,2),"-")</f>
        <v>-</v>
      </c>
      <c r="N274" s="2994" t="str">
        <f t="shared" si="18"/>
        <v/>
      </c>
      <c r="O274" s="2989"/>
      <c r="P274" s="2994">
        <f t="shared" si="19"/>
        <v>0</v>
      </c>
      <c r="Q274" s="2993"/>
      <c r="R274" s="2993"/>
      <c r="S274" s="2992"/>
    </row>
    <row r="275" spans="2:19" ht="21" customHeight="1">
      <c r="B275" s="2998"/>
      <c r="C275" s="2989"/>
      <c r="D275" s="2989"/>
      <c r="E275" s="2997"/>
      <c r="F275" s="2989"/>
      <c r="G275" s="2989"/>
      <c r="H275" s="2989"/>
      <c r="I275" s="2989"/>
      <c r="J275" s="2996"/>
      <c r="K275" s="2995"/>
      <c r="L275" s="2995"/>
      <c r="M275" s="2985" t="str">
        <f>IFERROR(ROUND(#REF!*J275/K275,2),"-")</f>
        <v>-</v>
      </c>
      <c r="N275" s="2994" t="str">
        <f t="shared" si="18"/>
        <v/>
      </c>
      <c r="O275" s="2989"/>
      <c r="P275" s="2994">
        <f t="shared" si="19"/>
        <v>0</v>
      </c>
      <c r="Q275" s="2993"/>
      <c r="R275" s="2993"/>
      <c r="S275" s="2992"/>
    </row>
    <row r="276" spans="2:19" ht="21" customHeight="1">
      <c r="B276" s="2998"/>
      <c r="C276" s="2989"/>
      <c r="D276" s="2989"/>
      <c r="E276" s="2997"/>
      <c r="F276" s="2989"/>
      <c r="G276" s="2989"/>
      <c r="H276" s="2989"/>
      <c r="I276" s="2989"/>
      <c r="J276" s="2996"/>
      <c r="K276" s="2995"/>
      <c r="L276" s="2995"/>
      <c r="M276" s="2985" t="str">
        <f>IFERROR(ROUND(#REF!*J276/K276,2),"-")</f>
        <v>-</v>
      </c>
      <c r="N276" s="2994" t="str">
        <f t="shared" si="18"/>
        <v/>
      </c>
      <c r="O276" s="2989"/>
      <c r="P276" s="2994">
        <f t="shared" si="19"/>
        <v>0</v>
      </c>
      <c r="Q276" s="2993"/>
      <c r="R276" s="2993"/>
      <c r="S276" s="2992"/>
    </row>
    <row r="277" spans="2:19" ht="21" customHeight="1">
      <c r="B277" s="2998"/>
      <c r="C277" s="2989"/>
      <c r="D277" s="2989"/>
      <c r="E277" s="2997"/>
      <c r="F277" s="2989"/>
      <c r="G277" s="2989"/>
      <c r="H277" s="2989"/>
      <c r="I277" s="2989"/>
      <c r="J277" s="2996"/>
      <c r="K277" s="2995"/>
      <c r="L277" s="2995"/>
      <c r="M277" s="2985" t="str">
        <f>IFERROR(ROUND(#REF!*J277/K277,2),"-")</f>
        <v>-</v>
      </c>
      <c r="N277" s="2994" t="str">
        <f t="shared" si="18"/>
        <v/>
      </c>
      <c r="O277" s="2989"/>
      <c r="P277" s="2994">
        <f t="shared" si="19"/>
        <v>0</v>
      </c>
      <c r="Q277" s="2993"/>
      <c r="R277" s="2993"/>
      <c r="S277" s="2992"/>
    </row>
    <row r="278" spans="2:19" ht="21" customHeight="1">
      <c r="B278" s="2998"/>
      <c r="C278" s="2989"/>
      <c r="D278" s="2989"/>
      <c r="E278" s="2997"/>
      <c r="F278" s="2989"/>
      <c r="G278" s="2989"/>
      <c r="H278" s="2989"/>
      <c r="I278" s="2989"/>
      <c r="J278" s="2996"/>
      <c r="K278" s="2995"/>
      <c r="L278" s="2995"/>
      <c r="M278" s="2985" t="str">
        <f>IFERROR(ROUND(#REF!*J278/K278,2),"-")</f>
        <v>-</v>
      </c>
      <c r="N278" s="2994" t="str">
        <f t="shared" si="18"/>
        <v/>
      </c>
      <c r="O278" s="2989"/>
      <c r="P278" s="2994">
        <f t="shared" si="19"/>
        <v>0</v>
      </c>
      <c r="Q278" s="2993"/>
      <c r="R278" s="2993"/>
      <c r="S278" s="2992"/>
    </row>
    <row r="279" spans="2:19" ht="21" customHeight="1">
      <c r="B279" s="2998"/>
      <c r="C279" s="2989"/>
      <c r="D279" s="2989"/>
      <c r="E279" s="2997"/>
      <c r="F279" s="2989"/>
      <c r="G279" s="2989"/>
      <c r="H279" s="2989"/>
      <c r="I279" s="2989"/>
      <c r="J279" s="2996"/>
      <c r="K279" s="2995"/>
      <c r="L279" s="2995"/>
      <c r="M279" s="2985" t="str">
        <f>IFERROR(ROUND(#REF!*J279/K279,2),"-")</f>
        <v>-</v>
      </c>
      <c r="N279" s="2994" t="str">
        <f t="shared" si="18"/>
        <v/>
      </c>
      <c r="O279" s="2989"/>
      <c r="P279" s="2994">
        <f t="shared" si="19"/>
        <v>0</v>
      </c>
      <c r="Q279" s="2993"/>
      <c r="R279" s="2993"/>
      <c r="S279" s="2992"/>
    </row>
    <row r="280" spans="2:19" ht="21" customHeight="1">
      <c r="B280" s="2998"/>
      <c r="C280" s="2989"/>
      <c r="D280" s="2989"/>
      <c r="E280" s="2997"/>
      <c r="F280" s="2989"/>
      <c r="G280" s="2989"/>
      <c r="H280" s="2989"/>
      <c r="I280" s="2989"/>
      <c r="J280" s="2996"/>
      <c r="K280" s="2995"/>
      <c r="L280" s="2995"/>
      <c r="M280" s="2985" t="str">
        <f>IFERROR(ROUND(#REF!*J280/K280,2),"-")</f>
        <v>-</v>
      </c>
      <c r="N280" s="2994" t="str">
        <f t="shared" si="18"/>
        <v/>
      </c>
      <c r="O280" s="2989"/>
      <c r="P280" s="2994">
        <f t="shared" si="19"/>
        <v>0</v>
      </c>
      <c r="Q280" s="2993"/>
      <c r="R280" s="2993"/>
      <c r="S280" s="2992"/>
    </row>
    <row r="281" spans="2:19" ht="21" customHeight="1">
      <c r="B281" s="2998"/>
      <c r="C281" s="2989"/>
      <c r="D281" s="2989"/>
      <c r="E281" s="2997"/>
      <c r="F281" s="2989"/>
      <c r="G281" s="2989"/>
      <c r="H281" s="2989"/>
      <c r="I281" s="2989"/>
      <c r="J281" s="2996"/>
      <c r="K281" s="2995"/>
      <c r="L281" s="2995"/>
      <c r="M281" s="2985" t="str">
        <f>IFERROR(ROUND(#REF!*J281/K281,2),"-")</f>
        <v>-</v>
      </c>
      <c r="N281" s="2994" t="str">
        <f t="shared" si="18"/>
        <v/>
      </c>
      <c r="O281" s="2989"/>
      <c r="P281" s="2994">
        <f t="shared" si="19"/>
        <v>0</v>
      </c>
      <c r="Q281" s="2993"/>
      <c r="R281" s="2993"/>
      <c r="S281" s="2992"/>
    </row>
    <row r="282" spans="2:19" ht="21" customHeight="1">
      <c r="B282" s="2998"/>
      <c r="C282" s="2989"/>
      <c r="D282" s="2989"/>
      <c r="E282" s="2997"/>
      <c r="F282" s="2989"/>
      <c r="G282" s="2989"/>
      <c r="H282" s="2989"/>
      <c r="I282" s="2989"/>
      <c r="J282" s="2996"/>
      <c r="K282" s="2995"/>
      <c r="L282" s="2995"/>
      <c r="M282" s="2985" t="str">
        <f>IFERROR(ROUND(#REF!*J282/K282,2),"-")</f>
        <v>-</v>
      </c>
      <c r="N282" s="2994" t="str">
        <f t="shared" si="18"/>
        <v/>
      </c>
      <c r="O282" s="2989"/>
      <c r="P282" s="2994">
        <f t="shared" si="19"/>
        <v>0</v>
      </c>
      <c r="Q282" s="2993"/>
      <c r="R282" s="2993"/>
      <c r="S282" s="2992"/>
    </row>
    <row r="283" spans="2:19" ht="21" customHeight="1">
      <c r="B283" s="2998"/>
      <c r="C283" s="2989"/>
      <c r="D283" s="2989"/>
      <c r="E283" s="2997"/>
      <c r="F283" s="2989"/>
      <c r="G283" s="2989"/>
      <c r="H283" s="2989"/>
      <c r="I283" s="2989"/>
      <c r="J283" s="2996"/>
      <c r="K283" s="2995"/>
      <c r="L283" s="2995"/>
      <c r="M283" s="2985" t="str">
        <f>IFERROR(ROUND(#REF!*J283/K283,2),"-")</f>
        <v>-</v>
      </c>
      <c r="N283" s="2994" t="str">
        <f t="shared" ref="N283:N346" si="20">IFERROR(M283*K283,"")</f>
        <v/>
      </c>
      <c r="O283" s="2989"/>
      <c r="P283" s="2994">
        <f t="shared" ref="P283:P346" si="21">IFERROR(K283*O283,"-")</f>
        <v>0</v>
      </c>
      <c r="Q283" s="2993"/>
      <c r="R283" s="2993"/>
      <c r="S283" s="2992"/>
    </row>
    <row r="284" spans="2:19" ht="21" customHeight="1">
      <c r="B284" s="2998"/>
      <c r="C284" s="2989"/>
      <c r="D284" s="2989"/>
      <c r="E284" s="2997"/>
      <c r="F284" s="2989"/>
      <c r="G284" s="2989"/>
      <c r="H284" s="2989"/>
      <c r="I284" s="2989"/>
      <c r="J284" s="2996"/>
      <c r="K284" s="2995"/>
      <c r="L284" s="2995"/>
      <c r="M284" s="2985" t="str">
        <f>IFERROR(ROUND(#REF!*J284/K284,2),"-")</f>
        <v>-</v>
      </c>
      <c r="N284" s="2994" t="str">
        <f t="shared" si="20"/>
        <v/>
      </c>
      <c r="O284" s="2989"/>
      <c r="P284" s="2994">
        <f t="shared" si="21"/>
        <v>0</v>
      </c>
      <c r="Q284" s="2993"/>
      <c r="R284" s="2993"/>
      <c r="S284" s="2992"/>
    </row>
    <row r="285" spans="2:19" ht="21" customHeight="1">
      <c r="B285" s="2998"/>
      <c r="C285" s="2989"/>
      <c r="D285" s="2989"/>
      <c r="E285" s="2997"/>
      <c r="F285" s="2989"/>
      <c r="G285" s="2989"/>
      <c r="H285" s="2989"/>
      <c r="I285" s="2989"/>
      <c r="J285" s="2996"/>
      <c r="K285" s="2995"/>
      <c r="L285" s="2995"/>
      <c r="M285" s="2985" t="str">
        <f>IFERROR(ROUND(#REF!*J285/K285,2),"-")</f>
        <v>-</v>
      </c>
      <c r="N285" s="2994" t="str">
        <f t="shared" si="20"/>
        <v/>
      </c>
      <c r="O285" s="2989"/>
      <c r="P285" s="2994">
        <f t="shared" si="21"/>
        <v>0</v>
      </c>
      <c r="Q285" s="2993"/>
      <c r="R285" s="2993"/>
      <c r="S285" s="2992"/>
    </row>
    <row r="286" spans="2:19" ht="21" customHeight="1">
      <c r="B286" s="2998"/>
      <c r="C286" s="2989"/>
      <c r="D286" s="2989"/>
      <c r="E286" s="2997"/>
      <c r="F286" s="2989"/>
      <c r="G286" s="2989"/>
      <c r="H286" s="2989"/>
      <c r="I286" s="2989"/>
      <c r="J286" s="2996"/>
      <c r="K286" s="2995"/>
      <c r="L286" s="2995"/>
      <c r="M286" s="2985" t="str">
        <f>IFERROR(ROUND(#REF!*J286/K286,2),"-")</f>
        <v>-</v>
      </c>
      <c r="N286" s="2994" t="str">
        <f t="shared" si="20"/>
        <v/>
      </c>
      <c r="O286" s="2989"/>
      <c r="P286" s="2994">
        <f t="shared" si="21"/>
        <v>0</v>
      </c>
      <c r="Q286" s="2993"/>
      <c r="R286" s="2993"/>
      <c r="S286" s="2992"/>
    </row>
    <row r="287" spans="2:19" ht="21" customHeight="1">
      <c r="B287" s="2998"/>
      <c r="C287" s="2989"/>
      <c r="D287" s="2989"/>
      <c r="E287" s="2997"/>
      <c r="F287" s="2989"/>
      <c r="G287" s="2989"/>
      <c r="H287" s="2989"/>
      <c r="I287" s="2989"/>
      <c r="J287" s="2996"/>
      <c r="K287" s="2995"/>
      <c r="L287" s="2995"/>
      <c r="M287" s="2985" t="str">
        <f>IFERROR(ROUND(#REF!*J287/K287,2),"-")</f>
        <v>-</v>
      </c>
      <c r="N287" s="2994" t="str">
        <f t="shared" si="20"/>
        <v/>
      </c>
      <c r="O287" s="2989"/>
      <c r="P287" s="2994">
        <f t="shared" si="21"/>
        <v>0</v>
      </c>
      <c r="Q287" s="2993"/>
      <c r="R287" s="2993"/>
      <c r="S287" s="2992"/>
    </row>
    <row r="288" spans="2:19" ht="21" customHeight="1">
      <c r="B288" s="2998"/>
      <c r="C288" s="2989"/>
      <c r="D288" s="2989"/>
      <c r="E288" s="2997"/>
      <c r="F288" s="2989"/>
      <c r="G288" s="2989"/>
      <c r="H288" s="2989"/>
      <c r="I288" s="2989"/>
      <c r="J288" s="2996"/>
      <c r="K288" s="2995"/>
      <c r="L288" s="2995"/>
      <c r="M288" s="2985" t="str">
        <f>IFERROR(ROUND(#REF!*J288/K288,2),"-")</f>
        <v>-</v>
      </c>
      <c r="N288" s="2994" t="str">
        <f t="shared" si="20"/>
        <v/>
      </c>
      <c r="O288" s="2989"/>
      <c r="P288" s="2994">
        <f t="shared" si="21"/>
        <v>0</v>
      </c>
      <c r="Q288" s="2993"/>
      <c r="R288" s="2993"/>
      <c r="S288" s="2992"/>
    </row>
    <row r="289" spans="2:19" ht="21" customHeight="1">
      <c r="B289" s="2998"/>
      <c r="C289" s="2989"/>
      <c r="D289" s="2989"/>
      <c r="E289" s="2997"/>
      <c r="F289" s="2989"/>
      <c r="G289" s="2989"/>
      <c r="H289" s="2989"/>
      <c r="I289" s="2989"/>
      <c r="J289" s="2996"/>
      <c r="K289" s="2995"/>
      <c r="L289" s="2995"/>
      <c r="M289" s="2985" t="str">
        <f>IFERROR(ROUND(#REF!*J289/K289,2),"-")</f>
        <v>-</v>
      </c>
      <c r="N289" s="2994" t="str">
        <f t="shared" si="20"/>
        <v/>
      </c>
      <c r="O289" s="2989"/>
      <c r="P289" s="2994">
        <f t="shared" si="21"/>
        <v>0</v>
      </c>
      <c r="Q289" s="2993"/>
      <c r="R289" s="2993"/>
      <c r="S289" s="2992"/>
    </row>
    <row r="290" spans="2:19" ht="21" customHeight="1">
      <c r="B290" s="2998"/>
      <c r="C290" s="2989"/>
      <c r="D290" s="2989"/>
      <c r="E290" s="2997"/>
      <c r="F290" s="2989"/>
      <c r="G290" s="2989"/>
      <c r="H290" s="2989"/>
      <c r="I290" s="2989"/>
      <c r="J290" s="2996"/>
      <c r="K290" s="2995"/>
      <c r="L290" s="2995"/>
      <c r="M290" s="2985" t="str">
        <f>IFERROR(ROUND(#REF!*J290/K290,2),"-")</f>
        <v>-</v>
      </c>
      <c r="N290" s="2994" t="str">
        <f t="shared" si="20"/>
        <v/>
      </c>
      <c r="O290" s="2989"/>
      <c r="P290" s="2994">
        <f t="shared" si="21"/>
        <v>0</v>
      </c>
      <c r="Q290" s="2993"/>
      <c r="R290" s="2993"/>
      <c r="S290" s="2992"/>
    </row>
    <row r="291" spans="2:19" ht="21" customHeight="1">
      <c r="B291" s="2998"/>
      <c r="C291" s="2989"/>
      <c r="D291" s="2989"/>
      <c r="E291" s="2997"/>
      <c r="F291" s="2989"/>
      <c r="G291" s="2989"/>
      <c r="H291" s="2989"/>
      <c r="I291" s="2989"/>
      <c r="J291" s="2996"/>
      <c r="K291" s="2995"/>
      <c r="L291" s="2995"/>
      <c r="M291" s="2985" t="str">
        <f>IFERROR(ROUND(#REF!*J291/K291,2),"-")</f>
        <v>-</v>
      </c>
      <c r="N291" s="2994" t="str">
        <f t="shared" si="20"/>
        <v/>
      </c>
      <c r="O291" s="2989"/>
      <c r="P291" s="2994">
        <f t="shared" si="21"/>
        <v>0</v>
      </c>
      <c r="Q291" s="2993"/>
      <c r="R291" s="2993"/>
      <c r="S291" s="2992"/>
    </row>
    <row r="292" spans="2:19" ht="21" customHeight="1">
      <c r="B292" s="2998"/>
      <c r="C292" s="2989"/>
      <c r="D292" s="2989"/>
      <c r="E292" s="2997"/>
      <c r="F292" s="2989"/>
      <c r="G292" s="2989"/>
      <c r="H292" s="2989"/>
      <c r="I292" s="2989"/>
      <c r="J292" s="2996"/>
      <c r="K292" s="2995"/>
      <c r="L292" s="2995"/>
      <c r="M292" s="2985" t="str">
        <f>IFERROR(ROUND(#REF!*J292/K292,2),"-")</f>
        <v>-</v>
      </c>
      <c r="N292" s="2994" t="str">
        <f t="shared" si="20"/>
        <v/>
      </c>
      <c r="O292" s="2989"/>
      <c r="P292" s="2994">
        <f t="shared" si="21"/>
        <v>0</v>
      </c>
      <c r="Q292" s="2993"/>
      <c r="R292" s="2993"/>
      <c r="S292" s="2992"/>
    </row>
    <row r="293" spans="2:19" ht="21" customHeight="1">
      <c r="B293" s="2998"/>
      <c r="C293" s="2989"/>
      <c r="D293" s="2989"/>
      <c r="E293" s="2997"/>
      <c r="F293" s="2989"/>
      <c r="G293" s="2989"/>
      <c r="H293" s="2989"/>
      <c r="I293" s="2989"/>
      <c r="J293" s="2996"/>
      <c r="K293" s="2995"/>
      <c r="L293" s="2995"/>
      <c r="M293" s="2985" t="str">
        <f>IFERROR(ROUND(#REF!*J293/K293,2),"-")</f>
        <v>-</v>
      </c>
      <c r="N293" s="2994" t="str">
        <f t="shared" si="20"/>
        <v/>
      </c>
      <c r="O293" s="2989"/>
      <c r="P293" s="2994">
        <f t="shared" si="21"/>
        <v>0</v>
      </c>
      <c r="Q293" s="2993"/>
      <c r="R293" s="2993"/>
      <c r="S293" s="2992"/>
    </row>
    <row r="294" spans="2:19" ht="21" customHeight="1">
      <c r="B294" s="2998"/>
      <c r="C294" s="2989"/>
      <c r="D294" s="2989"/>
      <c r="E294" s="2997"/>
      <c r="F294" s="2989"/>
      <c r="G294" s="2989"/>
      <c r="H294" s="2989"/>
      <c r="I294" s="2989"/>
      <c r="J294" s="2996"/>
      <c r="K294" s="2995"/>
      <c r="L294" s="2995"/>
      <c r="M294" s="2985" t="str">
        <f>IFERROR(ROUND(#REF!*J294/K294,2),"-")</f>
        <v>-</v>
      </c>
      <c r="N294" s="2994" t="str">
        <f t="shared" si="20"/>
        <v/>
      </c>
      <c r="O294" s="2989"/>
      <c r="P294" s="2994">
        <f t="shared" si="21"/>
        <v>0</v>
      </c>
      <c r="Q294" s="2993"/>
      <c r="R294" s="2993"/>
      <c r="S294" s="2992"/>
    </row>
    <row r="295" spans="2:19" ht="21" customHeight="1">
      <c r="B295" s="2998"/>
      <c r="C295" s="2989"/>
      <c r="D295" s="2989"/>
      <c r="E295" s="2997"/>
      <c r="F295" s="2989"/>
      <c r="G295" s="2989"/>
      <c r="H295" s="2989"/>
      <c r="I295" s="2989"/>
      <c r="J295" s="2996"/>
      <c r="K295" s="2995"/>
      <c r="L295" s="2995"/>
      <c r="M295" s="2985" t="str">
        <f>IFERROR(ROUND(#REF!*J295/K295,2),"-")</f>
        <v>-</v>
      </c>
      <c r="N295" s="2994" t="str">
        <f t="shared" si="20"/>
        <v/>
      </c>
      <c r="O295" s="2989"/>
      <c r="P295" s="2994">
        <f t="shared" si="21"/>
        <v>0</v>
      </c>
      <c r="Q295" s="2993"/>
      <c r="R295" s="2993"/>
      <c r="S295" s="2992"/>
    </row>
    <row r="296" spans="2:19" ht="21" customHeight="1">
      <c r="B296" s="2998"/>
      <c r="C296" s="2989"/>
      <c r="D296" s="2989"/>
      <c r="E296" s="2997"/>
      <c r="F296" s="2989"/>
      <c r="G296" s="2989"/>
      <c r="H296" s="2989"/>
      <c r="I296" s="2989"/>
      <c r="J296" s="2996"/>
      <c r="K296" s="2995"/>
      <c r="L296" s="2995"/>
      <c r="M296" s="2985" t="str">
        <f>IFERROR(ROUND(#REF!*J296/K296,2),"-")</f>
        <v>-</v>
      </c>
      <c r="N296" s="2994" t="str">
        <f t="shared" si="20"/>
        <v/>
      </c>
      <c r="O296" s="2989"/>
      <c r="P296" s="2994">
        <f t="shared" si="21"/>
        <v>0</v>
      </c>
      <c r="Q296" s="2993"/>
      <c r="R296" s="2993"/>
      <c r="S296" s="2992"/>
    </row>
    <row r="297" spans="2:19" ht="21" customHeight="1">
      <c r="B297" s="2998"/>
      <c r="C297" s="2989"/>
      <c r="D297" s="2989"/>
      <c r="E297" s="2997"/>
      <c r="F297" s="2989"/>
      <c r="G297" s="2989"/>
      <c r="H297" s="2989"/>
      <c r="I297" s="2989"/>
      <c r="J297" s="2996"/>
      <c r="K297" s="2995"/>
      <c r="L297" s="2995"/>
      <c r="M297" s="2985" t="str">
        <f>IFERROR(ROUND(#REF!*J297/K297,2),"-")</f>
        <v>-</v>
      </c>
      <c r="N297" s="2994" t="str">
        <f t="shared" si="20"/>
        <v/>
      </c>
      <c r="O297" s="2989"/>
      <c r="P297" s="2994">
        <f t="shared" si="21"/>
        <v>0</v>
      </c>
      <c r="Q297" s="2993"/>
      <c r="R297" s="2993"/>
      <c r="S297" s="2992"/>
    </row>
    <row r="298" spans="2:19" ht="21" customHeight="1">
      <c r="B298" s="2998"/>
      <c r="C298" s="2989"/>
      <c r="D298" s="2989"/>
      <c r="E298" s="2997"/>
      <c r="F298" s="2989"/>
      <c r="G298" s="2989"/>
      <c r="H298" s="2989"/>
      <c r="I298" s="2989"/>
      <c r="J298" s="2996"/>
      <c r="K298" s="2995"/>
      <c r="L298" s="2995"/>
      <c r="M298" s="2985" t="str">
        <f>IFERROR(ROUND(#REF!*J298/K298,2),"-")</f>
        <v>-</v>
      </c>
      <c r="N298" s="2994" t="str">
        <f t="shared" si="20"/>
        <v/>
      </c>
      <c r="O298" s="2989"/>
      <c r="P298" s="2994">
        <f t="shared" si="21"/>
        <v>0</v>
      </c>
      <c r="Q298" s="2993"/>
      <c r="R298" s="2993"/>
      <c r="S298" s="2992"/>
    </row>
    <row r="299" spans="2:19" ht="21" customHeight="1">
      <c r="B299" s="2998"/>
      <c r="C299" s="2989"/>
      <c r="D299" s="2989"/>
      <c r="E299" s="2997"/>
      <c r="F299" s="2989"/>
      <c r="G299" s="2989"/>
      <c r="H299" s="2989"/>
      <c r="I299" s="2989"/>
      <c r="J299" s="2996"/>
      <c r="K299" s="2995"/>
      <c r="L299" s="2995"/>
      <c r="M299" s="2985" t="str">
        <f>IFERROR(ROUND(#REF!*J299/K299,2),"-")</f>
        <v>-</v>
      </c>
      <c r="N299" s="2994" t="str">
        <f t="shared" si="20"/>
        <v/>
      </c>
      <c r="O299" s="2989"/>
      <c r="P299" s="2994">
        <f t="shared" si="21"/>
        <v>0</v>
      </c>
      <c r="Q299" s="2993"/>
      <c r="R299" s="2993"/>
      <c r="S299" s="2992"/>
    </row>
    <row r="300" spans="2:19" ht="21" customHeight="1">
      <c r="B300" s="2998"/>
      <c r="C300" s="2989"/>
      <c r="D300" s="2989"/>
      <c r="E300" s="2997"/>
      <c r="F300" s="2989"/>
      <c r="G300" s="2989"/>
      <c r="H300" s="2989"/>
      <c r="I300" s="2989"/>
      <c r="J300" s="2996"/>
      <c r="K300" s="2995"/>
      <c r="L300" s="2995"/>
      <c r="M300" s="2985" t="str">
        <f>IFERROR(ROUND(#REF!*J300/K300,2),"-")</f>
        <v>-</v>
      </c>
      <c r="N300" s="2994" t="str">
        <f t="shared" si="20"/>
        <v/>
      </c>
      <c r="O300" s="2989"/>
      <c r="P300" s="2994">
        <f t="shared" si="21"/>
        <v>0</v>
      </c>
      <c r="Q300" s="2993"/>
      <c r="R300" s="2993"/>
      <c r="S300" s="2992"/>
    </row>
    <row r="301" spans="2:19" ht="21" customHeight="1">
      <c r="B301" s="2998"/>
      <c r="C301" s="2989"/>
      <c r="D301" s="2989"/>
      <c r="E301" s="2997"/>
      <c r="F301" s="2989"/>
      <c r="G301" s="2989"/>
      <c r="H301" s="2989"/>
      <c r="I301" s="2989"/>
      <c r="J301" s="2996"/>
      <c r="K301" s="2995"/>
      <c r="L301" s="2995"/>
      <c r="M301" s="2985" t="str">
        <f>IFERROR(ROUND(#REF!*J301/K301,2),"-")</f>
        <v>-</v>
      </c>
      <c r="N301" s="2994" t="str">
        <f t="shared" si="20"/>
        <v/>
      </c>
      <c r="O301" s="2989"/>
      <c r="P301" s="2994">
        <f t="shared" si="21"/>
        <v>0</v>
      </c>
      <c r="Q301" s="2993"/>
      <c r="R301" s="2993"/>
      <c r="S301" s="2992"/>
    </row>
    <row r="302" spans="2:19" ht="21" customHeight="1">
      <c r="B302" s="2998"/>
      <c r="C302" s="2989"/>
      <c r="D302" s="2989"/>
      <c r="E302" s="2997"/>
      <c r="F302" s="2989"/>
      <c r="G302" s="2989"/>
      <c r="H302" s="2989"/>
      <c r="I302" s="2989"/>
      <c r="J302" s="2996"/>
      <c r="K302" s="2995"/>
      <c r="L302" s="2995"/>
      <c r="M302" s="2985" t="str">
        <f>IFERROR(ROUND(#REF!*J302/K302,2),"-")</f>
        <v>-</v>
      </c>
      <c r="N302" s="2994" t="str">
        <f t="shared" si="20"/>
        <v/>
      </c>
      <c r="O302" s="2989"/>
      <c r="P302" s="2994">
        <f t="shared" si="21"/>
        <v>0</v>
      </c>
      <c r="Q302" s="2993"/>
      <c r="R302" s="2993"/>
      <c r="S302" s="2992"/>
    </row>
    <row r="303" spans="2:19" ht="21" customHeight="1">
      <c r="B303" s="2998"/>
      <c r="C303" s="2989"/>
      <c r="D303" s="2989"/>
      <c r="E303" s="2997"/>
      <c r="F303" s="2989"/>
      <c r="G303" s="2989"/>
      <c r="H303" s="2989"/>
      <c r="I303" s="2989"/>
      <c r="J303" s="2996"/>
      <c r="K303" s="2995"/>
      <c r="L303" s="2995"/>
      <c r="M303" s="2985" t="str">
        <f>IFERROR(ROUND(#REF!*J303/K303,2),"-")</f>
        <v>-</v>
      </c>
      <c r="N303" s="2994" t="str">
        <f t="shared" si="20"/>
        <v/>
      </c>
      <c r="O303" s="2989"/>
      <c r="P303" s="2994">
        <f t="shared" si="21"/>
        <v>0</v>
      </c>
      <c r="Q303" s="2993"/>
      <c r="R303" s="2993"/>
      <c r="S303" s="2992"/>
    </row>
    <row r="304" spans="2:19" ht="21" customHeight="1">
      <c r="B304" s="2998"/>
      <c r="C304" s="2989"/>
      <c r="D304" s="2989"/>
      <c r="E304" s="2997"/>
      <c r="F304" s="2989"/>
      <c r="G304" s="2989"/>
      <c r="H304" s="2989"/>
      <c r="I304" s="2989"/>
      <c r="J304" s="2996"/>
      <c r="K304" s="2995"/>
      <c r="L304" s="2995"/>
      <c r="M304" s="2985" t="str">
        <f>IFERROR(ROUND(#REF!*J304/K304,2),"-")</f>
        <v>-</v>
      </c>
      <c r="N304" s="2994" t="str">
        <f t="shared" si="20"/>
        <v/>
      </c>
      <c r="O304" s="2989"/>
      <c r="P304" s="2994">
        <f t="shared" si="21"/>
        <v>0</v>
      </c>
      <c r="Q304" s="2993"/>
      <c r="R304" s="2993"/>
      <c r="S304" s="2992"/>
    </row>
    <row r="305" spans="2:19" ht="21" customHeight="1">
      <c r="B305" s="2998"/>
      <c r="C305" s="2989"/>
      <c r="D305" s="2989"/>
      <c r="E305" s="2997"/>
      <c r="F305" s="2989"/>
      <c r="G305" s="2989"/>
      <c r="H305" s="2989"/>
      <c r="I305" s="2989"/>
      <c r="J305" s="2996"/>
      <c r="K305" s="2995"/>
      <c r="L305" s="2995"/>
      <c r="M305" s="2985" t="str">
        <f>IFERROR(ROUND(#REF!*J305/K305,2),"-")</f>
        <v>-</v>
      </c>
      <c r="N305" s="2994" t="str">
        <f t="shared" si="20"/>
        <v/>
      </c>
      <c r="O305" s="2989"/>
      <c r="P305" s="2994">
        <f t="shared" si="21"/>
        <v>0</v>
      </c>
      <c r="Q305" s="2993"/>
      <c r="R305" s="2993"/>
      <c r="S305" s="2992"/>
    </row>
    <row r="306" spans="2:19" ht="21" customHeight="1">
      <c r="B306" s="2998"/>
      <c r="C306" s="2989"/>
      <c r="D306" s="2989"/>
      <c r="E306" s="2997"/>
      <c r="F306" s="2989"/>
      <c r="G306" s="2989"/>
      <c r="H306" s="2989"/>
      <c r="I306" s="2989"/>
      <c r="J306" s="2996"/>
      <c r="K306" s="2995"/>
      <c r="L306" s="2995"/>
      <c r="M306" s="2985" t="str">
        <f>IFERROR(ROUND(#REF!*J306/K306,2),"-")</f>
        <v>-</v>
      </c>
      <c r="N306" s="2994" t="str">
        <f t="shared" si="20"/>
        <v/>
      </c>
      <c r="O306" s="2989"/>
      <c r="P306" s="2994">
        <f t="shared" si="21"/>
        <v>0</v>
      </c>
      <c r="Q306" s="2993"/>
      <c r="R306" s="2993"/>
      <c r="S306" s="2992"/>
    </row>
    <row r="307" spans="2:19" ht="21" customHeight="1">
      <c r="B307" s="2998"/>
      <c r="C307" s="2989"/>
      <c r="D307" s="2989"/>
      <c r="E307" s="2997"/>
      <c r="F307" s="2989"/>
      <c r="G307" s="2989"/>
      <c r="H307" s="2989"/>
      <c r="I307" s="2989"/>
      <c r="J307" s="2996"/>
      <c r="K307" s="2995"/>
      <c r="L307" s="2995"/>
      <c r="M307" s="2985" t="str">
        <f>IFERROR(ROUND(#REF!*J307/K307,2),"-")</f>
        <v>-</v>
      </c>
      <c r="N307" s="2994" t="str">
        <f t="shared" si="20"/>
        <v/>
      </c>
      <c r="O307" s="2989"/>
      <c r="P307" s="2994">
        <f t="shared" si="21"/>
        <v>0</v>
      </c>
      <c r="Q307" s="2993"/>
      <c r="R307" s="2993"/>
      <c r="S307" s="2992"/>
    </row>
    <row r="308" spans="2:19" ht="21" customHeight="1">
      <c r="B308" s="2998"/>
      <c r="C308" s="2989"/>
      <c r="D308" s="2989"/>
      <c r="E308" s="2997"/>
      <c r="F308" s="2989"/>
      <c r="G308" s="2989"/>
      <c r="H308" s="2989"/>
      <c r="I308" s="2989"/>
      <c r="J308" s="2996"/>
      <c r="K308" s="2995"/>
      <c r="L308" s="2995"/>
      <c r="M308" s="2985" t="str">
        <f>IFERROR(ROUND(#REF!*J308/K308,2),"-")</f>
        <v>-</v>
      </c>
      <c r="N308" s="2994" t="str">
        <f t="shared" si="20"/>
        <v/>
      </c>
      <c r="O308" s="2989"/>
      <c r="P308" s="2994">
        <f t="shared" si="21"/>
        <v>0</v>
      </c>
      <c r="Q308" s="2993"/>
      <c r="R308" s="2993"/>
      <c r="S308" s="2992"/>
    </row>
    <row r="309" spans="2:19" ht="21" customHeight="1">
      <c r="B309" s="2998"/>
      <c r="C309" s="2989"/>
      <c r="D309" s="2989"/>
      <c r="E309" s="2997"/>
      <c r="F309" s="2989"/>
      <c r="G309" s="2989"/>
      <c r="H309" s="2989"/>
      <c r="I309" s="2989"/>
      <c r="J309" s="2996"/>
      <c r="K309" s="2995"/>
      <c r="L309" s="2995"/>
      <c r="M309" s="2985" t="str">
        <f>IFERROR(ROUND(#REF!*J309/K309,2),"-")</f>
        <v>-</v>
      </c>
      <c r="N309" s="2994" t="str">
        <f t="shared" si="20"/>
        <v/>
      </c>
      <c r="O309" s="2989"/>
      <c r="P309" s="2994">
        <f t="shared" si="21"/>
        <v>0</v>
      </c>
      <c r="Q309" s="2993"/>
      <c r="R309" s="2993"/>
      <c r="S309" s="2992"/>
    </row>
    <row r="310" spans="2:19" ht="21" customHeight="1">
      <c r="B310" s="2998"/>
      <c r="C310" s="2989"/>
      <c r="D310" s="2989"/>
      <c r="E310" s="2997"/>
      <c r="F310" s="2989"/>
      <c r="G310" s="2989"/>
      <c r="H310" s="2989"/>
      <c r="I310" s="2989"/>
      <c r="J310" s="2996"/>
      <c r="K310" s="2995"/>
      <c r="L310" s="2995"/>
      <c r="M310" s="2985" t="str">
        <f>IFERROR(ROUND(#REF!*J310/K310,2),"-")</f>
        <v>-</v>
      </c>
      <c r="N310" s="2994" t="str">
        <f t="shared" si="20"/>
        <v/>
      </c>
      <c r="O310" s="2989"/>
      <c r="P310" s="2994">
        <f t="shared" si="21"/>
        <v>0</v>
      </c>
      <c r="Q310" s="2993"/>
      <c r="R310" s="2993"/>
      <c r="S310" s="2992"/>
    </row>
    <row r="311" spans="2:19" ht="21" customHeight="1">
      <c r="B311" s="2998"/>
      <c r="C311" s="2989"/>
      <c r="D311" s="2989"/>
      <c r="E311" s="2997"/>
      <c r="F311" s="2989"/>
      <c r="G311" s="2989"/>
      <c r="H311" s="2989"/>
      <c r="I311" s="2989"/>
      <c r="J311" s="2996"/>
      <c r="K311" s="2995"/>
      <c r="L311" s="2995"/>
      <c r="M311" s="2985" t="str">
        <f>IFERROR(ROUND(#REF!*J311/K311,2),"-")</f>
        <v>-</v>
      </c>
      <c r="N311" s="2994" t="str">
        <f t="shared" si="20"/>
        <v/>
      </c>
      <c r="O311" s="2989"/>
      <c r="P311" s="2994">
        <f t="shared" si="21"/>
        <v>0</v>
      </c>
      <c r="Q311" s="2993"/>
      <c r="R311" s="2993"/>
      <c r="S311" s="2992"/>
    </row>
    <row r="312" spans="2:19" ht="21" customHeight="1">
      <c r="B312" s="2998"/>
      <c r="C312" s="2989"/>
      <c r="D312" s="2989"/>
      <c r="E312" s="2997"/>
      <c r="F312" s="2989"/>
      <c r="G312" s="2989"/>
      <c r="H312" s="2989"/>
      <c r="I312" s="2989"/>
      <c r="J312" s="2996"/>
      <c r="K312" s="2995"/>
      <c r="L312" s="2995"/>
      <c r="M312" s="2985" t="str">
        <f>IFERROR(ROUND(#REF!*J312/K312,2),"-")</f>
        <v>-</v>
      </c>
      <c r="N312" s="2994" t="str">
        <f t="shared" si="20"/>
        <v/>
      </c>
      <c r="O312" s="2989"/>
      <c r="P312" s="2994">
        <f t="shared" si="21"/>
        <v>0</v>
      </c>
      <c r="Q312" s="2993"/>
      <c r="R312" s="2993"/>
      <c r="S312" s="2992"/>
    </row>
    <row r="313" spans="2:19" ht="21" customHeight="1">
      <c r="B313" s="2998"/>
      <c r="C313" s="2989"/>
      <c r="D313" s="2989"/>
      <c r="E313" s="2997"/>
      <c r="F313" s="2989"/>
      <c r="G313" s="2989"/>
      <c r="H313" s="2989"/>
      <c r="I313" s="2989"/>
      <c r="J313" s="2996"/>
      <c r="K313" s="2995"/>
      <c r="L313" s="2995"/>
      <c r="M313" s="2985" t="str">
        <f>IFERROR(ROUND(#REF!*J313/K313,2),"-")</f>
        <v>-</v>
      </c>
      <c r="N313" s="2994" t="str">
        <f t="shared" si="20"/>
        <v/>
      </c>
      <c r="O313" s="2989"/>
      <c r="P313" s="2994">
        <f t="shared" si="21"/>
        <v>0</v>
      </c>
      <c r="Q313" s="2993"/>
      <c r="R313" s="2993"/>
      <c r="S313" s="2992"/>
    </row>
    <row r="314" spans="2:19" ht="21" customHeight="1">
      <c r="B314" s="2998"/>
      <c r="C314" s="2989"/>
      <c r="D314" s="2989"/>
      <c r="E314" s="2997"/>
      <c r="F314" s="2989"/>
      <c r="G314" s="2989"/>
      <c r="H314" s="2989"/>
      <c r="I314" s="2989"/>
      <c r="J314" s="2996"/>
      <c r="K314" s="2995"/>
      <c r="L314" s="2995"/>
      <c r="M314" s="2985" t="str">
        <f>IFERROR(ROUND(#REF!*J314/K314,2),"-")</f>
        <v>-</v>
      </c>
      <c r="N314" s="2994" t="str">
        <f t="shared" si="20"/>
        <v/>
      </c>
      <c r="O314" s="2989"/>
      <c r="P314" s="2994">
        <f t="shared" si="21"/>
        <v>0</v>
      </c>
      <c r="Q314" s="2993"/>
      <c r="R314" s="2993"/>
      <c r="S314" s="2992"/>
    </row>
    <row r="315" spans="2:19" ht="21" customHeight="1">
      <c r="B315" s="2998"/>
      <c r="C315" s="2989"/>
      <c r="D315" s="2989"/>
      <c r="E315" s="2997"/>
      <c r="F315" s="2989"/>
      <c r="G315" s="2989"/>
      <c r="H315" s="2989"/>
      <c r="I315" s="2989"/>
      <c r="J315" s="2996"/>
      <c r="K315" s="2995"/>
      <c r="L315" s="2995"/>
      <c r="M315" s="2985" t="str">
        <f>IFERROR(ROUND(#REF!*J315/K315,2),"-")</f>
        <v>-</v>
      </c>
      <c r="N315" s="2994" t="str">
        <f t="shared" si="20"/>
        <v/>
      </c>
      <c r="O315" s="2989"/>
      <c r="P315" s="2994">
        <f t="shared" si="21"/>
        <v>0</v>
      </c>
      <c r="Q315" s="2993"/>
      <c r="R315" s="2993"/>
      <c r="S315" s="2992"/>
    </row>
    <row r="316" spans="2:19" ht="21" customHeight="1">
      <c r="B316" s="2998"/>
      <c r="C316" s="2989"/>
      <c r="D316" s="2989"/>
      <c r="E316" s="2997"/>
      <c r="F316" s="2989"/>
      <c r="G316" s="2989"/>
      <c r="H316" s="2989"/>
      <c r="I316" s="2989"/>
      <c r="J316" s="2996"/>
      <c r="K316" s="2995"/>
      <c r="L316" s="2995"/>
      <c r="M316" s="2985" t="str">
        <f>IFERROR(ROUND(#REF!*J316/K316,2),"-")</f>
        <v>-</v>
      </c>
      <c r="N316" s="2994" t="str">
        <f t="shared" si="20"/>
        <v/>
      </c>
      <c r="O316" s="2989"/>
      <c r="P316" s="2994">
        <f t="shared" si="21"/>
        <v>0</v>
      </c>
      <c r="Q316" s="2993"/>
      <c r="R316" s="2993"/>
      <c r="S316" s="2992"/>
    </row>
    <row r="317" spans="2:19" ht="21" customHeight="1">
      <c r="B317" s="2998"/>
      <c r="C317" s="2989"/>
      <c r="D317" s="2989"/>
      <c r="E317" s="2997"/>
      <c r="F317" s="2989"/>
      <c r="G317" s="2989"/>
      <c r="H317" s="2989"/>
      <c r="I317" s="2989"/>
      <c r="J317" s="2996"/>
      <c r="K317" s="2995"/>
      <c r="L317" s="2995"/>
      <c r="M317" s="2985" t="str">
        <f>IFERROR(ROUND(#REF!*J317/K317,2),"-")</f>
        <v>-</v>
      </c>
      <c r="N317" s="2994" t="str">
        <f t="shared" si="20"/>
        <v/>
      </c>
      <c r="O317" s="2989"/>
      <c r="P317" s="2994">
        <f t="shared" si="21"/>
        <v>0</v>
      </c>
      <c r="Q317" s="2993"/>
      <c r="R317" s="2993"/>
      <c r="S317" s="2992"/>
    </row>
    <row r="318" spans="2:19" ht="21" customHeight="1">
      <c r="B318" s="2998"/>
      <c r="C318" s="2989"/>
      <c r="D318" s="2989"/>
      <c r="E318" s="2997"/>
      <c r="F318" s="2989"/>
      <c r="G318" s="2989"/>
      <c r="H318" s="2989"/>
      <c r="I318" s="2989"/>
      <c r="J318" s="2996"/>
      <c r="K318" s="2995"/>
      <c r="L318" s="2995"/>
      <c r="M318" s="2985" t="str">
        <f>IFERROR(ROUND(#REF!*J318/K318,2),"-")</f>
        <v>-</v>
      </c>
      <c r="N318" s="2994" t="str">
        <f t="shared" si="20"/>
        <v/>
      </c>
      <c r="O318" s="2989"/>
      <c r="P318" s="2994">
        <f t="shared" si="21"/>
        <v>0</v>
      </c>
      <c r="Q318" s="2993"/>
      <c r="R318" s="2993"/>
      <c r="S318" s="2992"/>
    </row>
    <row r="319" spans="2:19" ht="21" customHeight="1">
      <c r="B319" s="2998"/>
      <c r="C319" s="2989"/>
      <c r="D319" s="2989"/>
      <c r="E319" s="2997"/>
      <c r="F319" s="2989"/>
      <c r="G319" s="2989"/>
      <c r="H319" s="2989"/>
      <c r="I319" s="2989"/>
      <c r="J319" s="2996"/>
      <c r="K319" s="2995"/>
      <c r="L319" s="2995"/>
      <c r="M319" s="2985" t="str">
        <f>IFERROR(ROUND(#REF!*J319/K319,2),"-")</f>
        <v>-</v>
      </c>
      <c r="N319" s="2994" t="str">
        <f t="shared" si="20"/>
        <v/>
      </c>
      <c r="O319" s="2989"/>
      <c r="P319" s="2994">
        <f t="shared" si="21"/>
        <v>0</v>
      </c>
      <c r="Q319" s="2993"/>
      <c r="R319" s="2993"/>
      <c r="S319" s="2992"/>
    </row>
    <row r="320" spans="2:19" ht="21" customHeight="1">
      <c r="B320" s="2998"/>
      <c r="C320" s="2989"/>
      <c r="D320" s="2989"/>
      <c r="E320" s="2997"/>
      <c r="F320" s="2989"/>
      <c r="G320" s="2989"/>
      <c r="H320" s="2989"/>
      <c r="I320" s="2989"/>
      <c r="J320" s="2996"/>
      <c r="K320" s="2995"/>
      <c r="L320" s="2995"/>
      <c r="M320" s="2985" t="str">
        <f>IFERROR(ROUND(#REF!*J320/K320,2),"-")</f>
        <v>-</v>
      </c>
      <c r="N320" s="2994" t="str">
        <f t="shared" si="20"/>
        <v/>
      </c>
      <c r="O320" s="2989"/>
      <c r="P320" s="2994">
        <f t="shared" si="21"/>
        <v>0</v>
      </c>
      <c r="Q320" s="2993"/>
      <c r="R320" s="2993"/>
      <c r="S320" s="2992"/>
    </row>
    <row r="321" spans="2:19" ht="21" customHeight="1">
      <c r="B321" s="2998"/>
      <c r="C321" s="2989"/>
      <c r="D321" s="2989"/>
      <c r="E321" s="2997"/>
      <c r="F321" s="2989"/>
      <c r="G321" s="2989"/>
      <c r="H321" s="2989"/>
      <c r="I321" s="2989"/>
      <c r="J321" s="2996"/>
      <c r="K321" s="2995"/>
      <c r="L321" s="2995"/>
      <c r="M321" s="2985" t="str">
        <f>IFERROR(ROUND(#REF!*J321/K321,2),"-")</f>
        <v>-</v>
      </c>
      <c r="N321" s="2994" t="str">
        <f t="shared" si="20"/>
        <v/>
      </c>
      <c r="O321" s="2989"/>
      <c r="P321" s="2994">
        <f t="shared" si="21"/>
        <v>0</v>
      </c>
      <c r="Q321" s="2993"/>
      <c r="R321" s="2993"/>
      <c r="S321" s="2992"/>
    </row>
    <row r="322" spans="2:19" ht="21" customHeight="1">
      <c r="B322" s="2998"/>
      <c r="C322" s="2989"/>
      <c r="D322" s="2989"/>
      <c r="E322" s="2997"/>
      <c r="F322" s="2989"/>
      <c r="G322" s="2989"/>
      <c r="H322" s="2989"/>
      <c r="I322" s="2989"/>
      <c r="J322" s="2996"/>
      <c r="K322" s="2995"/>
      <c r="L322" s="2995"/>
      <c r="M322" s="2985" t="str">
        <f>IFERROR(ROUND(#REF!*J322/K322,2),"-")</f>
        <v>-</v>
      </c>
      <c r="N322" s="2994" t="str">
        <f t="shared" si="20"/>
        <v/>
      </c>
      <c r="O322" s="2989"/>
      <c r="P322" s="2994">
        <f t="shared" si="21"/>
        <v>0</v>
      </c>
      <c r="Q322" s="2993"/>
      <c r="R322" s="2993"/>
      <c r="S322" s="2992"/>
    </row>
    <row r="323" spans="2:19" ht="21" customHeight="1">
      <c r="B323" s="2998"/>
      <c r="C323" s="2989"/>
      <c r="D323" s="2989"/>
      <c r="E323" s="2997"/>
      <c r="F323" s="2989"/>
      <c r="G323" s="2989"/>
      <c r="H323" s="2989"/>
      <c r="I323" s="2989"/>
      <c r="J323" s="2996"/>
      <c r="K323" s="2995"/>
      <c r="L323" s="2995"/>
      <c r="M323" s="2985" t="str">
        <f>IFERROR(ROUND(#REF!*J323/K323,2),"-")</f>
        <v>-</v>
      </c>
      <c r="N323" s="2994" t="str">
        <f t="shared" si="20"/>
        <v/>
      </c>
      <c r="O323" s="2989"/>
      <c r="P323" s="2994">
        <f t="shared" si="21"/>
        <v>0</v>
      </c>
      <c r="Q323" s="2993"/>
      <c r="R323" s="2993"/>
      <c r="S323" s="2992"/>
    </row>
    <row r="324" spans="2:19" ht="21" customHeight="1">
      <c r="B324" s="2998"/>
      <c r="C324" s="2989"/>
      <c r="D324" s="2989"/>
      <c r="E324" s="2997"/>
      <c r="F324" s="2989"/>
      <c r="G324" s="2989"/>
      <c r="H324" s="2989"/>
      <c r="I324" s="2989"/>
      <c r="J324" s="2996"/>
      <c r="K324" s="2995"/>
      <c r="L324" s="2995"/>
      <c r="M324" s="2985" t="str">
        <f>IFERROR(ROUND(#REF!*J324/K324,2),"-")</f>
        <v>-</v>
      </c>
      <c r="N324" s="2994" t="str">
        <f t="shared" si="20"/>
        <v/>
      </c>
      <c r="O324" s="2989"/>
      <c r="P324" s="2994">
        <f t="shared" si="21"/>
        <v>0</v>
      </c>
      <c r="Q324" s="2993"/>
      <c r="R324" s="2993"/>
      <c r="S324" s="2992"/>
    </row>
    <row r="325" spans="2:19" ht="21" customHeight="1">
      <c r="B325" s="2998"/>
      <c r="C325" s="2989"/>
      <c r="D325" s="2989"/>
      <c r="E325" s="2997"/>
      <c r="F325" s="2989"/>
      <c r="G325" s="2989"/>
      <c r="H325" s="2989"/>
      <c r="I325" s="2989"/>
      <c r="J325" s="2996"/>
      <c r="K325" s="2995"/>
      <c r="L325" s="2995"/>
      <c r="M325" s="2985" t="str">
        <f>IFERROR(ROUND(#REF!*J325/K325,2),"-")</f>
        <v>-</v>
      </c>
      <c r="N325" s="2994" t="str">
        <f t="shared" si="20"/>
        <v/>
      </c>
      <c r="O325" s="2989"/>
      <c r="P325" s="2994">
        <f t="shared" si="21"/>
        <v>0</v>
      </c>
      <c r="Q325" s="2993"/>
      <c r="R325" s="2993"/>
      <c r="S325" s="2992"/>
    </row>
    <row r="326" spans="2:19" ht="21" customHeight="1">
      <c r="B326" s="2998"/>
      <c r="C326" s="2989"/>
      <c r="D326" s="2989"/>
      <c r="E326" s="2997"/>
      <c r="F326" s="2989"/>
      <c r="G326" s="2989"/>
      <c r="H326" s="2989"/>
      <c r="I326" s="2989"/>
      <c r="J326" s="2996"/>
      <c r="K326" s="2995"/>
      <c r="L326" s="2995"/>
      <c r="M326" s="2985" t="str">
        <f>IFERROR(ROUND(#REF!*J326/K326,2),"-")</f>
        <v>-</v>
      </c>
      <c r="N326" s="2994" t="str">
        <f t="shared" si="20"/>
        <v/>
      </c>
      <c r="O326" s="2989"/>
      <c r="P326" s="2994">
        <f t="shared" si="21"/>
        <v>0</v>
      </c>
      <c r="Q326" s="2993"/>
      <c r="R326" s="2993"/>
      <c r="S326" s="2992"/>
    </row>
    <row r="327" spans="2:19" ht="21" customHeight="1">
      <c r="B327" s="2998"/>
      <c r="C327" s="2989"/>
      <c r="D327" s="2989"/>
      <c r="E327" s="2997"/>
      <c r="F327" s="2989"/>
      <c r="G327" s="2989"/>
      <c r="H327" s="2989"/>
      <c r="I327" s="2989"/>
      <c r="J327" s="2996"/>
      <c r="K327" s="2995"/>
      <c r="L327" s="2995"/>
      <c r="M327" s="2985" t="str">
        <f>IFERROR(ROUND(#REF!*J327/K327,2),"-")</f>
        <v>-</v>
      </c>
      <c r="N327" s="2994" t="str">
        <f t="shared" si="20"/>
        <v/>
      </c>
      <c r="O327" s="2989"/>
      <c r="P327" s="2994">
        <f t="shared" si="21"/>
        <v>0</v>
      </c>
      <c r="Q327" s="2993"/>
      <c r="R327" s="2993"/>
      <c r="S327" s="2992"/>
    </row>
    <row r="328" spans="2:19" ht="21" customHeight="1">
      <c r="B328" s="2998"/>
      <c r="C328" s="2989"/>
      <c r="D328" s="2989"/>
      <c r="E328" s="2997"/>
      <c r="F328" s="2989"/>
      <c r="G328" s="2989"/>
      <c r="H328" s="2989"/>
      <c r="I328" s="2989"/>
      <c r="J328" s="2996"/>
      <c r="K328" s="2995"/>
      <c r="L328" s="2995"/>
      <c r="M328" s="2985" t="str">
        <f>IFERROR(ROUND(#REF!*J328/K328,2),"-")</f>
        <v>-</v>
      </c>
      <c r="N328" s="2994" t="str">
        <f t="shared" si="20"/>
        <v/>
      </c>
      <c r="O328" s="2989"/>
      <c r="P328" s="2994">
        <f t="shared" si="21"/>
        <v>0</v>
      </c>
      <c r="Q328" s="2993"/>
      <c r="R328" s="2993"/>
      <c r="S328" s="2992"/>
    </row>
    <row r="329" spans="2:19" ht="21" customHeight="1">
      <c r="B329" s="2998"/>
      <c r="C329" s="2989"/>
      <c r="D329" s="2989"/>
      <c r="E329" s="2997"/>
      <c r="F329" s="2989"/>
      <c r="G329" s="2989"/>
      <c r="H329" s="2989"/>
      <c r="I329" s="2989"/>
      <c r="J329" s="2996"/>
      <c r="K329" s="2995"/>
      <c r="L329" s="2995"/>
      <c r="M329" s="2985" t="str">
        <f>IFERROR(ROUND(#REF!*J329/K329,2),"-")</f>
        <v>-</v>
      </c>
      <c r="N329" s="2994" t="str">
        <f t="shared" si="20"/>
        <v/>
      </c>
      <c r="O329" s="2989"/>
      <c r="P329" s="2994">
        <f t="shared" si="21"/>
        <v>0</v>
      </c>
      <c r="Q329" s="2993"/>
      <c r="R329" s="2993"/>
      <c r="S329" s="2992"/>
    </row>
    <row r="330" spans="2:19" ht="21" customHeight="1">
      <c r="B330" s="2998"/>
      <c r="C330" s="2989"/>
      <c r="D330" s="2989"/>
      <c r="E330" s="2997"/>
      <c r="F330" s="2989"/>
      <c r="G330" s="2989"/>
      <c r="H330" s="2989"/>
      <c r="I330" s="2989"/>
      <c r="J330" s="2996"/>
      <c r="K330" s="2995"/>
      <c r="L330" s="2995"/>
      <c r="M330" s="2985" t="str">
        <f>IFERROR(ROUND(#REF!*J330/K330,2),"-")</f>
        <v>-</v>
      </c>
      <c r="N330" s="2994" t="str">
        <f t="shared" si="20"/>
        <v/>
      </c>
      <c r="O330" s="2989"/>
      <c r="P330" s="2994">
        <f t="shared" si="21"/>
        <v>0</v>
      </c>
      <c r="Q330" s="2993"/>
      <c r="R330" s="2993"/>
      <c r="S330" s="2992"/>
    </row>
    <row r="331" spans="2:19" ht="21" customHeight="1">
      <c r="B331" s="2998"/>
      <c r="C331" s="2989"/>
      <c r="D331" s="2989"/>
      <c r="E331" s="2997"/>
      <c r="F331" s="2989"/>
      <c r="G331" s="2989"/>
      <c r="H331" s="2989"/>
      <c r="I331" s="2989"/>
      <c r="J331" s="2996"/>
      <c r="K331" s="2995"/>
      <c r="L331" s="2995"/>
      <c r="M331" s="2985" t="str">
        <f>IFERROR(ROUND(#REF!*J331/K331,2),"-")</f>
        <v>-</v>
      </c>
      <c r="N331" s="2994" t="str">
        <f t="shared" si="20"/>
        <v/>
      </c>
      <c r="O331" s="2989"/>
      <c r="P331" s="2994">
        <f t="shared" si="21"/>
        <v>0</v>
      </c>
      <c r="Q331" s="2993"/>
      <c r="R331" s="2993"/>
      <c r="S331" s="2992"/>
    </row>
    <row r="332" spans="2:19" ht="21" customHeight="1">
      <c r="B332" s="2998"/>
      <c r="C332" s="2989"/>
      <c r="D332" s="2989"/>
      <c r="E332" s="2997"/>
      <c r="F332" s="2989"/>
      <c r="G332" s="2989"/>
      <c r="H332" s="2989"/>
      <c r="I332" s="2989"/>
      <c r="J332" s="2996"/>
      <c r="K332" s="2995"/>
      <c r="L332" s="2995"/>
      <c r="M332" s="2985" t="str">
        <f>IFERROR(ROUND(#REF!*J332/K332,2),"-")</f>
        <v>-</v>
      </c>
      <c r="N332" s="2994" t="str">
        <f t="shared" si="20"/>
        <v/>
      </c>
      <c r="O332" s="2989"/>
      <c r="P332" s="2994">
        <f t="shared" si="21"/>
        <v>0</v>
      </c>
      <c r="Q332" s="2993"/>
      <c r="R332" s="2993"/>
      <c r="S332" s="2992"/>
    </row>
    <row r="333" spans="2:19" ht="21" customHeight="1">
      <c r="B333" s="2998"/>
      <c r="C333" s="2989"/>
      <c r="D333" s="2989"/>
      <c r="E333" s="2997"/>
      <c r="F333" s="2989"/>
      <c r="G333" s="2989"/>
      <c r="H333" s="2989"/>
      <c r="I333" s="2989"/>
      <c r="J333" s="2996"/>
      <c r="K333" s="2995"/>
      <c r="L333" s="2995"/>
      <c r="M333" s="2985" t="str">
        <f>IFERROR(ROUND(#REF!*J333/K333,2),"-")</f>
        <v>-</v>
      </c>
      <c r="N333" s="2994" t="str">
        <f t="shared" si="20"/>
        <v/>
      </c>
      <c r="O333" s="2989"/>
      <c r="P333" s="2994">
        <f t="shared" si="21"/>
        <v>0</v>
      </c>
      <c r="Q333" s="2993"/>
      <c r="R333" s="2993"/>
      <c r="S333" s="2992"/>
    </row>
    <row r="334" spans="2:19" ht="21" customHeight="1">
      <c r="B334" s="2998"/>
      <c r="C334" s="2989"/>
      <c r="D334" s="2989"/>
      <c r="E334" s="2997"/>
      <c r="F334" s="2989"/>
      <c r="G334" s="2989"/>
      <c r="H334" s="2989"/>
      <c r="I334" s="2989"/>
      <c r="J334" s="2996"/>
      <c r="K334" s="2995"/>
      <c r="L334" s="2995"/>
      <c r="M334" s="2985" t="str">
        <f>IFERROR(ROUND(#REF!*J334/K334,2),"-")</f>
        <v>-</v>
      </c>
      <c r="N334" s="2994" t="str">
        <f t="shared" si="20"/>
        <v/>
      </c>
      <c r="O334" s="2989"/>
      <c r="P334" s="2994">
        <f t="shared" si="21"/>
        <v>0</v>
      </c>
      <c r="Q334" s="2993"/>
      <c r="R334" s="2993"/>
      <c r="S334" s="2992"/>
    </row>
    <row r="335" spans="2:19" ht="21" customHeight="1">
      <c r="B335" s="2998"/>
      <c r="C335" s="2989"/>
      <c r="D335" s="2989"/>
      <c r="E335" s="2997"/>
      <c r="F335" s="2989"/>
      <c r="G335" s="2989"/>
      <c r="H335" s="2989"/>
      <c r="I335" s="2989"/>
      <c r="J335" s="2996"/>
      <c r="K335" s="2995"/>
      <c r="L335" s="2995"/>
      <c r="M335" s="2985" t="str">
        <f>IFERROR(ROUND(#REF!*J335/K335,2),"-")</f>
        <v>-</v>
      </c>
      <c r="N335" s="2994" t="str">
        <f t="shared" si="20"/>
        <v/>
      </c>
      <c r="O335" s="2989"/>
      <c r="P335" s="2994">
        <f t="shared" si="21"/>
        <v>0</v>
      </c>
      <c r="Q335" s="2993"/>
      <c r="R335" s="2993"/>
      <c r="S335" s="2992"/>
    </row>
    <row r="336" spans="2:19" ht="21" customHeight="1">
      <c r="B336" s="2998"/>
      <c r="C336" s="2989"/>
      <c r="D336" s="2989"/>
      <c r="E336" s="2997"/>
      <c r="F336" s="2989"/>
      <c r="G336" s="2989"/>
      <c r="H336" s="2989"/>
      <c r="I336" s="2989"/>
      <c r="J336" s="2996"/>
      <c r="K336" s="2995"/>
      <c r="L336" s="2995"/>
      <c r="M336" s="2985" t="str">
        <f>IFERROR(ROUND(#REF!*J336/K336,2),"-")</f>
        <v>-</v>
      </c>
      <c r="N336" s="2994" t="str">
        <f t="shared" si="20"/>
        <v/>
      </c>
      <c r="O336" s="2989"/>
      <c r="P336" s="2994">
        <f t="shared" si="21"/>
        <v>0</v>
      </c>
      <c r="Q336" s="2993"/>
      <c r="R336" s="2993"/>
      <c r="S336" s="2992"/>
    </row>
    <row r="337" spans="2:19" ht="21" customHeight="1">
      <c r="B337" s="2998"/>
      <c r="C337" s="2989"/>
      <c r="D337" s="2989"/>
      <c r="E337" s="2997"/>
      <c r="F337" s="2989"/>
      <c r="G337" s="2989"/>
      <c r="H337" s="2989"/>
      <c r="I337" s="2989"/>
      <c r="J337" s="2996"/>
      <c r="K337" s="2995"/>
      <c r="L337" s="2995"/>
      <c r="M337" s="2985" t="str">
        <f>IFERROR(ROUND(#REF!*J337/K337,2),"-")</f>
        <v>-</v>
      </c>
      <c r="N337" s="2994" t="str">
        <f t="shared" si="20"/>
        <v/>
      </c>
      <c r="O337" s="2989"/>
      <c r="P337" s="2994">
        <f t="shared" si="21"/>
        <v>0</v>
      </c>
      <c r="Q337" s="2993"/>
      <c r="R337" s="2993"/>
      <c r="S337" s="2992"/>
    </row>
    <row r="338" spans="2:19" ht="21" customHeight="1">
      <c r="B338" s="2998"/>
      <c r="C338" s="2989"/>
      <c r="D338" s="2989"/>
      <c r="E338" s="2997"/>
      <c r="F338" s="2989"/>
      <c r="G338" s="2989"/>
      <c r="H338" s="2989"/>
      <c r="I338" s="2989"/>
      <c r="J338" s="2996"/>
      <c r="K338" s="2995"/>
      <c r="L338" s="2995"/>
      <c r="M338" s="2985" t="str">
        <f>IFERROR(ROUND(#REF!*J338/K338,2),"-")</f>
        <v>-</v>
      </c>
      <c r="N338" s="2994" t="str">
        <f t="shared" si="20"/>
        <v/>
      </c>
      <c r="O338" s="2989"/>
      <c r="P338" s="2994">
        <f t="shared" si="21"/>
        <v>0</v>
      </c>
      <c r="Q338" s="2993"/>
      <c r="R338" s="2993"/>
      <c r="S338" s="2992"/>
    </row>
    <row r="339" spans="2:19" ht="21" customHeight="1">
      <c r="B339" s="2998"/>
      <c r="C339" s="2989"/>
      <c r="D339" s="2989"/>
      <c r="E339" s="2997"/>
      <c r="F339" s="2989"/>
      <c r="G339" s="2989"/>
      <c r="H339" s="2989"/>
      <c r="I339" s="2989"/>
      <c r="J339" s="2996"/>
      <c r="K339" s="2995"/>
      <c r="L339" s="2995"/>
      <c r="M339" s="2985" t="str">
        <f>IFERROR(ROUND(#REF!*J339/K339,2),"-")</f>
        <v>-</v>
      </c>
      <c r="N339" s="2994" t="str">
        <f t="shared" si="20"/>
        <v/>
      </c>
      <c r="O339" s="2989"/>
      <c r="P339" s="2994">
        <f t="shared" si="21"/>
        <v>0</v>
      </c>
      <c r="Q339" s="2993"/>
      <c r="R339" s="2993"/>
      <c r="S339" s="2992"/>
    </row>
    <row r="340" spans="2:19" ht="21" customHeight="1">
      <c r="B340" s="2998"/>
      <c r="C340" s="2989"/>
      <c r="D340" s="2989"/>
      <c r="E340" s="2997"/>
      <c r="F340" s="2989"/>
      <c r="G340" s="2989"/>
      <c r="H340" s="2989"/>
      <c r="I340" s="2989"/>
      <c r="J340" s="2996"/>
      <c r="K340" s="2995"/>
      <c r="L340" s="2995"/>
      <c r="M340" s="2985" t="str">
        <f>IFERROR(ROUND(#REF!*J340/K340,2),"-")</f>
        <v>-</v>
      </c>
      <c r="N340" s="2994" t="str">
        <f t="shared" si="20"/>
        <v/>
      </c>
      <c r="O340" s="2989"/>
      <c r="P340" s="2994">
        <f t="shared" si="21"/>
        <v>0</v>
      </c>
      <c r="Q340" s="2993"/>
      <c r="R340" s="2993"/>
      <c r="S340" s="2992"/>
    </row>
    <row r="341" spans="2:19" ht="21" customHeight="1">
      <c r="B341" s="2998"/>
      <c r="C341" s="2989"/>
      <c r="D341" s="2989"/>
      <c r="E341" s="2997"/>
      <c r="F341" s="2989"/>
      <c r="G341" s="2989"/>
      <c r="H341" s="2989"/>
      <c r="I341" s="2989"/>
      <c r="J341" s="2996"/>
      <c r="K341" s="2995"/>
      <c r="L341" s="2995"/>
      <c r="M341" s="2985" t="str">
        <f>IFERROR(ROUND(#REF!*J341/K341,2),"-")</f>
        <v>-</v>
      </c>
      <c r="N341" s="2994" t="str">
        <f t="shared" si="20"/>
        <v/>
      </c>
      <c r="O341" s="2989"/>
      <c r="P341" s="2994">
        <f t="shared" si="21"/>
        <v>0</v>
      </c>
      <c r="Q341" s="2993"/>
      <c r="R341" s="2993"/>
      <c r="S341" s="2992"/>
    </row>
    <row r="342" spans="2:19" ht="21" customHeight="1">
      <c r="B342" s="2998"/>
      <c r="C342" s="2989"/>
      <c r="D342" s="2989"/>
      <c r="E342" s="2997"/>
      <c r="F342" s="2989"/>
      <c r="G342" s="2989"/>
      <c r="H342" s="2989"/>
      <c r="I342" s="2989"/>
      <c r="J342" s="2996"/>
      <c r="K342" s="2995"/>
      <c r="L342" s="2995"/>
      <c r="M342" s="2985" t="str">
        <f>IFERROR(ROUND(#REF!*J342/K342,2),"-")</f>
        <v>-</v>
      </c>
      <c r="N342" s="2994" t="str">
        <f t="shared" si="20"/>
        <v/>
      </c>
      <c r="O342" s="2989"/>
      <c r="P342" s="2994">
        <f t="shared" si="21"/>
        <v>0</v>
      </c>
      <c r="Q342" s="2993"/>
      <c r="R342" s="2993"/>
      <c r="S342" s="2992"/>
    </row>
    <row r="343" spans="2:19" ht="21" customHeight="1">
      <c r="B343" s="2998"/>
      <c r="C343" s="2989"/>
      <c r="D343" s="2989"/>
      <c r="E343" s="2997"/>
      <c r="F343" s="2989"/>
      <c r="G343" s="2989"/>
      <c r="H343" s="2989"/>
      <c r="I343" s="2989"/>
      <c r="J343" s="2996"/>
      <c r="K343" s="2995"/>
      <c r="L343" s="2995"/>
      <c r="M343" s="2985" t="str">
        <f>IFERROR(ROUND(#REF!*J343/K343,2),"-")</f>
        <v>-</v>
      </c>
      <c r="N343" s="2994" t="str">
        <f t="shared" si="20"/>
        <v/>
      </c>
      <c r="O343" s="2989"/>
      <c r="P343" s="2994">
        <f t="shared" si="21"/>
        <v>0</v>
      </c>
      <c r="Q343" s="2993"/>
      <c r="R343" s="2993"/>
      <c r="S343" s="2992"/>
    </row>
    <row r="344" spans="2:19" ht="21" customHeight="1">
      <c r="B344" s="2998"/>
      <c r="C344" s="2989"/>
      <c r="D344" s="2989"/>
      <c r="E344" s="2997"/>
      <c r="F344" s="2989"/>
      <c r="G344" s="2989"/>
      <c r="H344" s="2989"/>
      <c r="I344" s="2989"/>
      <c r="J344" s="2996"/>
      <c r="K344" s="2995"/>
      <c r="L344" s="2995"/>
      <c r="M344" s="2985" t="str">
        <f>IFERROR(ROUND(#REF!*J344/K344,2),"-")</f>
        <v>-</v>
      </c>
      <c r="N344" s="2994" t="str">
        <f t="shared" si="20"/>
        <v/>
      </c>
      <c r="O344" s="2989"/>
      <c r="P344" s="2994">
        <f t="shared" si="21"/>
        <v>0</v>
      </c>
      <c r="Q344" s="2993"/>
      <c r="R344" s="2993"/>
      <c r="S344" s="2992"/>
    </row>
    <row r="345" spans="2:19" ht="21" customHeight="1">
      <c r="B345" s="2998"/>
      <c r="C345" s="2989"/>
      <c r="D345" s="2989"/>
      <c r="E345" s="2997"/>
      <c r="F345" s="2989"/>
      <c r="G345" s="2989"/>
      <c r="H345" s="2989"/>
      <c r="I345" s="2989"/>
      <c r="J345" s="2996"/>
      <c r="K345" s="2995"/>
      <c r="L345" s="2995"/>
      <c r="M345" s="2985" t="str">
        <f>IFERROR(ROUND(#REF!*J345/K345,2),"-")</f>
        <v>-</v>
      </c>
      <c r="N345" s="2994" t="str">
        <f t="shared" si="20"/>
        <v/>
      </c>
      <c r="O345" s="2989"/>
      <c r="P345" s="2994">
        <f t="shared" si="21"/>
        <v>0</v>
      </c>
      <c r="Q345" s="2993"/>
      <c r="R345" s="2993"/>
      <c r="S345" s="2992"/>
    </row>
    <row r="346" spans="2:19" ht="21" customHeight="1">
      <c r="B346" s="2998"/>
      <c r="C346" s="2989"/>
      <c r="D346" s="2989"/>
      <c r="E346" s="2997"/>
      <c r="F346" s="2989"/>
      <c r="G346" s="2989"/>
      <c r="H346" s="2989"/>
      <c r="I346" s="2989"/>
      <c r="J346" s="2996"/>
      <c r="K346" s="2995"/>
      <c r="L346" s="2995"/>
      <c r="M346" s="2985" t="str">
        <f>IFERROR(ROUND(#REF!*J346/K346,2),"-")</f>
        <v>-</v>
      </c>
      <c r="N346" s="2994" t="str">
        <f t="shared" si="20"/>
        <v/>
      </c>
      <c r="O346" s="2989"/>
      <c r="P346" s="2994">
        <f t="shared" si="21"/>
        <v>0</v>
      </c>
      <c r="Q346" s="2993"/>
      <c r="R346" s="2993"/>
      <c r="S346" s="2992"/>
    </row>
    <row r="347" spans="2:19" ht="21" customHeight="1">
      <c r="B347" s="2998"/>
      <c r="C347" s="2989"/>
      <c r="D347" s="2989"/>
      <c r="E347" s="2997"/>
      <c r="F347" s="2989"/>
      <c r="G347" s="2989"/>
      <c r="H347" s="2989"/>
      <c r="I347" s="2989"/>
      <c r="J347" s="2996"/>
      <c r="K347" s="2995"/>
      <c r="L347" s="2995"/>
      <c r="M347" s="2985" t="str">
        <f>IFERROR(ROUND(#REF!*J347/K347,2),"-")</f>
        <v>-</v>
      </c>
      <c r="N347" s="2994" t="str">
        <f t="shared" ref="N347:N410" si="22">IFERROR(M347*K347,"")</f>
        <v/>
      </c>
      <c r="O347" s="2989"/>
      <c r="P347" s="2994">
        <f t="shared" ref="P347:P410" si="23">IFERROR(K347*O347,"-")</f>
        <v>0</v>
      </c>
      <c r="Q347" s="2993"/>
      <c r="R347" s="2993"/>
      <c r="S347" s="2992"/>
    </row>
    <row r="348" spans="2:19" ht="21" customHeight="1">
      <c r="B348" s="2998"/>
      <c r="C348" s="2989"/>
      <c r="D348" s="2989"/>
      <c r="E348" s="2997"/>
      <c r="F348" s="2989"/>
      <c r="G348" s="2989"/>
      <c r="H348" s="2989"/>
      <c r="I348" s="2989"/>
      <c r="J348" s="2996"/>
      <c r="K348" s="2995"/>
      <c r="L348" s="2995"/>
      <c r="M348" s="2985" t="str">
        <f>IFERROR(ROUND(#REF!*J348/K348,2),"-")</f>
        <v>-</v>
      </c>
      <c r="N348" s="2994" t="str">
        <f t="shared" si="22"/>
        <v/>
      </c>
      <c r="O348" s="2989"/>
      <c r="P348" s="2994">
        <f t="shared" si="23"/>
        <v>0</v>
      </c>
      <c r="Q348" s="2993"/>
      <c r="R348" s="2993"/>
      <c r="S348" s="2992"/>
    </row>
    <row r="349" spans="2:19" ht="21" customHeight="1">
      <c r="B349" s="2998"/>
      <c r="C349" s="2989"/>
      <c r="D349" s="2989"/>
      <c r="E349" s="2997"/>
      <c r="F349" s="2989"/>
      <c r="G349" s="2989"/>
      <c r="H349" s="2989"/>
      <c r="I349" s="2989"/>
      <c r="J349" s="2996"/>
      <c r="K349" s="2995"/>
      <c r="L349" s="2995"/>
      <c r="M349" s="2985" t="str">
        <f>IFERROR(ROUND(#REF!*J349/K349,2),"-")</f>
        <v>-</v>
      </c>
      <c r="N349" s="2994" t="str">
        <f t="shared" si="22"/>
        <v/>
      </c>
      <c r="O349" s="2989"/>
      <c r="P349" s="2994">
        <f t="shared" si="23"/>
        <v>0</v>
      </c>
      <c r="Q349" s="2993"/>
      <c r="R349" s="2993"/>
      <c r="S349" s="2992"/>
    </row>
    <row r="350" spans="2:19" ht="21" customHeight="1">
      <c r="B350" s="2998"/>
      <c r="C350" s="2989"/>
      <c r="D350" s="2989"/>
      <c r="E350" s="2997"/>
      <c r="F350" s="2989"/>
      <c r="G350" s="2989"/>
      <c r="H350" s="2989"/>
      <c r="I350" s="2989"/>
      <c r="J350" s="2996"/>
      <c r="K350" s="2995"/>
      <c r="L350" s="2995"/>
      <c r="M350" s="2985" t="str">
        <f>IFERROR(ROUND(#REF!*J350/K350,2),"-")</f>
        <v>-</v>
      </c>
      <c r="N350" s="2994" t="str">
        <f t="shared" si="22"/>
        <v/>
      </c>
      <c r="O350" s="2989"/>
      <c r="P350" s="2994">
        <f t="shared" si="23"/>
        <v>0</v>
      </c>
      <c r="Q350" s="2993"/>
      <c r="R350" s="2993"/>
      <c r="S350" s="2992"/>
    </row>
    <row r="351" spans="2:19" ht="21" customHeight="1">
      <c r="B351" s="2998"/>
      <c r="C351" s="2989"/>
      <c r="D351" s="2989"/>
      <c r="E351" s="2997"/>
      <c r="F351" s="2989"/>
      <c r="G351" s="2989"/>
      <c r="H351" s="2989"/>
      <c r="I351" s="2989"/>
      <c r="J351" s="2996"/>
      <c r="K351" s="2995"/>
      <c r="L351" s="2995"/>
      <c r="M351" s="2985" t="str">
        <f>IFERROR(ROUND(#REF!*J351/K351,2),"-")</f>
        <v>-</v>
      </c>
      <c r="N351" s="2994" t="str">
        <f t="shared" si="22"/>
        <v/>
      </c>
      <c r="O351" s="2989"/>
      <c r="P351" s="2994">
        <f t="shared" si="23"/>
        <v>0</v>
      </c>
      <c r="Q351" s="2993"/>
      <c r="R351" s="2993"/>
      <c r="S351" s="2992"/>
    </row>
    <row r="352" spans="2:19" ht="21" customHeight="1">
      <c r="B352" s="2998"/>
      <c r="C352" s="2989"/>
      <c r="D352" s="2989"/>
      <c r="E352" s="2997"/>
      <c r="F352" s="2989"/>
      <c r="G352" s="2989"/>
      <c r="H352" s="2989"/>
      <c r="I352" s="2989"/>
      <c r="J352" s="2996"/>
      <c r="K352" s="2995"/>
      <c r="L352" s="2995"/>
      <c r="M352" s="2985" t="str">
        <f>IFERROR(ROUND(#REF!*J352/K352,2),"-")</f>
        <v>-</v>
      </c>
      <c r="N352" s="2994" t="str">
        <f t="shared" si="22"/>
        <v/>
      </c>
      <c r="O352" s="2989"/>
      <c r="P352" s="2994">
        <f t="shared" si="23"/>
        <v>0</v>
      </c>
      <c r="Q352" s="2993"/>
      <c r="R352" s="2993"/>
      <c r="S352" s="2992"/>
    </row>
    <row r="353" spans="2:19" ht="21" customHeight="1">
      <c r="B353" s="2998"/>
      <c r="C353" s="2989"/>
      <c r="D353" s="2989"/>
      <c r="E353" s="2997"/>
      <c r="F353" s="2989"/>
      <c r="G353" s="2989"/>
      <c r="H353" s="2989"/>
      <c r="I353" s="2989"/>
      <c r="J353" s="2996"/>
      <c r="K353" s="2995"/>
      <c r="L353" s="2995"/>
      <c r="M353" s="2985" t="str">
        <f>IFERROR(ROUND(#REF!*J353/K353,2),"-")</f>
        <v>-</v>
      </c>
      <c r="N353" s="2994" t="str">
        <f t="shared" si="22"/>
        <v/>
      </c>
      <c r="O353" s="2989"/>
      <c r="P353" s="2994">
        <f t="shared" si="23"/>
        <v>0</v>
      </c>
      <c r="Q353" s="2993"/>
      <c r="R353" s="2993"/>
      <c r="S353" s="2992"/>
    </row>
    <row r="354" spans="2:19" ht="21" customHeight="1">
      <c r="B354" s="2998"/>
      <c r="C354" s="2989"/>
      <c r="D354" s="2989"/>
      <c r="E354" s="2997"/>
      <c r="F354" s="2989"/>
      <c r="G354" s="2989"/>
      <c r="H354" s="2989"/>
      <c r="I354" s="2989"/>
      <c r="J354" s="2996"/>
      <c r="K354" s="2995"/>
      <c r="L354" s="2995"/>
      <c r="M354" s="2985" t="str">
        <f>IFERROR(ROUND(#REF!*J354/K354,2),"-")</f>
        <v>-</v>
      </c>
      <c r="N354" s="2994" t="str">
        <f t="shared" si="22"/>
        <v/>
      </c>
      <c r="O354" s="2989"/>
      <c r="P354" s="2994">
        <f t="shared" si="23"/>
        <v>0</v>
      </c>
      <c r="Q354" s="2993"/>
      <c r="R354" s="2993"/>
      <c r="S354" s="2992"/>
    </row>
    <row r="355" spans="2:19" ht="21" customHeight="1">
      <c r="B355" s="2998"/>
      <c r="C355" s="2989"/>
      <c r="D355" s="2989"/>
      <c r="E355" s="2997"/>
      <c r="F355" s="2989"/>
      <c r="G355" s="2989"/>
      <c r="H355" s="2989"/>
      <c r="I355" s="2989"/>
      <c r="J355" s="2996"/>
      <c r="K355" s="2995"/>
      <c r="L355" s="2995"/>
      <c r="M355" s="2985" t="str">
        <f>IFERROR(ROUND(#REF!*J355/K355,2),"-")</f>
        <v>-</v>
      </c>
      <c r="N355" s="2994" t="str">
        <f t="shared" si="22"/>
        <v/>
      </c>
      <c r="O355" s="2989"/>
      <c r="P355" s="2994">
        <f t="shared" si="23"/>
        <v>0</v>
      </c>
      <c r="Q355" s="2993"/>
      <c r="R355" s="2993"/>
      <c r="S355" s="2992"/>
    </row>
    <row r="356" spans="2:19" ht="21" customHeight="1">
      <c r="B356" s="2998"/>
      <c r="C356" s="2989"/>
      <c r="D356" s="2989"/>
      <c r="E356" s="2997"/>
      <c r="F356" s="2989"/>
      <c r="G356" s="2989"/>
      <c r="H356" s="2989"/>
      <c r="I356" s="2989"/>
      <c r="J356" s="2996"/>
      <c r="K356" s="2995"/>
      <c r="L356" s="2995"/>
      <c r="M356" s="2985" t="str">
        <f>IFERROR(ROUND(#REF!*J356/K356,2),"-")</f>
        <v>-</v>
      </c>
      <c r="N356" s="2994" t="str">
        <f t="shared" si="22"/>
        <v/>
      </c>
      <c r="O356" s="2989"/>
      <c r="P356" s="2994">
        <f t="shared" si="23"/>
        <v>0</v>
      </c>
      <c r="Q356" s="2993"/>
      <c r="R356" s="2993"/>
      <c r="S356" s="2992"/>
    </row>
    <row r="357" spans="2:19" ht="21" customHeight="1">
      <c r="B357" s="2998"/>
      <c r="C357" s="2989"/>
      <c r="D357" s="2989"/>
      <c r="E357" s="2997"/>
      <c r="F357" s="2989"/>
      <c r="G357" s="2989"/>
      <c r="H357" s="2989"/>
      <c r="I357" s="2989"/>
      <c r="J357" s="2996"/>
      <c r="K357" s="2995"/>
      <c r="L357" s="2995"/>
      <c r="M357" s="2985" t="str">
        <f>IFERROR(ROUND(#REF!*J357/K357,2),"-")</f>
        <v>-</v>
      </c>
      <c r="N357" s="2994" t="str">
        <f t="shared" si="22"/>
        <v/>
      </c>
      <c r="O357" s="2989"/>
      <c r="P357" s="2994">
        <f t="shared" si="23"/>
        <v>0</v>
      </c>
      <c r="Q357" s="2993"/>
      <c r="R357" s="2993"/>
      <c r="S357" s="2992"/>
    </row>
    <row r="358" spans="2:19" ht="21" customHeight="1">
      <c r="B358" s="2998"/>
      <c r="C358" s="2989"/>
      <c r="D358" s="2989"/>
      <c r="E358" s="2997"/>
      <c r="F358" s="2989"/>
      <c r="G358" s="2989"/>
      <c r="H358" s="2989"/>
      <c r="I358" s="2989"/>
      <c r="J358" s="2996"/>
      <c r="K358" s="2995"/>
      <c r="L358" s="2995"/>
      <c r="M358" s="2985" t="str">
        <f>IFERROR(ROUND(#REF!*J358/K358,2),"-")</f>
        <v>-</v>
      </c>
      <c r="N358" s="2994" t="str">
        <f t="shared" si="22"/>
        <v/>
      </c>
      <c r="O358" s="2989"/>
      <c r="P358" s="2994">
        <f t="shared" si="23"/>
        <v>0</v>
      </c>
      <c r="Q358" s="2993"/>
      <c r="R358" s="2993"/>
      <c r="S358" s="2992"/>
    </row>
    <row r="359" spans="2:19" ht="21" customHeight="1">
      <c r="B359" s="2998"/>
      <c r="C359" s="2989"/>
      <c r="D359" s="2989"/>
      <c r="E359" s="2997"/>
      <c r="F359" s="2989"/>
      <c r="G359" s="2989"/>
      <c r="H359" s="2989"/>
      <c r="I359" s="2989"/>
      <c r="J359" s="2996"/>
      <c r="K359" s="2995"/>
      <c r="L359" s="2995"/>
      <c r="M359" s="2985" t="str">
        <f>IFERROR(ROUND(#REF!*J359/K359,2),"-")</f>
        <v>-</v>
      </c>
      <c r="N359" s="2994" t="str">
        <f t="shared" si="22"/>
        <v/>
      </c>
      <c r="O359" s="2989"/>
      <c r="P359" s="2994">
        <f t="shared" si="23"/>
        <v>0</v>
      </c>
      <c r="Q359" s="2993"/>
      <c r="R359" s="2993"/>
      <c r="S359" s="2992"/>
    </row>
    <row r="360" spans="2:19" ht="21" customHeight="1">
      <c r="B360" s="2998"/>
      <c r="C360" s="2989"/>
      <c r="D360" s="2989"/>
      <c r="E360" s="2997"/>
      <c r="F360" s="2989"/>
      <c r="G360" s="2989"/>
      <c r="H360" s="2989"/>
      <c r="I360" s="2989"/>
      <c r="J360" s="2996"/>
      <c r="K360" s="2995"/>
      <c r="L360" s="2995"/>
      <c r="M360" s="2985" t="str">
        <f>IFERROR(ROUND(#REF!*J360/K360,2),"-")</f>
        <v>-</v>
      </c>
      <c r="N360" s="2994" t="str">
        <f t="shared" si="22"/>
        <v/>
      </c>
      <c r="O360" s="2989"/>
      <c r="P360" s="2994">
        <f t="shared" si="23"/>
        <v>0</v>
      </c>
      <c r="Q360" s="2993"/>
      <c r="R360" s="2993"/>
      <c r="S360" s="2992"/>
    </row>
    <row r="361" spans="2:19" ht="21" customHeight="1">
      <c r="B361" s="2998"/>
      <c r="C361" s="2989"/>
      <c r="D361" s="2989"/>
      <c r="E361" s="2997"/>
      <c r="F361" s="2989"/>
      <c r="G361" s="2989"/>
      <c r="H361" s="2989"/>
      <c r="I361" s="2989"/>
      <c r="J361" s="2996"/>
      <c r="K361" s="2995"/>
      <c r="L361" s="2995"/>
      <c r="M361" s="2985" t="str">
        <f>IFERROR(ROUND(#REF!*J361/K361,2),"-")</f>
        <v>-</v>
      </c>
      <c r="N361" s="2994" t="str">
        <f t="shared" si="22"/>
        <v/>
      </c>
      <c r="O361" s="2989"/>
      <c r="P361" s="2994">
        <f t="shared" si="23"/>
        <v>0</v>
      </c>
      <c r="Q361" s="2993"/>
      <c r="R361" s="2993"/>
      <c r="S361" s="2992"/>
    </row>
    <row r="362" spans="2:19" ht="21" customHeight="1">
      <c r="B362" s="2998"/>
      <c r="C362" s="2989"/>
      <c r="D362" s="2989"/>
      <c r="E362" s="2997"/>
      <c r="F362" s="2989"/>
      <c r="G362" s="2989"/>
      <c r="H362" s="2989"/>
      <c r="I362" s="2989"/>
      <c r="J362" s="2996"/>
      <c r="K362" s="2995"/>
      <c r="L362" s="2995"/>
      <c r="M362" s="2985" t="str">
        <f>IFERROR(ROUND(#REF!*J362/K362,2),"-")</f>
        <v>-</v>
      </c>
      <c r="N362" s="2994" t="str">
        <f t="shared" si="22"/>
        <v/>
      </c>
      <c r="O362" s="2989"/>
      <c r="P362" s="2994">
        <f t="shared" si="23"/>
        <v>0</v>
      </c>
      <c r="Q362" s="2993"/>
      <c r="R362" s="2993"/>
      <c r="S362" s="2992"/>
    </row>
    <row r="363" spans="2:19" ht="21" customHeight="1">
      <c r="B363" s="2998"/>
      <c r="C363" s="2989"/>
      <c r="D363" s="2989"/>
      <c r="E363" s="2997"/>
      <c r="F363" s="2989"/>
      <c r="G363" s="2989"/>
      <c r="H363" s="2989"/>
      <c r="I363" s="2989"/>
      <c r="J363" s="2996"/>
      <c r="K363" s="2995"/>
      <c r="L363" s="2995"/>
      <c r="M363" s="2985" t="str">
        <f>IFERROR(ROUND(#REF!*J363/K363,2),"-")</f>
        <v>-</v>
      </c>
      <c r="N363" s="2994" t="str">
        <f t="shared" si="22"/>
        <v/>
      </c>
      <c r="O363" s="2989"/>
      <c r="P363" s="2994">
        <f t="shared" si="23"/>
        <v>0</v>
      </c>
      <c r="Q363" s="2993"/>
      <c r="R363" s="2993"/>
      <c r="S363" s="2992"/>
    </row>
    <row r="364" spans="2:19" ht="21" customHeight="1">
      <c r="B364" s="2998"/>
      <c r="C364" s="2989"/>
      <c r="D364" s="2989"/>
      <c r="E364" s="2997"/>
      <c r="F364" s="2989"/>
      <c r="G364" s="2989"/>
      <c r="H364" s="2989"/>
      <c r="I364" s="2989"/>
      <c r="J364" s="2996"/>
      <c r="K364" s="2995"/>
      <c r="L364" s="2995"/>
      <c r="M364" s="2985" t="str">
        <f>IFERROR(ROUND(#REF!*J364/K364,2),"-")</f>
        <v>-</v>
      </c>
      <c r="N364" s="2994" t="str">
        <f t="shared" si="22"/>
        <v/>
      </c>
      <c r="O364" s="2989"/>
      <c r="P364" s="2994">
        <f t="shared" si="23"/>
        <v>0</v>
      </c>
      <c r="Q364" s="2993"/>
      <c r="R364" s="2993"/>
      <c r="S364" s="2992"/>
    </row>
    <row r="365" spans="2:19" ht="21" customHeight="1">
      <c r="B365" s="2998"/>
      <c r="C365" s="2989"/>
      <c r="D365" s="2989"/>
      <c r="E365" s="2997"/>
      <c r="F365" s="2989"/>
      <c r="G365" s="2989"/>
      <c r="H365" s="2989"/>
      <c r="I365" s="2989"/>
      <c r="J365" s="2996"/>
      <c r="K365" s="2995"/>
      <c r="L365" s="2995"/>
      <c r="M365" s="2985" t="str">
        <f>IFERROR(ROUND(#REF!*J365/K365,2),"-")</f>
        <v>-</v>
      </c>
      <c r="N365" s="2994" t="str">
        <f t="shared" si="22"/>
        <v/>
      </c>
      <c r="O365" s="2989"/>
      <c r="P365" s="2994">
        <f t="shared" si="23"/>
        <v>0</v>
      </c>
      <c r="Q365" s="2993"/>
      <c r="R365" s="2993"/>
      <c r="S365" s="2992"/>
    </row>
    <row r="366" spans="2:19" ht="21" customHeight="1">
      <c r="B366" s="2998"/>
      <c r="C366" s="2989"/>
      <c r="D366" s="2989"/>
      <c r="E366" s="2997"/>
      <c r="F366" s="2989"/>
      <c r="G366" s="2989"/>
      <c r="H366" s="2989"/>
      <c r="I366" s="2989"/>
      <c r="J366" s="2996"/>
      <c r="K366" s="2995"/>
      <c r="L366" s="2995"/>
      <c r="M366" s="2985" t="str">
        <f>IFERROR(ROUND(#REF!*J366/K366,2),"-")</f>
        <v>-</v>
      </c>
      <c r="N366" s="2994" t="str">
        <f t="shared" si="22"/>
        <v/>
      </c>
      <c r="O366" s="2989"/>
      <c r="P366" s="2994">
        <f t="shared" si="23"/>
        <v>0</v>
      </c>
      <c r="Q366" s="2993"/>
      <c r="R366" s="2993"/>
      <c r="S366" s="2992"/>
    </row>
    <row r="367" spans="2:19" ht="21" customHeight="1">
      <c r="B367" s="2998"/>
      <c r="C367" s="2989"/>
      <c r="D367" s="2989"/>
      <c r="E367" s="2997"/>
      <c r="F367" s="2989"/>
      <c r="G367" s="2989"/>
      <c r="H367" s="2989"/>
      <c r="I367" s="2989"/>
      <c r="J367" s="2996"/>
      <c r="K367" s="2995"/>
      <c r="L367" s="2995"/>
      <c r="M367" s="2985" t="str">
        <f>IFERROR(ROUND(#REF!*J367/K367,2),"-")</f>
        <v>-</v>
      </c>
      <c r="N367" s="2994" t="str">
        <f t="shared" si="22"/>
        <v/>
      </c>
      <c r="O367" s="2989"/>
      <c r="P367" s="2994">
        <f t="shared" si="23"/>
        <v>0</v>
      </c>
      <c r="Q367" s="2993"/>
      <c r="R367" s="2993"/>
      <c r="S367" s="2992"/>
    </row>
    <row r="368" spans="2:19" ht="21" customHeight="1">
      <c r="B368" s="2998"/>
      <c r="C368" s="2989"/>
      <c r="D368" s="2989"/>
      <c r="E368" s="2997"/>
      <c r="F368" s="2989"/>
      <c r="G368" s="2989"/>
      <c r="H368" s="2989"/>
      <c r="I368" s="2989"/>
      <c r="J368" s="2996"/>
      <c r="K368" s="2995"/>
      <c r="L368" s="2995"/>
      <c r="M368" s="2985" t="str">
        <f>IFERROR(ROUND(#REF!*J368/K368,2),"-")</f>
        <v>-</v>
      </c>
      <c r="N368" s="2994" t="str">
        <f t="shared" si="22"/>
        <v/>
      </c>
      <c r="O368" s="2989"/>
      <c r="P368" s="2994">
        <f t="shared" si="23"/>
        <v>0</v>
      </c>
      <c r="Q368" s="2993"/>
      <c r="R368" s="2993"/>
      <c r="S368" s="2992"/>
    </row>
    <row r="369" spans="2:19" ht="21" customHeight="1">
      <c r="B369" s="2998"/>
      <c r="C369" s="2989"/>
      <c r="D369" s="2989"/>
      <c r="E369" s="2997"/>
      <c r="F369" s="2989"/>
      <c r="G369" s="2989"/>
      <c r="H369" s="2989"/>
      <c r="I369" s="2989"/>
      <c r="J369" s="2996"/>
      <c r="K369" s="2995"/>
      <c r="L369" s="2995"/>
      <c r="M369" s="2985" t="str">
        <f>IFERROR(ROUND(#REF!*J369/K369,2),"-")</f>
        <v>-</v>
      </c>
      <c r="N369" s="2994" t="str">
        <f t="shared" si="22"/>
        <v/>
      </c>
      <c r="O369" s="2989"/>
      <c r="P369" s="2994">
        <f t="shared" si="23"/>
        <v>0</v>
      </c>
      <c r="Q369" s="2993"/>
      <c r="R369" s="2993"/>
      <c r="S369" s="2992"/>
    </row>
    <row r="370" spans="2:19" ht="21" customHeight="1">
      <c r="B370" s="2998"/>
      <c r="C370" s="2989"/>
      <c r="D370" s="2989"/>
      <c r="E370" s="2997"/>
      <c r="F370" s="2989"/>
      <c r="G370" s="2989"/>
      <c r="H370" s="2989"/>
      <c r="I370" s="2989"/>
      <c r="J370" s="2996"/>
      <c r="K370" s="2995"/>
      <c r="L370" s="2995"/>
      <c r="M370" s="2985" t="str">
        <f>IFERROR(ROUND(#REF!*J370/K370,2),"-")</f>
        <v>-</v>
      </c>
      <c r="N370" s="2994" t="str">
        <f t="shared" si="22"/>
        <v/>
      </c>
      <c r="O370" s="2989"/>
      <c r="P370" s="2994">
        <f t="shared" si="23"/>
        <v>0</v>
      </c>
      <c r="Q370" s="2993"/>
      <c r="R370" s="2993"/>
      <c r="S370" s="2992"/>
    </row>
    <row r="371" spans="2:19" ht="21" customHeight="1">
      <c r="B371" s="2998"/>
      <c r="C371" s="2989"/>
      <c r="D371" s="2989"/>
      <c r="E371" s="2997"/>
      <c r="F371" s="2989"/>
      <c r="G371" s="2989"/>
      <c r="H371" s="2989"/>
      <c r="I371" s="2989"/>
      <c r="J371" s="2996"/>
      <c r="K371" s="2995"/>
      <c r="L371" s="2995"/>
      <c r="M371" s="2985" t="str">
        <f>IFERROR(ROUND(#REF!*J371/K371,2),"-")</f>
        <v>-</v>
      </c>
      <c r="N371" s="2994" t="str">
        <f t="shared" si="22"/>
        <v/>
      </c>
      <c r="O371" s="2989"/>
      <c r="P371" s="2994">
        <f t="shared" si="23"/>
        <v>0</v>
      </c>
      <c r="Q371" s="2993"/>
      <c r="R371" s="2993"/>
      <c r="S371" s="2992"/>
    </row>
    <row r="372" spans="2:19" ht="21" customHeight="1">
      <c r="B372" s="2998"/>
      <c r="C372" s="2989"/>
      <c r="D372" s="2989"/>
      <c r="E372" s="2997"/>
      <c r="F372" s="2989"/>
      <c r="G372" s="2989"/>
      <c r="H372" s="2989"/>
      <c r="I372" s="2989"/>
      <c r="J372" s="2996"/>
      <c r="K372" s="2995"/>
      <c r="L372" s="2995"/>
      <c r="M372" s="2985" t="str">
        <f>IFERROR(ROUND(#REF!*J372/K372,2),"-")</f>
        <v>-</v>
      </c>
      <c r="N372" s="2994" t="str">
        <f t="shared" si="22"/>
        <v/>
      </c>
      <c r="O372" s="2989"/>
      <c r="P372" s="2994">
        <f t="shared" si="23"/>
        <v>0</v>
      </c>
      <c r="Q372" s="2993"/>
      <c r="R372" s="2993"/>
      <c r="S372" s="2992"/>
    </row>
    <row r="373" spans="2:19" ht="21" customHeight="1">
      <c r="B373" s="2998"/>
      <c r="C373" s="2989"/>
      <c r="D373" s="2989"/>
      <c r="E373" s="2997"/>
      <c r="F373" s="2989"/>
      <c r="G373" s="2989"/>
      <c r="H373" s="2989"/>
      <c r="I373" s="2989"/>
      <c r="J373" s="2996"/>
      <c r="K373" s="2995"/>
      <c r="L373" s="2995"/>
      <c r="M373" s="2985" t="str">
        <f>IFERROR(ROUND(#REF!*J373/K373,2),"-")</f>
        <v>-</v>
      </c>
      <c r="N373" s="2994" t="str">
        <f t="shared" si="22"/>
        <v/>
      </c>
      <c r="O373" s="2989"/>
      <c r="P373" s="2994">
        <f t="shared" si="23"/>
        <v>0</v>
      </c>
      <c r="Q373" s="2993"/>
      <c r="R373" s="2993"/>
      <c r="S373" s="2992"/>
    </row>
    <row r="374" spans="2:19" ht="21" customHeight="1">
      <c r="B374" s="2998"/>
      <c r="C374" s="2989"/>
      <c r="D374" s="2989"/>
      <c r="E374" s="2997"/>
      <c r="F374" s="2989"/>
      <c r="G374" s="2989"/>
      <c r="H374" s="2989"/>
      <c r="I374" s="2989"/>
      <c r="J374" s="2996"/>
      <c r="K374" s="2995"/>
      <c r="L374" s="2995"/>
      <c r="M374" s="2985" t="str">
        <f>IFERROR(ROUND(#REF!*J374/K374,2),"-")</f>
        <v>-</v>
      </c>
      <c r="N374" s="2994" t="str">
        <f t="shared" si="22"/>
        <v/>
      </c>
      <c r="O374" s="2989"/>
      <c r="P374" s="2994">
        <f t="shared" si="23"/>
        <v>0</v>
      </c>
      <c r="Q374" s="2993"/>
      <c r="R374" s="2993"/>
      <c r="S374" s="2992"/>
    </row>
    <row r="375" spans="2:19" ht="21" customHeight="1">
      <c r="B375" s="2998"/>
      <c r="C375" s="2989"/>
      <c r="D375" s="2989"/>
      <c r="E375" s="2997"/>
      <c r="F375" s="2989"/>
      <c r="G375" s="2989"/>
      <c r="H375" s="2989"/>
      <c r="I375" s="2989"/>
      <c r="J375" s="2996"/>
      <c r="K375" s="2995"/>
      <c r="L375" s="2995"/>
      <c r="M375" s="2985" t="str">
        <f>IFERROR(ROUND(#REF!*J375/K375,2),"-")</f>
        <v>-</v>
      </c>
      <c r="N375" s="2994" t="str">
        <f t="shared" si="22"/>
        <v/>
      </c>
      <c r="O375" s="2989"/>
      <c r="P375" s="2994">
        <f t="shared" si="23"/>
        <v>0</v>
      </c>
      <c r="Q375" s="2993"/>
      <c r="R375" s="2993"/>
      <c r="S375" s="2992"/>
    </row>
    <row r="376" spans="2:19" ht="21" customHeight="1">
      <c r="B376" s="2998"/>
      <c r="C376" s="2989"/>
      <c r="D376" s="2989"/>
      <c r="E376" s="2997"/>
      <c r="F376" s="2989"/>
      <c r="G376" s="2989"/>
      <c r="H376" s="2989"/>
      <c r="I376" s="2989"/>
      <c r="J376" s="2996"/>
      <c r="K376" s="2995"/>
      <c r="L376" s="2995"/>
      <c r="M376" s="2985" t="str">
        <f>IFERROR(ROUND(#REF!*J376/K376,2),"-")</f>
        <v>-</v>
      </c>
      <c r="N376" s="2994" t="str">
        <f t="shared" si="22"/>
        <v/>
      </c>
      <c r="O376" s="2989"/>
      <c r="P376" s="2994">
        <f t="shared" si="23"/>
        <v>0</v>
      </c>
      <c r="Q376" s="2993"/>
      <c r="R376" s="2993"/>
      <c r="S376" s="2992"/>
    </row>
    <row r="377" spans="2:19" ht="21" customHeight="1">
      <c r="B377" s="2998"/>
      <c r="C377" s="2989"/>
      <c r="D377" s="2989"/>
      <c r="E377" s="2997"/>
      <c r="F377" s="2989"/>
      <c r="G377" s="2989"/>
      <c r="H377" s="2989"/>
      <c r="I377" s="2989"/>
      <c r="J377" s="2996"/>
      <c r="K377" s="2995"/>
      <c r="L377" s="2995"/>
      <c r="M377" s="2985" t="str">
        <f>IFERROR(ROUND(#REF!*J377/K377,2),"-")</f>
        <v>-</v>
      </c>
      <c r="N377" s="2994" t="str">
        <f t="shared" si="22"/>
        <v/>
      </c>
      <c r="O377" s="2989"/>
      <c r="P377" s="2994">
        <f t="shared" si="23"/>
        <v>0</v>
      </c>
      <c r="Q377" s="2993"/>
      <c r="R377" s="2993"/>
      <c r="S377" s="2992"/>
    </row>
    <row r="378" spans="2:19" ht="21" customHeight="1">
      <c r="B378" s="2998"/>
      <c r="C378" s="2989"/>
      <c r="D378" s="2989"/>
      <c r="E378" s="2997"/>
      <c r="F378" s="2989"/>
      <c r="G378" s="2989"/>
      <c r="H378" s="2989"/>
      <c r="I378" s="2989"/>
      <c r="J378" s="2996"/>
      <c r="K378" s="2995"/>
      <c r="L378" s="2995"/>
      <c r="M378" s="2985" t="str">
        <f>IFERROR(ROUND(#REF!*J378/K378,2),"-")</f>
        <v>-</v>
      </c>
      <c r="N378" s="2994" t="str">
        <f t="shared" si="22"/>
        <v/>
      </c>
      <c r="O378" s="2989"/>
      <c r="P378" s="2994">
        <f t="shared" si="23"/>
        <v>0</v>
      </c>
      <c r="Q378" s="2993"/>
      <c r="R378" s="2993"/>
      <c r="S378" s="2992"/>
    </row>
    <row r="379" spans="2:19" ht="21" customHeight="1">
      <c r="B379" s="2998"/>
      <c r="C379" s="2989"/>
      <c r="D379" s="2989"/>
      <c r="E379" s="2997"/>
      <c r="F379" s="2989"/>
      <c r="G379" s="2989"/>
      <c r="H379" s="2989"/>
      <c r="I379" s="2989"/>
      <c r="J379" s="2996"/>
      <c r="K379" s="2995"/>
      <c r="L379" s="2995"/>
      <c r="M379" s="2985" t="str">
        <f>IFERROR(ROUND(#REF!*J379/K379,2),"-")</f>
        <v>-</v>
      </c>
      <c r="N379" s="2994" t="str">
        <f t="shared" si="22"/>
        <v/>
      </c>
      <c r="O379" s="2989"/>
      <c r="P379" s="2994">
        <f t="shared" si="23"/>
        <v>0</v>
      </c>
      <c r="Q379" s="2993"/>
      <c r="R379" s="2993"/>
      <c r="S379" s="2992"/>
    </row>
    <row r="380" spans="2:19" ht="21" customHeight="1">
      <c r="B380" s="2998"/>
      <c r="C380" s="2989"/>
      <c r="D380" s="2989"/>
      <c r="E380" s="2997"/>
      <c r="F380" s="2989"/>
      <c r="G380" s="2989"/>
      <c r="H380" s="2989"/>
      <c r="I380" s="2989"/>
      <c r="J380" s="2996"/>
      <c r="K380" s="2995"/>
      <c r="L380" s="2995"/>
      <c r="M380" s="2985" t="str">
        <f>IFERROR(ROUND(#REF!*J380/K380,2),"-")</f>
        <v>-</v>
      </c>
      <c r="N380" s="2994" t="str">
        <f t="shared" si="22"/>
        <v/>
      </c>
      <c r="O380" s="2989"/>
      <c r="P380" s="2994">
        <f t="shared" si="23"/>
        <v>0</v>
      </c>
      <c r="Q380" s="2993"/>
      <c r="R380" s="2993"/>
      <c r="S380" s="2992"/>
    </row>
    <row r="381" spans="2:19" ht="21" customHeight="1">
      <c r="B381" s="2998"/>
      <c r="C381" s="2989"/>
      <c r="D381" s="2989"/>
      <c r="E381" s="2997"/>
      <c r="F381" s="2989"/>
      <c r="G381" s="2989"/>
      <c r="H381" s="2989"/>
      <c r="I381" s="2989"/>
      <c r="J381" s="2996"/>
      <c r="K381" s="2995"/>
      <c r="L381" s="2995"/>
      <c r="M381" s="2985" t="str">
        <f>IFERROR(ROUND(#REF!*J381/K381,2),"-")</f>
        <v>-</v>
      </c>
      <c r="N381" s="2994" t="str">
        <f t="shared" si="22"/>
        <v/>
      </c>
      <c r="O381" s="2989"/>
      <c r="P381" s="2994">
        <f t="shared" si="23"/>
        <v>0</v>
      </c>
      <c r="Q381" s="2993"/>
      <c r="R381" s="2993"/>
      <c r="S381" s="2992"/>
    </row>
    <row r="382" spans="2:19" ht="21" customHeight="1">
      <c r="B382" s="2998"/>
      <c r="C382" s="2989"/>
      <c r="D382" s="2989"/>
      <c r="E382" s="2997"/>
      <c r="F382" s="2989"/>
      <c r="G382" s="2989"/>
      <c r="H382" s="2989"/>
      <c r="I382" s="2989"/>
      <c r="J382" s="2996"/>
      <c r="K382" s="2995"/>
      <c r="L382" s="2995"/>
      <c r="M382" s="2985" t="str">
        <f>IFERROR(ROUND(#REF!*J382/K382,2),"-")</f>
        <v>-</v>
      </c>
      <c r="N382" s="2994" t="str">
        <f t="shared" si="22"/>
        <v/>
      </c>
      <c r="O382" s="2989"/>
      <c r="P382" s="2994">
        <f t="shared" si="23"/>
        <v>0</v>
      </c>
      <c r="Q382" s="2993"/>
      <c r="R382" s="2993"/>
      <c r="S382" s="2992"/>
    </row>
    <row r="383" spans="2:19" ht="21" customHeight="1">
      <c r="B383" s="2998"/>
      <c r="C383" s="2989"/>
      <c r="D383" s="2989"/>
      <c r="E383" s="2997"/>
      <c r="F383" s="2989"/>
      <c r="G383" s="2989"/>
      <c r="H383" s="2989"/>
      <c r="I383" s="2989"/>
      <c r="J383" s="2996"/>
      <c r="K383" s="2995"/>
      <c r="L383" s="2995"/>
      <c r="M383" s="2985" t="str">
        <f>IFERROR(ROUND(#REF!*J383/K383,2),"-")</f>
        <v>-</v>
      </c>
      <c r="N383" s="2994" t="str">
        <f t="shared" si="22"/>
        <v/>
      </c>
      <c r="O383" s="2989"/>
      <c r="P383" s="2994">
        <f t="shared" si="23"/>
        <v>0</v>
      </c>
      <c r="Q383" s="2993"/>
      <c r="R383" s="2993"/>
      <c r="S383" s="2992"/>
    </row>
    <row r="384" spans="2:19" ht="21" customHeight="1">
      <c r="B384" s="2998"/>
      <c r="C384" s="2989"/>
      <c r="D384" s="2989"/>
      <c r="E384" s="2997"/>
      <c r="F384" s="2989"/>
      <c r="G384" s="2989"/>
      <c r="H384" s="2989"/>
      <c r="I384" s="2989"/>
      <c r="J384" s="2996"/>
      <c r="K384" s="2995"/>
      <c r="L384" s="2995"/>
      <c r="M384" s="2985" t="str">
        <f>IFERROR(ROUND(#REF!*J384/K384,2),"-")</f>
        <v>-</v>
      </c>
      <c r="N384" s="2994" t="str">
        <f t="shared" si="22"/>
        <v/>
      </c>
      <c r="O384" s="2989"/>
      <c r="P384" s="2994">
        <f t="shared" si="23"/>
        <v>0</v>
      </c>
      <c r="Q384" s="2993"/>
      <c r="R384" s="2993"/>
      <c r="S384" s="2992"/>
    </row>
    <row r="385" spans="2:19" ht="21" customHeight="1">
      <c r="B385" s="2998"/>
      <c r="C385" s="2989"/>
      <c r="D385" s="2989"/>
      <c r="E385" s="2997"/>
      <c r="F385" s="2989"/>
      <c r="G385" s="2989"/>
      <c r="H385" s="2989"/>
      <c r="I385" s="2989"/>
      <c r="J385" s="2996"/>
      <c r="K385" s="2995"/>
      <c r="L385" s="2995"/>
      <c r="M385" s="2985" t="str">
        <f>IFERROR(ROUND(#REF!*J385/K385,2),"-")</f>
        <v>-</v>
      </c>
      <c r="N385" s="2994" t="str">
        <f t="shared" si="22"/>
        <v/>
      </c>
      <c r="O385" s="2989"/>
      <c r="P385" s="2994">
        <f t="shared" si="23"/>
        <v>0</v>
      </c>
      <c r="Q385" s="2993"/>
      <c r="R385" s="2993"/>
      <c r="S385" s="2992"/>
    </row>
    <row r="386" spans="2:19" ht="21" customHeight="1">
      <c r="B386" s="2998"/>
      <c r="C386" s="2989"/>
      <c r="D386" s="2989"/>
      <c r="E386" s="2997"/>
      <c r="F386" s="2989"/>
      <c r="G386" s="2989"/>
      <c r="H386" s="2989"/>
      <c r="I386" s="2989"/>
      <c r="J386" s="2996"/>
      <c r="K386" s="2995"/>
      <c r="L386" s="2995"/>
      <c r="M386" s="2985" t="str">
        <f>IFERROR(ROUND(#REF!*J386/K386,2),"-")</f>
        <v>-</v>
      </c>
      <c r="N386" s="2994" t="str">
        <f t="shared" si="22"/>
        <v/>
      </c>
      <c r="O386" s="2989"/>
      <c r="P386" s="2994">
        <f t="shared" si="23"/>
        <v>0</v>
      </c>
      <c r="Q386" s="2993"/>
      <c r="R386" s="2993"/>
      <c r="S386" s="2992"/>
    </row>
    <row r="387" spans="2:19" ht="21" customHeight="1">
      <c r="B387" s="2998"/>
      <c r="C387" s="2989"/>
      <c r="D387" s="2989"/>
      <c r="E387" s="2997"/>
      <c r="F387" s="2989"/>
      <c r="G387" s="2989"/>
      <c r="H387" s="2989"/>
      <c r="I387" s="2989"/>
      <c r="J387" s="2996"/>
      <c r="K387" s="2995"/>
      <c r="L387" s="2995"/>
      <c r="M387" s="2985" t="str">
        <f>IFERROR(ROUND(#REF!*J387/K387,2),"-")</f>
        <v>-</v>
      </c>
      <c r="N387" s="2994" t="str">
        <f t="shared" si="22"/>
        <v/>
      </c>
      <c r="O387" s="2989"/>
      <c r="P387" s="2994">
        <f t="shared" si="23"/>
        <v>0</v>
      </c>
      <c r="Q387" s="2993"/>
      <c r="R387" s="2993"/>
      <c r="S387" s="2992"/>
    </row>
    <row r="388" spans="2:19" ht="21" customHeight="1">
      <c r="B388" s="2998"/>
      <c r="C388" s="2989"/>
      <c r="D388" s="2989"/>
      <c r="E388" s="2997"/>
      <c r="F388" s="2989"/>
      <c r="G388" s="2989"/>
      <c r="H388" s="2989"/>
      <c r="I388" s="2989"/>
      <c r="J388" s="2996"/>
      <c r="K388" s="2995"/>
      <c r="L388" s="2995"/>
      <c r="M388" s="2985" t="str">
        <f>IFERROR(ROUND(#REF!*J388/K388,2),"-")</f>
        <v>-</v>
      </c>
      <c r="N388" s="2994" t="str">
        <f t="shared" si="22"/>
        <v/>
      </c>
      <c r="O388" s="2989"/>
      <c r="P388" s="2994">
        <f t="shared" si="23"/>
        <v>0</v>
      </c>
      <c r="Q388" s="2993"/>
      <c r="R388" s="2993"/>
      <c r="S388" s="2992"/>
    </row>
    <row r="389" spans="2:19" ht="21" customHeight="1">
      <c r="B389" s="2998"/>
      <c r="C389" s="2989"/>
      <c r="D389" s="2989"/>
      <c r="E389" s="2997"/>
      <c r="F389" s="2989"/>
      <c r="G389" s="2989"/>
      <c r="H389" s="2989"/>
      <c r="I389" s="2989"/>
      <c r="J389" s="2996"/>
      <c r="K389" s="2995"/>
      <c r="L389" s="2995"/>
      <c r="M389" s="2985" t="str">
        <f>IFERROR(ROUND(#REF!*J389/K389,2),"-")</f>
        <v>-</v>
      </c>
      <c r="N389" s="2994" t="str">
        <f t="shared" si="22"/>
        <v/>
      </c>
      <c r="O389" s="2989"/>
      <c r="P389" s="2994">
        <f t="shared" si="23"/>
        <v>0</v>
      </c>
      <c r="Q389" s="2993"/>
      <c r="R389" s="2993"/>
      <c r="S389" s="2992"/>
    </row>
    <row r="390" spans="2:19" ht="21" customHeight="1">
      <c r="B390" s="2998"/>
      <c r="C390" s="2989"/>
      <c r="D390" s="2989"/>
      <c r="E390" s="2997"/>
      <c r="F390" s="2989"/>
      <c r="G390" s="2989"/>
      <c r="H390" s="2989"/>
      <c r="I390" s="2989"/>
      <c r="J390" s="2996"/>
      <c r="K390" s="2995"/>
      <c r="L390" s="2995"/>
      <c r="M390" s="2985" t="str">
        <f>IFERROR(ROUND(#REF!*J390/K390,2),"-")</f>
        <v>-</v>
      </c>
      <c r="N390" s="2994" t="str">
        <f t="shared" si="22"/>
        <v/>
      </c>
      <c r="O390" s="2989"/>
      <c r="P390" s="2994">
        <f t="shared" si="23"/>
        <v>0</v>
      </c>
      <c r="Q390" s="2993"/>
      <c r="R390" s="2993"/>
      <c r="S390" s="2992"/>
    </row>
    <row r="391" spans="2:19" ht="21" customHeight="1">
      <c r="B391" s="2998"/>
      <c r="C391" s="2989"/>
      <c r="D391" s="2989"/>
      <c r="E391" s="2997"/>
      <c r="F391" s="2989"/>
      <c r="G391" s="2989"/>
      <c r="H391" s="2989"/>
      <c r="I391" s="2989"/>
      <c r="J391" s="2996"/>
      <c r="K391" s="2995"/>
      <c r="L391" s="2995"/>
      <c r="M391" s="2985" t="str">
        <f>IFERROR(ROUND(#REF!*J391/K391,2),"-")</f>
        <v>-</v>
      </c>
      <c r="N391" s="2994" t="str">
        <f t="shared" si="22"/>
        <v/>
      </c>
      <c r="O391" s="2989"/>
      <c r="P391" s="2994">
        <f t="shared" si="23"/>
        <v>0</v>
      </c>
      <c r="Q391" s="2993"/>
      <c r="R391" s="2993"/>
      <c r="S391" s="2992"/>
    </row>
    <row r="392" spans="2:19" ht="21" customHeight="1">
      <c r="B392" s="2998"/>
      <c r="C392" s="2989"/>
      <c r="D392" s="2989"/>
      <c r="E392" s="2997"/>
      <c r="F392" s="2989"/>
      <c r="G392" s="2989"/>
      <c r="H392" s="2989"/>
      <c r="I392" s="2989"/>
      <c r="J392" s="2996"/>
      <c r="K392" s="2995"/>
      <c r="L392" s="2995"/>
      <c r="M392" s="2985" t="str">
        <f>IFERROR(ROUND(#REF!*J392/K392,2),"-")</f>
        <v>-</v>
      </c>
      <c r="N392" s="2994" t="str">
        <f t="shared" si="22"/>
        <v/>
      </c>
      <c r="O392" s="2989"/>
      <c r="P392" s="2994">
        <f t="shared" si="23"/>
        <v>0</v>
      </c>
      <c r="Q392" s="2993"/>
      <c r="R392" s="2993"/>
      <c r="S392" s="2992"/>
    </row>
    <row r="393" spans="2:19" ht="21" customHeight="1">
      <c r="B393" s="2998"/>
      <c r="C393" s="2989"/>
      <c r="D393" s="2989"/>
      <c r="E393" s="2997"/>
      <c r="F393" s="2989"/>
      <c r="G393" s="2989"/>
      <c r="H393" s="2989"/>
      <c r="I393" s="2989"/>
      <c r="J393" s="2996"/>
      <c r="K393" s="2995"/>
      <c r="L393" s="2995"/>
      <c r="M393" s="2985" t="str">
        <f>IFERROR(ROUND(#REF!*J393/K393,2),"-")</f>
        <v>-</v>
      </c>
      <c r="N393" s="2994" t="str">
        <f t="shared" si="22"/>
        <v/>
      </c>
      <c r="O393" s="2989"/>
      <c r="P393" s="2994">
        <f t="shared" si="23"/>
        <v>0</v>
      </c>
      <c r="Q393" s="2993"/>
      <c r="R393" s="2993"/>
      <c r="S393" s="2992"/>
    </row>
    <row r="394" spans="2:19" ht="21" customHeight="1">
      <c r="B394" s="2998"/>
      <c r="C394" s="2989"/>
      <c r="D394" s="2989"/>
      <c r="E394" s="2997"/>
      <c r="F394" s="2989"/>
      <c r="G394" s="2989"/>
      <c r="H394" s="2989"/>
      <c r="I394" s="2989"/>
      <c r="J394" s="2996"/>
      <c r="K394" s="2995"/>
      <c r="L394" s="2995"/>
      <c r="M394" s="2985" t="str">
        <f>IFERROR(ROUND(#REF!*J394/K394,2),"-")</f>
        <v>-</v>
      </c>
      <c r="N394" s="2994" t="str">
        <f t="shared" si="22"/>
        <v/>
      </c>
      <c r="O394" s="2989"/>
      <c r="P394" s="2994">
        <f t="shared" si="23"/>
        <v>0</v>
      </c>
      <c r="Q394" s="2993"/>
      <c r="R394" s="2993"/>
      <c r="S394" s="2992"/>
    </row>
    <row r="395" spans="2:19" ht="21" customHeight="1">
      <c r="B395" s="2998"/>
      <c r="C395" s="2989"/>
      <c r="D395" s="2989"/>
      <c r="E395" s="2997"/>
      <c r="F395" s="2989"/>
      <c r="G395" s="2989"/>
      <c r="H395" s="2989"/>
      <c r="I395" s="2989"/>
      <c r="J395" s="2996"/>
      <c r="K395" s="2995"/>
      <c r="L395" s="2995"/>
      <c r="M395" s="2985" t="str">
        <f>IFERROR(ROUND(#REF!*J395/K395,2),"-")</f>
        <v>-</v>
      </c>
      <c r="N395" s="2994" t="str">
        <f t="shared" si="22"/>
        <v/>
      </c>
      <c r="O395" s="2989"/>
      <c r="P395" s="2994">
        <f t="shared" si="23"/>
        <v>0</v>
      </c>
      <c r="Q395" s="2993"/>
      <c r="R395" s="2993"/>
      <c r="S395" s="2992"/>
    </row>
    <row r="396" spans="2:19" ht="21" customHeight="1">
      <c r="B396" s="2998"/>
      <c r="C396" s="2989"/>
      <c r="D396" s="2989"/>
      <c r="E396" s="2997"/>
      <c r="F396" s="2989"/>
      <c r="G396" s="2989"/>
      <c r="H396" s="2989"/>
      <c r="I396" s="2989"/>
      <c r="J396" s="2996"/>
      <c r="K396" s="2995"/>
      <c r="L396" s="2995"/>
      <c r="M396" s="2985" t="str">
        <f>IFERROR(ROUND(#REF!*J396/K396,2),"-")</f>
        <v>-</v>
      </c>
      <c r="N396" s="2994" t="str">
        <f t="shared" si="22"/>
        <v/>
      </c>
      <c r="O396" s="2989"/>
      <c r="P396" s="2994">
        <f t="shared" si="23"/>
        <v>0</v>
      </c>
      <c r="Q396" s="2993"/>
      <c r="R396" s="2993"/>
      <c r="S396" s="2992"/>
    </row>
    <row r="397" spans="2:19" ht="21" customHeight="1">
      <c r="B397" s="2998"/>
      <c r="C397" s="2989"/>
      <c r="D397" s="2989"/>
      <c r="E397" s="2997"/>
      <c r="F397" s="2989"/>
      <c r="G397" s="2989"/>
      <c r="H397" s="2989"/>
      <c r="I397" s="2989"/>
      <c r="J397" s="2996"/>
      <c r="K397" s="2995"/>
      <c r="L397" s="2995"/>
      <c r="M397" s="2985" t="str">
        <f>IFERROR(ROUND(#REF!*J397/K397,2),"-")</f>
        <v>-</v>
      </c>
      <c r="N397" s="2994" t="str">
        <f t="shared" si="22"/>
        <v/>
      </c>
      <c r="O397" s="2989"/>
      <c r="P397" s="2994">
        <f t="shared" si="23"/>
        <v>0</v>
      </c>
      <c r="Q397" s="2993"/>
      <c r="R397" s="2993"/>
      <c r="S397" s="2992"/>
    </row>
    <row r="398" spans="2:19" ht="21" customHeight="1">
      <c r="B398" s="2998"/>
      <c r="C398" s="2989"/>
      <c r="D398" s="2989"/>
      <c r="E398" s="2997"/>
      <c r="F398" s="2989"/>
      <c r="G398" s="2989"/>
      <c r="H398" s="2989"/>
      <c r="I398" s="2989"/>
      <c r="J398" s="2996"/>
      <c r="K398" s="2995"/>
      <c r="L398" s="2995"/>
      <c r="M398" s="2985" t="str">
        <f>IFERROR(ROUND(#REF!*J398/K398,2),"-")</f>
        <v>-</v>
      </c>
      <c r="N398" s="2994" t="str">
        <f t="shared" si="22"/>
        <v/>
      </c>
      <c r="O398" s="2989"/>
      <c r="P398" s="2994">
        <f t="shared" si="23"/>
        <v>0</v>
      </c>
      <c r="Q398" s="2993"/>
      <c r="R398" s="2993"/>
      <c r="S398" s="2992"/>
    </row>
    <row r="399" spans="2:19" ht="21" customHeight="1">
      <c r="B399" s="2998"/>
      <c r="C399" s="2989"/>
      <c r="D399" s="2989"/>
      <c r="E399" s="2997"/>
      <c r="F399" s="2989"/>
      <c r="G399" s="2989"/>
      <c r="H399" s="2989"/>
      <c r="I399" s="2989"/>
      <c r="J399" s="2996"/>
      <c r="K399" s="2995"/>
      <c r="L399" s="2995"/>
      <c r="M399" s="2985" t="str">
        <f>IFERROR(ROUND(#REF!*J399/K399,2),"-")</f>
        <v>-</v>
      </c>
      <c r="N399" s="2994" t="str">
        <f t="shared" si="22"/>
        <v/>
      </c>
      <c r="O399" s="2989"/>
      <c r="P399" s="2994">
        <f t="shared" si="23"/>
        <v>0</v>
      </c>
      <c r="Q399" s="2993"/>
      <c r="R399" s="2993"/>
      <c r="S399" s="2992"/>
    </row>
    <row r="400" spans="2:19" ht="21" customHeight="1">
      <c r="B400" s="2998"/>
      <c r="C400" s="2989"/>
      <c r="D400" s="2989"/>
      <c r="E400" s="2997"/>
      <c r="F400" s="2989"/>
      <c r="G400" s="2989"/>
      <c r="H400" s="2989"/>
      <c r="I400" s="2989"/>
      <c r="J400" s="2996"/>
      <c r="K400" s="2995"/>
      <c r="L400" s="2995"/>
      <c r="M400" s="2985" t="str">
        <f>IFERROR(ROUND(#REF!*J400/K400,2),"-")</f>
        <v>-</v>
      </c>
      <c r="N400" s="2994" t="str">
        <f t="shared" si="22"/>
        <v/>
      </c>
      <c r="O400" s="2989"/>
      <c r="P400" s="2994">
        <f t="shared" si="23"/>
        <v>0</v>
      </c>
      <c r="Q400" s="2993"/>
      <c r="R400" s="2993"/>
      <c r="S400" s="2992"/>
    </row>
    <row r="401" spans="2:19" ht="21" customHeight="1">
      <c r="B401" s="2998"/>
      <c r="C401" s="2989"/>
      <c r="D401" s="2989"/>
      <c r="E401" s="2997"/>
      <c r="F401" s="2989"/>
      <c r="G401" s="2989"/>
      <c r="H401" s="2989"/>
      <c r="I401" s="2989"/>
      <c r="J401" s="2996"/>
      <c r="K401" s="2995"/>
      <c r="L401" s="2995"/>
      <c r="M401" s="2985" t="str">
        <f>IFERROR(ROUND(#REF!*J401/K401,2),"-")</f>
        <v>-</v>
      </c>
      <c r="N401" s="2994" t="str">
        <f t="shared" si="22"/>
        <v/>
      </c>
      <c r="O401" s="2989"/>
      <c r="P401" s="2994">
        <f t="shared" si="23"/>
        <v>0</v>
      </c>
      <c r="Q401" s="2993"/>
      <c r="R401" s="2993"/>
      <c r="S401" s="2992"/>
    </row>
    <row r="402" spans="2:19" ht="21" customHeight="1">
      <c r="B402" s="2998"/>
      <c r="C402" s="2989"/>
      <c r="D402" s="2989"/>
      <c r="E402" s="2997"/>
      <c r="F402" s="2989"/>
      <c r="G402" s="2989"/>
      <c r="H402" s="2989"/>
      <c r="I402" s="2989"/>
      <c r="J402" s="2996"/>
      <c r="K402" s="2995"/>
      <c r="L402" s="2995"/>
      <c r="M402" s="2985" t="str">
        <f>IFERROR(ROUND(#REF!*J402/K402,2),"-")</f>
        <v>-</v>
      </c>
      <c r="N402" s="2994" t="str">
        <f t="shared" si="22"/>
        <v/>
      </c>
      <c r="O402" s="2989"/>
      <c r="P402" s="2994">
        <f t="shared" si="23"/>
        <v>0</v>
      </c>
      <c r="Q402" s="2993"/>
      <c r="R402" s="2993"/>
      <c r="S402" s="2992"/>
    </row>
    <row r="403" spans="2:19" ht="21" customHeight="1">
      <c r="B403" s="2998"/>
      <c r="C403" s="2989"/>
      <c r="D403" s="2989"/>
      <c r="E403" s="2997"/>
      <c r="F403" s="2989"/>
      <c r="G403" s="2989"/>
      <c r="H403" s="2989"/>
      <c r="I403" s="2989"/>
      <c r="J403" s="2996"/>
      <c r="K403" s="2995"/>
      <c r="L403" s="2995"/>
      <c r="M403" s="2985" t="str">
        <f>IFERROR(ROUND(#REF!*J403/K403,2),"-")</f>
        <v>-</v>
      </c>
      <c r="N403" s="2994" t="str">
        <f t="shared" si="22"/>
        <v/>
      </c>
      <c r="O403" s="2989"/>
      <c r="P403" s="2994">
        <f t="shared" si="23"/>
        <v>0</v>
      </c>
      <c r="Q403" s="2993"/>
      <c r="R403" s="2993"/>
      <c r="S403" s="2992"/>
    </row>
    <row r="404" spans="2:19" ht="21" customHeight="1">
      <c r="B404" s="2998"/>
      <c r="C404" s="2989"/>
      <c r="D404" s="2989"/>
      <c r="E404" s="2997"/>
      <c r="F404" s="2989"/>
      <c r="G404" s="2989"/>
      <c r="H404" s="2989"/>
      <c r="I404" s="2989"/>
      <c r="J404" s="2996"/>
      <c r="K404" s="2995"/>
      <c r="L404" s="2995"/>
      <c r="M404" s="2985" t="str">
        <f>IFERROR(ROUND(#REF!*J404/K404,2),"-")</f>
        <v>-</v>
      </c>
      <c r="N404" s="2994" t="str">
        <f t="shared" si="22"/>
        <v/>
      </c>
      <c r="O404" s="2989"/>
      <c r="P404" s="2994">
        <f t="shared" si="23"/>
        <v>0</v>
      </c>
      <c r="Q404" s="2993"/>
      <c r="R404" s="2993"/>
      <c r="S404" s="2992"/>
    </row>
    <row r="405" spans="2:19" ht="21" customHeight="1">
      <c r="B405" s="2998"/>
      <c r="C405" s="2989"/>
      <c r="D405" s="2989"/>
      <c r="E405" s="2997"/>
      <c r="F405" s="2989"/>
      <c r="G405" s="2989"/>
      <c r="H405" s="2989"/>
      <c r="I405" s="2989"/>
      <c r="J405" s="2996"/>
      <c r="K405" s="2995"/>
      <c r="L405" s="2995"/>
      <c r="M405" s="2985" t="str">
        <f>IFERROR(ROUND(#REF!*J405/K405,2),"-")</f>
        <v>-</v>
      </c>
      <c r="N405" s="2994" t="str">
        <f t="shared" si="22"/>
        <v/>
      </c>
      <c r="O405" s="2989"/>
      <c r="P405" s="2994">
        <f t="shared" si="23"/>
        <v>0</v>
      </c>
      <c r="Q405" s="2993"/>
      <c r="R405" s="2993"/>
      <c r="S405" s="2992"/>
    </row>
    <row r="406" spans="2:19" ht="21" customHeight="1">
      <c r="B406" s="2998"/>
      <c r="C406" s="2989"/>
      <c r="D406" s="2989"/>
      <c r="E406" s="2997"/>
      <c r="F406" s="2989"/>
      <c r="G406" s="2989"/>
      <c r="H406" s="2989"/>
      <c r="I406" s="2989"/>
      <c r="J406" s="2996"/>
      <c r="K406" s="2995"/>
      <c r="L406" s="2995"/>
      <c r="M406" s="2985" t="str">
        <f>IFERROR(ROUND(#REF!*J406/K406,2),"-")</f>
        <v>-</v>
      </c>
      <c r="N406" s="2994" t="str">
        <f t="shared" si="22"/>
        <v/>
      </c>
      <c r="O406" s="2989"/>
      <c r="P406" s="2994">
        <f t="shared" si="23"/>
        <v>0</v>
      </c>
      <c r="Q406" s="2993"/>
      <c r="R406" s="2993"/>
      <c r="S406" s="2992"/>
    </row>
    <row r="407" spans="2:19" ht="21" customHeight="1">
      <c r="B407" s="2998"/>
      <c r="C407" s="2989"/>
      <c r="D407" s="2989"/>
      <c r="E407" s="2997"/>
      <c r="F407" s="2989"/>
      <c r="G407" s="2989"/>
      <c r="H407" s="2989"/>
      <c r="I407" s="2989"/>
      <c r="J407" s="2996"/>
      <c r="K407" s="2995"/>
      <c r="L407" s="2995"/>
      <c r="M407" s="2985" t="str">
        <f>IFERROR(ROUND(#REF!*J407/K407,2),"-")</f>
        <v>-</v>
      </c>
      <c r="N407" s="2994" t="str">
        <f t="shared" si="22"/>
        <v/>
      </c>
      <c r="O407" s="2989"/>
      <c r="P407" s="2994">
        <f t="shared" si="23"/>
        <v>0</v>
      </c>
      <c r="Q407" s="2993"/>
      <c r="R407" s="2993"/>
      <c r="S407" s="2992"/>
    </row>
    <row r="408" spans="2:19" ht="21" customHeight="1">
      <c r="B408" s="2998"/>
      <c r="C408" s="2989"/>
      <c r="D408" s="2989"/>
      <c r="E408" s="2997"/>
      <c r="F408" s="2989"/>
      <c r="G408" s="2989"/>
      <c r="H408" s="2989"/>
      <c r="I408" s="2989"/>
      <c r="J408" s="2996"/>
      <c r="K408" s="2995"/>
      <c r="L408" s="2995"/>
      <c r="M408" s="2985" t="str">
        <f>IFERROR(ROUND(#REF!*J408/K408,2),"-")</f>
        <v>-</v>
      </c>
      <c r="N408" s="2994" t="str">
        <f t="shared" si="22"/>
        <v/>
      </c>
      <c r="O408" s="2989"/>
      <c r="P408" s="2994">
        <f t="shared" si="23"/>
        <v>0</v>
      </c>
      <c r="Q408" s="2993"/>
      <c r="R408" s="2993"/>
      <c r="S408" s="2992"/>
    </row>
    <row r="409" spans="2:19" ht="21" customHeight="1">
      <c r="B409" s="2998"/>
      <c r="C409" s="2989"/>
      <c r="D409" s="2989"/>
      <c r="E409" s="2997"/>
      <c r="F409" s="2989"/>
      <c r="G409" s="2989"/>
      <c r="H409" s="2989"/>
      <c r="I409" s="2989"/>
      <c r="J409" s="2996"/>
      <c r="K409" s="2995"/>
      <c r="L409" s="2995"/>
      <c r="M409" s="2985" t="str">
        <f>IFERROR(ROUND(#REF!*J409/K409,2),"-")</f>
        <v>-</v>
      </c>
      <c r="N409" s="2994" t="str">
        <f t="shared" si="22"/>
        <v/>
      </c>
      <c r="O409" s="2989"/>
      <c r="P409" s="2994">
        <f t="shared" si="23"/>
        <v>0</v>
      </c>
      <c r="Q409" s="2993"/>
      <c r="R409" s="2993"/>
      <c r="S409" s="2992"/>
    </row>
    <row r="410" spans="2:19" ht="21" customHeight="1">
      <c r="B410" s="2998"/>
      <c r="C410" s="2989"/>
      <c r="D410" s="2989"/>
      <c r="E410" s="2997"/>
      <c r="F410" s="2989"/>
      <c r="G410" s="2989"/>
      <c r="H410" s="2989"/>
      <c r="I410" s="2989"/>
      <c r="J410" s="2996"/>
      <c r="K410" s="2995"/>
      <c r="L410" s="2995"/>
      <c r="M410" s="2985" t="str">
        <f>IFERROR(ROUND(#REF!*J410/K410,2),"-")</f>
        <v>-</v>
      </c>
      <c r="N410" s="2994" t="str">
        <f t="shared" si="22"/>
        <v/>
      </c>
      <c r="O410" s="2989"/>
      <c r="P410" s="2994">
        <f t="shared" si="23"/>
        <v>0</v>
      </c>
      <c r="Q410" s="2993"/>
      <c r="R410" s="2993"/>
      <c r="S410" s="2992"/>
    </row>
    <row r="411" spans="2:19" ht="21" customHeight="1">
      <c r="B411" s="2998"/>
      <c r="C411" s="2989"/>
      <c r="D411" s="2989"/>
      <c r="E411" s="2997"/>
      <c r="F411" s="2989"/>
      <c r="G411" s="2989"/>
      <c r="H411" s="2989"/>
      <c r="I411" s="2989"/>
      <c r="J411" s="2996"/>
      <c r="K411" s="2995"/>
      <c r="L411" s="2995"/>
      <c r="M411" s="2985" t="str">
        <f>IFERROR(ROUND(#REF!*J411/K411,2),"-")</f>
        <v>-</v>
      </c>
      <c r="N411" s="2994" t="str">
        <f t="shared" ref="N411:N474" si="24">IFERROR(M411*K411,"")</f>
        <v/>
      </c>
      <c r="O411" s="2989"/>
      <c r="P411" s="2994">
        <f t="shared" ref="P411:P474" si="25">IFERROR(K411*O411,"-")</f>
        <v>0</v>
      </c>
      <c r="Q411" s="2993"/>
      <c r="R411" s="2993"/>
      <c r="S411" s="2992"/>
    </row>
    <row r="412" spans="2:19" ht="21" customHeight="1">
      <c r="B412" s="2998"/>
      <c r="C412" s="2989"/>
      <c r="D412" s="2989"/>
      <c r="E412" s="2997"/>
      <c r="F412" s="2989"/>
      <c r="G412" s="2989"/>
      <c r="H412" s="2989"/>
      <c r="I412" s="2989"/>
      <c r="J412" s="2996"/>
      <c r="K412" s="2995"/>
      <c r="L412" s="2995"/>
      <c r="M412" s="2985" t="str">
        <f>IFERROR(ROUND(#REF!*J412/K412,2),"-")</f>
        <v>-</v>
      </c>
      <c r="N412" s="2994" t="str">
        <f t="shared" si="24"/>
        <v/>
      </c>
      <c r="O412" s="2989"/>
      <c r="P412" s="2994">
        <f t="shared" si="25"/>
        <v>0</v>
      </c>
      <c r="Q412" s="2993"/>
      <c r="R412" s="2993"/>
      <c r="S412" s="2992"/>
    </row>
    <row r="413" spans="2:19" ht="21" customHeight="1">
      <c r="B413" s="2998"/>
      <c r="C413" s="2989"/>
      <c r="D413" s="2989"/>
      <c r="E413" s="2997"/>
      <c r="F413" s="2989"/>
      <c r="G413" s="2989"/>
      <c r="H413" s="2989"/>
      <c r="I413" s="2989"/>
      <c r="J413" s="2996"/>
      <c r="K413" s="2995"/>
      <c r="L413" s="2995"/>
      <c r="M413" s="2985" t="str">
        <f>IFERROR(ROUND(#REF!*J413/K413,2),"-")</f>
        <v>-</v>
      </c>
      <c r="N413" s="2994" t="str">
        <f t="shared" si="24"/>
        <v/>
      </c>
      <c r="O413" s="2989"/>
      <c r="P413" s="2994">
        <f t="shared" si="25"/>
        <v>0</v>
      </c>
      <c r="Q413" s="2993"/>
      <c r="R413" s="2993"/>
      <c r="S413" s="2992"/>
    </row>
    <row r="414" spans="2:19" ht="21" customHeight="1">
      <c r="B414" s="2998"/>
      <c r="C414" s="2989"/>
      <c r="D414" s="2989"/>
      <c r="E414" s="2997"/>
      <c r="F414" s="2989"/>
      <c r="G414" s="2989"/>
      <c r="H414" s="2989"/>
      <c r="I414" s="2989"/>
      <c r="J414" s="2996"/>
      <c r="K414" s="2995"/>
      <c r="L414" s="2995"/>
      <c r="M414" s="2985" t="str">
        <f>IFERROR(ROUND(#REF!*J414/K414,2),"-")</f>
        <v>-</v>
      </c>
      <c r="N414" s="2994" t="str">
        <f t="shared" si="24"/>
        <v/>
      </c>
      <c r="O414" s="2989"/>
      <c r="P414" s="2994">
        <f t="shared" si="25"/>
        <v>0</v>
      </c>
      <c r="Q414" s="2993"/>
      <c r="R414" s="2993"/>
      <c r="S414" s="2992"/>
    </row>
    <row r="415" spans="2:19" ht="21" customHeight="1">
      <c r="B415" s="2998"/>
      <c r="C415" s="2989"/>
      <c r="D415" s="2989"/>
      <c r="E415" s="2997"/>
      <c r="F415" s="2989"/>
      <c r="G415" s="2989"/>
      <c r="H415" s="2989"/>
      <c r="I415" s="2989"/>
      <c r="J415" s="2996"/>
      <c r="K415" s="2995"/>
      <c r="L415" s="2995"/>
      <c r="M415" s="2985" t="str">
        <f>IFERROR(ROUND(#REF!*J415/K415,2),"-")</f>
        <v>-</v>
      </c>
      <c r="N415" s="2994" t="str">
        <f t="shared" si="24"/>
        <v/>
      </c>
      <c r="O415" s="2989"/>
      <c r="P415" s="2994">
        <f t="shared" si="25"/>
        <v>0</v>
      </c>
      <c r="Q415" s="2993"/>
      <c r="R415" s="2993"/>
      <c r="S415" s="2992"/>
    </row>
    <row r="416" spans="2:19" ht="21" customHeight="1">
      <c r="B416" s="2998"/>
      <c r="C416" s="2989"/>
      <c r="D416" s="2989"/>
      <c r="E416" s="2997"/>
      <c r="F416" s="2989"/>
      <c r="G416" s="2989"/>
      <c r="H416" s="2989"/>
      <c r="I416" s="2989"/>
      <c r="J416" s="2996"/>
      <c r="K416" s="2995"/>
      <c r="L416" s="2995"/>
      <c r="M416" s="2985" t="str">
        <f>IFERROR(ROUND(#REF!*J416/K416,2),"-")</f>
        <v>-</v>
      </c>
      <c r="N416" s="2994" t="str">
        <f t="shared" si="24"/>
        <v/>
      </c>
      <c r="O416" s="2989"/>
      <c r="P416" s="2994">
        <f t="shared" si="25"/>
        <v>0</v>
      </c>
      <c r="Q416" s="2993"/>
      <c r="R416" s="2993"/>
      <c r="S416" s="2992"/>
    </row>
    <row r="417" spans="2:19" ht="21" customHeight="1">
      <c r="B417" s="2998"/>
      <c r="C417" s="2989"/>
      <c r="D417" s="2989"/>
      <c r="E417" s="2997"/>
      <c r="F417" s="2989"/>
      <c r="G417" s="2989"/>
      <c r="H417" s="2989"/>
      <c r="I417" s="2989"/>
      <c r="J417" s="2996"/>
      <c r="K417" s="2995"/>
      <c r="L417" s="2995"/>
      <c r="M417" s="2985" t="str">
        <f>IFERROR(ROUND(#REF!*J417/K417,2),"-")</f>
        <v>-</v>
      </c>
      <c r="N417" s="2994" t="str">
        <f t="shared" si="24"/>
        <v/>
      </c>
      <c r="O417" s="2989"/>
      <c r="P417" s="2994">
        <f t="shared" si="25"/>
        <v>0</v>
      </c>
      <c r="Q417" s="2993"/>
      <c r="R417" s="2993"/>
      <c r="S417" s="2992"/>
    </row>
    <row r="418" spans="2:19" ht="21" customHeight="1">
      <c r="B418" s="2998"/>
      <c r="C418" s="2989"/>
      <c r="D418" s="2989"/>
      <c r="E418" s="2997"/>
      <c r="F418" s="2989"/>
      <c r="G418" s="2989"/>
      <c r="H418" s="2989"/>
      <c r="I418" s="2989"/>
      <c r="J418" s="2996"/>
      <c r="K418" s="2995"/>
      <c r="L418" s="2995"/>
      <c r="M418" s="2985" t="str">
        <f>IFERROR(ROUND(#REF!*J418/K418,2),"-")</f>
        <v>-</v>
      </c>
      <c r="N418" s="2994" t="str">
        <f t="shared" si="24"/>
        <v/>
      </c>
      <c r="O418" s="2989"/>
      <c r="P418" s="2994">
        <f t="shared" si="25"/>
        <v>0</v>
      </c>
      <c r="Q418" s="2993"/>
      <c r="R418" s="2993"/>
      <c r="S418" s="2992"/>
    </row>
    <row r="419" spans="2:19" ht="21" customHeight="1">
      <c r="B419" s="2998"/>
      <c r="C419" s="2989"/>
      <c r="D419" s="2989"/>
      <c r="E419" s="2997"/>
      <c r="F419" s="2989"/>
      <c r="G419" s="2989"/>
      <c r="H419" s="2989"/>
      <c r="I419" s="2989"/>
      <c r="J419" s="2996"/>
      <c r="K419" s="2995"/>
      <c r="L419" s="2995"/>
      <c r="M419" s="2985" t="str">
        <f>IFERROR(ROUND(#REF!*J419/K419,2),"-")</f>
        <v>-</v>
      </c>
      <c r="N419" s="2994" t="str">
        <f t="shared" si="24"/>
        <v/>
      </c>
      <c r="O419" s="2989"/>
      <c r="P419" s="2994">
        <f t="shared" si="25"/>
        <v>0</v>
      </c>
      <c r="Q419" s="2993"/>
      <c r="R419" s="2993"/>
      <c r="S419" s="2992"/>
    </row>
    <row r="420" spans="2:19" ht="21" customHeight="1">
      <c r="B420" s="2998"/>
      <c r="C420" s="2989"/>
      <c r="D420" s="2989"/>
      <c r="E420" s="2997"/>
      <c r="F420" s="2989"/>
      <c r="G420" s="2989"/>
      <c r="H420" s="2989"/>
      <c r="I420" s="2989"/>
      <c r="J420" s="2996"/>
      <c r="K420" s="2995"/>
      <c r="L420" s="2995"/>
      <c r="M420" s="2985" t="str">
        <f>IFERROR(ROUND(#REF!*J420/K420,2),"-")</f>
        <v>-</v>
      </c>
      <c r="N420" s="2994" t="str">
        <f t="shared" si="24"/>
        <v/>
      </c>
      <c r="O420" s="2989"/>
      <c r="P420" s="2994">
        <f t="shared" si="25"/>
        <v>0</v>
      </c>
      <c r="Q420" s="2993"/>
      <c r="R420" s="2993"/>
      <c r="S420" s="2992"/>
    </row>
    <row r="421" spans="2:19" ht="21" customHeight="1">
      <c r="B421" s="2998"/>
      <c r="C421" s="2989"/>
      <c r="D421" s="2989"/>
      <c r="E421" s="2997"/>
      <c r="F421" s="2989"/>
      <c r="G421" s="2989"/>
      <c r="H421" s="2989"/>
      <c r="I421" s="2989"/>
      <c r="J421" s="2996"/>
      <c r="K421" s="2995"/>
      <c r="L421" s="2995"/>
      <c r="M421" s="2985" t="str">
        <f>IFERROR(ROUND(#REF!*J421/K421,2),"-")</f>
        <v>-</v>
      </c>
      <c r="N421" s="2994" t="str">
        <f t="shared" si="24"/>
        <v/>
      </c>
      <c r="O421" s="2989"/>
      <c r="P421" s="2994">
        <f t="shared" si="25"/>
        <v>0</v>
      </c>
      <c r="Q421" s="2993"/>
      <c r="R421" s="2993"/>
      <c r="S421" s="2992"/>
    </row>
    <row r="422" spans="2:19" ht="21" customHeight="1">
      <c r="B422" s="2998"/>
      <c r="C422" s="2989"/>
      <c r="D422" s="2989"/>
      <c r="E422" s="2997"/>
      <c r="F422" s="2989"/>
      <c r="G422" s="2989"/>
      <c r="H422" s="2989"/>
      <c r="I422" s="2989"/>
      <c r="J422" s="2996"/>
      <c r="K422" s="2995"/>
      <c r="L422" s="2995"/>
      <c r="M422" s="2985" t="str">
        <f>IFERROR(ROUND(#REF!*J422/K422,2),"-")</f>
        <v>-</v>
      </c>
      <c r="N422" s="2994" t="str">
        <f t="shared" si="24"/>
        <v/>
      </c>
      <c r="O422" s="2989"/>
      <c r="P422" s="2994">
        <f t="shared" si="25"/>
        <v>0</v>
      </c>
      <c r="Q422" s="2993"/>
      <c r="R422" s="2993"/>
      <c r="S422" s="2992"/>
    </row>
    <row r="423" spans="2:19" ht="21" customHeight="1">
      <c r="B423" s="2998"/>
      <c r="C423" s="2989"/>
      <c r="D423" s="2989"/>
      <c r="E423" s="2997"/>
      <c r="F423" s="2989"/>
      <c r="G423" s="2989"/>
      <c r="H423" s="2989"/>
      <c r="I423" s="2989"/>
      <c r="J423" s="2996"/>
      <c r="K423" s="2995"/>
      <c r="L423" s="2995"/>
      <c r="M423" s="2985" t="str">
        <f>IFERROR(ROUND(#REF!*J423/K423,2),"-")</f>
        <v>-</v>
      </c>
      <c r="N423" s="2994" t="str">
        <f t="shared" si="24"/>
        <v/>
      </c>
      <c r="O423" s="2989"/>
      <c r="P423" s="2994">
        <f t="shared" si="25"/>
        <v>0</v>
      </c>
      <c r="Q423" s="2993"/>
      <c r="R423" s="2993"/>
      <c r="S423" s="2992"/>
    </row>
    <row r="424" spans="2:19" ht="21" customHeight="1">
      <c r="B424" s="2998"/>
      <c r="C424" s="2989"/>
      <c r="D424" s="2989"/>
      <c r="E424" s="2997"/>
      <c r="F424" s="2989"/>
      <c r="G424" s="2989"/>
      <c r="H424" s="2989"/>
      <c r="I424" s="2989"/>
      <c r="J424" s="2996"/>
      <c r="K424" s="2995"/>
      <c r="L424" s="2995"/>
      <c r="M424" s="2985" t="str">
        <f>IFERROR(ROUND(#REF!*J424/K424,2),"-")</f>
        <v>-</v>
      </c>
      <c r="N424" s="2994" t="str">
        <f t="shared" si="24"/>
        <v/>
      </c>
      <c r="O424" s="2989"/>
      <c r="P424" s="2994">
        <f t="shared" si="25"/>
        <v>0</v>
      </c>
      <c r="Q424" s="2993"/>
      <c r="R424" s="2993"/>
      <c r="S424" s="2992"/>
    </row>
    <row r="425" spans="2:19" ht="21" customHeight="1">
      <c r="B425" s="2998"/>
      <c r="C425" s="2989"/>
      <c r="D425" s="2989"/>
      <c r="E425" s="2997"/>
      <c r="F425" s="2989"/>
      <c r="G425" s="2989"/>
      <c r="H425" s="2989"/>
      <c r="I425" s="2989"/>
      <c r="J425" s="2996"/>
      <c r="K425" s="2995"/>
      <c r="L425" s="2995"/>
      <c r="M425" s="2985" t="str">
        <f>IFERROR(ROUND(#REF!*J425/K425,2),"-")</f>
        <v>-</v>
      </c>
      <c r="N425" s="2994" t="str">
        <f t="shared" si="24"/>
        <v/>
      </c>
      <c r="O425" s="2989"/>
      <c r="P425" s="2994">
        <f t="shared" si="25"/>
        <v>0</v>
      </c>
      <c r="Q425" s="2993"/>
      <c r="R425" s="2993"/>
      <c r="S425" s="2992"/>
    </row>
    <row r="426" spans="2:19" ht="21" customHeight="1">
      <c r="B426" s="2998"/>
      <c r="C426" s="2989"/>
      <c r="D426" s="2989"/>
      <c r="E426" s="2997"/>
      <c r="F426" s="2989"/>
      <c r="G426" s="2989"/>
      <c r="H426" s="2989"/>
      <c r="I426" s="2989"/>
      <c r="J426" s="2996"/>
      <c r="K426" s="2995"/>
      <c r="L426" s="2995"/>
      <c r="M426" s="2985" t="str">
        <f>IFERROR(ROUND(#REF!*J426/K426,2),"-")</f>
        <v>-</v>
      </c>
      <c r="N426" s="2994" t="str">
        <f t="shared" si="24"/>
        <v/>
      </c>
      <c r="O426" s="2989"/>
      <c r="P426" s="2994">
        <f t="shared" si="25"/>
        <v>0</v>
      </c>
      <c r="Q426" s="2993"/>
      <c r="R426" s="2993"/>
      <c r="S426" s="2992"/>
    </row>
    <row r="427" spans="2:19" ht="21" customHeight="1">
      <c r="B427" s="2998"/>
      <c r="C427" s="2989"/>
      <c r="D427" s="2989"/>
      <c r="E427" s="2997"/>
      <c r="F427" s="2989"/>
      <c r="G427" s="2989"/>
      <c r="H427" s="2989"/>
      <c r="I427" s="2989"/>
      <c r="J427" s="2996"/>
      <c r="K427" s="2995"/>
      <c r="L427" s="2995"/>
      <c r="M427" s="2985" t="str">
        <f>IFERROR(ROUND(#REF!*J427/K427,2),"-")</f>
        <v>-</v>
      </c>
      <c r="N427" s="2994" t="str">
        <f t="shared" si="24"/>
        <v/>
      </c>
      <c r="O427" s="2989"/>
      <c r="P427" s="2994">
        <f t="shared" si="25"/>
        <v>0</v>
      </c>
      <c r="Q427" s="2993"/>
      <c r="R427" s="2993"/>
      <c r="S427" s="2992"/>
    </row>
    <row r="428" spans="2:19" ht="21" customHeight="1">
      <c r="B428" s="2998"/>
      <c r="C428" s="2989"/>
      <c r="D428" s="2989"/>
      <c r="E428" s="2997"/>
      <c r="F428" s="2989"/>
      <c r="G428" s="2989"/>
      <c r="H428" s="2989"/>
      <c r="I428" s="2989"/>
      <c r="J428" s="2996"/>
      <c r="K428" s="2995"/>
      <c r="L428" s="2995"/>
      <c r="M428" s="2985" t="str">
        <f>IFERROR(ROUND(#REF!*J428/K428,2),"-")</f>
        <v>-</v>
      </c>
      <c r="N428" s="2994" t="str">
        <f t="shared" si="24"/>
        <v/>
      </c>
      <c r="O428" s="2989"/>
      <c r="P428" s="2994">
        <f t="shared" si="25"/>
        <v>0</v>
      </c>
      <c r="Q428" s="2993"/>
      <c r="R428" s="2993"/>
      <c r="S428" s="2992"/>
    </row>
    <row r="429" spans="2:19" ht="21" customHeight="1">
      <c r="B429" s="2998"/>
      <c r="C429" s="2989"/>
      <c r="D429" s="2989"/>
      <c r="E429" s="2997"/>
      <c r="F429" s="2989"/>
      <c r="G429" s="2989"/>
      <c r="H429" s="2989"/>
      <c r="I429" s="2989"/>
      <c r="J429" s="2996"/>
      <c r="K429" s="2995"/>
      <c r="L429" s="2995"/>
      <c r="M429" s="2985" t="str">
        <f>IFERROR(ROUND(#REF!*J429/K429,2),"-")</f>
        <v>-</v>
      </c>
      <c r="N429" s="2994" t="str">
        <f t="shared" si="24"/>
        <v/>
      </c>
      <c r="O429" s="2989"/>
      <c r="P429" s="2994">
        <f t="shared" si="25"/>
        <v>0</v>
      </c>
      <c r="Q429" s="2993"/>
      <c r="R429" s="2993"/>
      <c r="S429" s="2992"/>
    </row>
    <row r="430" spans="2:19" ht="21" customHeight="1">
      <c r="B430" s="2998"/>
      <c r="C430" s="2989"/>
      <c r="D430" s="2989"/>
      <c r="E430" s="2997"/>
      <c r="F430" s="2989"/>
      <c r="G430" s="2989"/>
      <c r="H430" s="2989"/>
      <c r="I430" s="2989"/>
      <c r="J430" s="2996"/>
      <c r="K430" s="2995"/>
      <c r="L430" s="2995"/>
      <c r="M430" s="2985" t="str">
        <f>IFERROR(ROUND(#REF!*J430/K430,2),"-")</f>
        <v>-</v>
      </c>
      <c r="N430" s="2994" t="str">
        <f t="shared" si="24"/>
        <v/>
      </c>
      <c r="O430" s="2989"/>
      <c r="P430" s="2994">
        <f t="shared" si="25"/>
        <v>0</v>
      </c>
      <c r="Q430" s="2993"/>
      <c r="R430" s="2993"/>
      <c r="S430" s="2992"/>
    </row>
    <row r="431" spans="2:19" ht="21" customHeight="1">
      <c r="B431" s="2998"/>
      <c r="C431" s="2989"/>
      <c r="D431" s="2989"/>
      <c r="E431" s="2997"/>
      <c r="F431" s="2989"/>
      <c r="G431" s="2989"/>
      <c r="H431" s="2989"/>
      <c r="I431" s="2989"/>
      <c r="J431" s="2996"/>
      <c r="K431" s="2995"/>
      <c r="L431" s="2995"/>
      <c r="M431" s="2985" t="str">
        <f>IFERROR(ROUND(#REF!*J431/K431,2),"-")</f>
        <v>-</v>
      </c>
      <c r="N431" s="2994" t="str">
        <f t="shared" si="24"/>
        <v/>
      </c>
      <c r="O431" s="2989"/>
      <c r="P431" s="2994">
        <f t="shared" si="25"/>
        <v>0</v>
      </c>
      <c r="Q431" s="2993"/>
      <c r="R431" s="2993"/>
      <c r="S431" s="2992"/>
    </row>
    <row r="432" spans="2:19" ht="21" customHeight="1">
      <c r="B432" s="2998"/>
      <c r="C432" s="2989"/>
      <c r="D432" s="2989"/>
      <c r="E432" s="2997"/>
      <c r="F432" s="2989"/>
      <c r="G432" s="2989"/>
      <c r="H432" s="2989"/>
      <c r="I432" s="2989"/>
      <c r="J432" s="2996"/>
      <c r="K432" s="2995"/>
      <c r="L432" s="2995"/>
      <c r="M432" s="2985" t="str">
        <f>IFERROR(ROUND(#REF!*J432/K432,2),"-")</f>
        <v>-</v>
      </c>
      <c r="N432" s="2994" t="str">
        <f t="shared" si="24"/>
        <v/>
      </c>
      <c r="O432" s="2989"/>
      <c r="P432" s="2994">
        <f t="shared" si="25"/>
        <v>0</v>
      </c>
      <c r="Q432" s="2993"/>
      <c r="R432" s="2993"/>
      <c r="S432" s="2992"/>
    </row>
    <row r="433" spans="2:19" ht="21" customHeight="1">
      <c r="B433" s="2998"/>
      <c r="C433" s="2989"/>
      <c r="D433" s="2989"/>
      <c r="E433" s="2997"/>
      <c r="F433" s="2989"/>
      <c r="G433" s="2989"/>
      <c r="H433" s="2989"/>
      <c r="I433" s="2989"/>
      <c r="J433" s="2996"/>
      <c r="K433" s="2995"/>
      <c r="L433" s="2995"/>
      <c r="M433" s="2985" t="str">
        <f>IFERROR(ROUND(#REF!*J433/K433,2),"-")</f>
        <v>-</v>
      </c>
      <c r="N433" s="2994" t="str">
        <f t="shared" si="24"/>
        <v/>
      </c>
      <c r="O433" s="2989"/>
      <c r="P433" s="2994">
        <f t="shared" si="25"/>
        <v>0</v>
      </c>
      <c r="Q433" s="2993"/>
      <c r="R433" s="2993"/>
      <c r="S433" s="2992"/>
    </row>
    <row r="434" spans="2:19" ht="21" customHeight="1">
      <c r="B434" s="2998"/>
      <c r="C434" s="2989"/>
      <c r="D434" s="2989"/>
      <c r="E434" s="2997"/>
      <c r="F434" s="2989"/>
      <c r="G434" s="2989"/>
      <c r="H434" s="2989"/>
      <c r="I434" s="2989"/>
      <c r="J434" s="2996"/>
      <c r="K434" s="2995"/>
      <c r="L434" s="2995"/>
      <c r="M434" s="2985" t="str">
        <f>IFERROR(ROUND(#REF!*J434/K434,2),"-")</f>
        <v>-</v>
      </c>
      <c r="N434" s="2994" t="str">
        <f t="shared" si="24"/>
        <v/>
      </c>
      <c r="O434" s="2989"/>
      <c r="P434" s="2994">
        <f t="shared" si="25"/>
        <v>0</v>
      </c>
      <c r="Q434" s="2993"/>
      <c r="R434" s="2993"/>
      <c r="S434" s="2992"/>
    </row>
    <row r="435" spans="2:19" ht="21" customHeight="1">
      <c r="B435" s="2998"/>
      <c r="C435" s="2989"/>
      <c r="D435" s="2989"/>
      <c r="E435" s="2997"/>
      <c r="F435" s="2989"/>
      <c r="G435" s="2989"/>
      <c r="H435" s="2989"/>
      <c r="I435" s="2989"/>
      <c r="J435" s="2996"/>
      <c r="K435" s="2995"/>
      <c r="L435" s="2995"/>
      <c r="M435" s="2985" t="str">
        <f>IFERROR(ROUND(#REF!*J435/K435,2),"-")</f>
        <v>-</v>
      </c>
      <c r="N435" s="2994" t="str">
        <f t="shared" si="24"/>
        <v/>
      </c>
      <c r="O435" s="2989"/>
      <c r="P435" s="2994">
        <f t="shared" si="25"/>
        <v>0</v>
      </c>
      <c r="Q435" s="2993"/>
      <c r="R435" s="2993"/>
      <c r="S435" s="2992"/>
    </row>
    <row r="436" spans="2:19" ht="21" customHeight="1">
      <c r="B436" s="2998"/>
      <c r="C436" s="2989"/>
      <c r="D436" s="2989"/>
      <c r="E436" s="2997"/>
      <c r="F436" s="2989"/>
      <c r="G436" s="2989"/>
      <c r="H436" s="2989"/>
      <c r="I436" s="2989"/>
      <c r="J436" s="2996"/>
      <c r="K436" s="2995"/>
      <c r="L436" s="2995"/>
      <c r="M436" s="2985" t="str">
        <f>IFERROR(ROUND(#REF!*J436/K436,2),"-")</f>
        <v>-</v>
      </c>
      <c r="N436" s="2994" t="str">
        <f t="shared" si="24"/>
        <v/>
      </c>
      <c r="O436" s="2989"/>
      <c r="P436" s="2994">
        <f t="shared" si="25"/>
        <v>0</v>
      </c>
      <c r="Q436" s="2993"/>
      <c r="R436" s="2993"/>
      <c r="S436" s="2992"/>
    </row>
    <row r="437" spans="2:19" ht="21" customHeight="1">
      <c r="B437" s="2998"/>
      <c r="C437" s="2989"/>
      <c r="D437" s="2989"/>
      <c r="E437" s="2997"/>
      <c r="F437" s="2989"/>
      <c r="G437" s="2989"/>
      <c r="H437" s="2989"/>
      <c r="I437" s="2989"/>
      <c r="J437" s="2996"/>
      <c r="K437" s="2995"/>
      <c r="L437" s="2995"/>
      <c r="M437" s="2985" t="str">
        <f>IFERROR(ROUND(#REF!*J437/K437,2),"-")</f>
        <v>-</v>
      </c>
      <c r="N437" s="2994" t="str">
        <f t="shared" si="24"/>
        <v/>
      </c>
      <c r="O437" s="2989"/>
      <c r="P437" s="2994">
        <f t="shared" si="25"/>
        <v>0</v>
      </c>
      <c r="Q437" s="2993"/>
      <c r="R437" s="2993"/>
      <c r="S437" s="2992"/>
    </row>
    <row r="438" spans="2:19" ht="21" customHeight="1">
      <c r="B438" s="2998"/>
      <c r="C438" s="2989"/>
      <c r="D438" s="2989"/>
      <c r="E438" s="2997"/>
      <c r="F438" s="2989"/>
      <c r="G438" s="2989"/>
      <c r="H438" s="2989"/>
      <c r="I438" s="2989"/>
      <c r="J438" s="2996"/>
      <c r="K438" s="2995"/>
      <c r="L438" s="2995"/>
      <c r="M438" s="2985" t="str">
        <f>IFERROR(ROUND(#REF!*J438/K438,2),"-")</f>
        <v>-</v>
      </c>
      <c r="N438" s="2994" t="str">
        <f t="shared" si="24"/>
        <v/>
      </c>
      <c r="O438" s="2989"/>
      <c r="P438" s="2994">
        <f t="shared" si="25"/>
        <v>0</v>
      </c>
      <c r="Q438" s="2993"/>
      <c r="R438" s="2993"/>
      <c r="S438" s="2992"/>
    </row>
    <row r="439" spans="2:19" ht="21" customHeight="1">
      <c r="B439" s="2998"/>
      <c r="C439" s="2989"/>
      <c r="D439" s="2989"/>
      <c r="E439" s="2997"/>
      <c r="F439" s="2989"/>
      <c r="G439" s="2989"/>
      <c r="H439" s="2989"/>
      <c r="I439" s="2989"/>
      <c r="J439" s="2996"/>
      <c r="K439" s="2995"/>
      <c r="L439" s="2995"/>
      <c r="M439" s="2985" t="str">
        <f>IFERROR(ROUND(#REF!*J439/K439,2),"-")</f>
        <v>-</v>
      </c>
      <c r="N439" s="2994" t="str">
        <f t="shared" si="24"/>
        <v/>
      </c>
      <c r="O439" s="2989"/>
      <c r="P439" s="2994">
        <f t="shared" si="25"/>
        <v>0</v>
      </c>
      <c r="Q439" s="2993"/>
      <c r="R439" s="2993"/>
      <c r="S439" s="2992"/>
    </row>
    <row r="440" spans="2:19" ht="21" customHeight="1">
      <c r="B440" s="2998"/>
      <c r="C440" s="2989"/>
      <c r="D440" s="2989"/>
      <c r="E440" s="2997"/>
      <c r="F440" s="2989"/>
      <c r="G440" s="2989"/>
      <c r="H440" s="2989"/>
      <c r="I440" s="2989"/>
      <c r="J440" s="2996"/>
      <c r="K440" s="2995"/>
      <c r="L440" s="2995"/>
      <c r="M440" s="2985" t="str">
        <f>IFERROR(ROUND(#REF!*J440/K440,2),"-")</f>
        <v>-</v>
      </c>
      <c r="N440" s="2994" t="str">
        <f t="shared" si="24"/>
        <v/>
      </c>
      <c r="O440" s="2989"/>
      <c r="P440" s="2994">
        <f t="shared" si="25"/>
        <v>0</v>
      </c>
      <c r="Q440" s="2993"/>
      <c r="R440" s="2993"/>
      <c r="S440" s="2992"/>
    </row>
    <row r="441" spans="2:19" ht="21" customHeight="1">
      <c r="B441" s="2998"/>
      <c r="C441" s="2989"/>
      <c r="D441" s="2989"/>
      <c r="E441" s="2997"/>
      <c r="F441" s="2989"/>
      <c r="G441" s="2989"/>
      <c r="H441" s="2989"/>
      <c r="I441" s="2989"/>
      <c r="J441" s="2996"/>
      <c r="K441" s="2995"/>
      <c r="L441" s="2995"/>
      <c r="M441" s="2985" t="str">
        <f>IFERROR(ROUND(#REF!*J441/K441,2),"-")</f>
        <v>-</v>
      </c>
      <c r="N441" s="2994" t="str">
        <f t="shared" si="24"/>
        <v/>
      </c>
      <c r="O441" s="2989"/>
      <c r="P441" s="2994">
        <f t="shared" si="25"/>
        <v>0</v>
      </c>
      <c r="Q441" s="2993"/>
      <c r="R441" s="2993"/>
      <c r="S441" s="2992"/>
    </row>
    <row r="442" spans="2:19" ht="21" customHeight="1">
      <c r="B442" s="2998"/>
      <c r="C442" s="2989"/>
      <c r="D442" s="2989"/>
      <c r="E442" s="2997"/>
      <c r="F442" s="2989"/>
      <c r="G442" s="2989"/>
      <c r="H442" s="2989"/>
      <c r="I442" s="2989"/>
      <c r="J442" s="2996"/>
      <c r="K442" s="2995"/>
      <c r="L442" s="2995"/>
      <c r="M442" s="2985" t="str">
        <f>IFERROR(ROUND(#REF!*J442/K442,2),"-")</f>
        <v>-</v>
      </c>
      <c r="N442" s="2994" t="str">
        <f t="shared" si="24"/>
        <v/>
      </c>
      <c r="O442" s="2989"/>
      <c r="P442" s="2994">
        <f t="shared" si="25"/>
        <v>0</v>
      </c>
      <c r="Q442" s="2993"/>
      <c r="R442" s="2993"/>
      <c r="S442" s="2992"/>
    </row>
    <row r="443" spans="2:19" ht="21" customHeight="1">
      <c r="B443" s="2998"/>
      <c r="C443" s="2989"/>
      <c r="D443" s="2989"/>
      <c r="E443" s="2997"/>
      <c r="F443" s="2989"/>
      <c r="G443" s="2989"/>
      <c r="H443" s="2989"/>
      <c r="I443" s="2989"/>
      <c r="J443" s="2996"/>
      <c r="K443" s="2995"/>
      <c r="L443" s="2995"/>
      <c r="M443" s="2985" t="str">
        <f>IFERROR(ROUND(#REF!*J443/K443,2),"-")</f>
        <v>-</v>
      </c>
      <c r="N443" s="2994" t="str">
        <f t="shared" si="24"/>
        <v/>
      </c>
      <c r="O443" s="2989"/>
      <c r="P443" s="2994">
        <f t="shared" si="25"/>
        <v>0</v>
      </c>
      <c r="Q443" s="2993"/>
      <c r="R443" s="2993"/>
      <c r="S443" s="2992"/>
    </row>
    <row r="444" spans="2:19" ht="21" customHeight="1">
      <c r="B444" s="2998"/>
      <c r="C444" s="2989"/>
      <c r="D444" s="2989"/>
      <c r="E444" s="2997"/>
      <c r="F444" s="2989"/>
      <c r="G444" s="2989"/>
      <c r="H444" s="2989"/>
      <c r="I444" s="2989"/>
      <c r="J444" s="2996"/>
      <c r="K444" s="2995"/>
      <c r="L444" s="2995"/>
      <c r="M444" s="2985" t="str">
        <f>IFERROR(ROUND(#REF!*J444/K444,2),"-")</f>
        <v>-</v>
      </c>
      <c r="N444" s="2994" t="str">
        <f t="shared" si="24"/>
        <v/>
      </c>
      <c r="O444" s="2989"/>
      <c r="P444" s="2994">
        <f t="shared" si="25"/>
        <v>0</v>
      </c>
      <c r="Q444" s="2993"/>
      <c r="R444" s="2993"/>
      <c r="S444" s="2992"/>
    </row>
    <row r="445" spans="2:19" ht="21" customHeight="1">
      <c r="B445" s="2998"/>
      <c r="C445" s="2989"/>
      <c r="D445" s="2989"/>
      <c r="E445" s="2997"/>
      <c r="F445" s="2989"/>
      <c r="G445" s="2989"/>
      <c r="H445" s="2989"/>
      <c r="I445" s="2989"/>
      <c r="J445" s="2996"/>
      <c r="K445" s="2995"/>
      <c r="L445" s="2995"/>
      <c r="M445" s="2985" t="str">
        <f>IFERROR(ROUND(#REF!*J445/K445,2),"-")</f>
        <v>-</v>
      </c>
      <c r="N445" s="2994" t="str">
        <f t="shared" si="24"/>
        <v/>
      </c>
      <c r="O445" s="2989"/>
      <c r="P445" s="2994">
        <f t="shared" si="25"/>
        <v>0</v>
      </c>
      <c r="Q445" s="2993"/>
      <c r="R445" s="2993"/>
      <c r="S445" s="2992"/>
    </row>
    <row r="446" spans="2:19" ht="21" customHeight="1">
      <c r="B446" s="2998"/>
      <c r="C446" s="2989"/>
      <c r="D446" s="2989"/>
      <c r="E446" s="2997"/>
      <c r="F446" s="2989"/>
      <c r="G446" s="2989"/>
      <c r="H446" s="2989"/>
      <c r="I446" s="2989"/>
      <c r="J446" s="2996"/>
      <c r="K446" s="2995"/>
      <c r="L446" s="2995"/>
      <c r="M446" s="2985" t="str">
        <f>IFERROR(ROUND(#REF!*J446/K446,2),"-")</f>
        <v>-</v>
      </c>
      <c r="N446" s="2994" t="str">
        <f t="shared" si="24"/>
        <v/>
      </c>
      <c r="O446" s="2989"/>
      <c r="P446" s="2994">
        <f t="shared" si="25"/>
        <v>0</v>
      </c>
      <c r="Q446" s="2993"/>
      <c r="R446" s="2993"/>
      <c r="S446" s="2992"/>
    </row>
    <row r="447" spans="2:19" ht="21" customHeight="1">
      <c r="B447" s="2998"/>
      <c r="C447" s="2989"/>
      <c r="D447" s="2989"/>
      <c r="E447" s="2997"/>
      <c r="F447" s="2989"/>
      <c r="G447" s="2989"/>
      <c r="H447" s="2989"/>
      <c r="I447" s="2989"/>
      <c r="J447" s="2996"/>
      <c r="K447" s="2995"/>
      <c r="L447" s="2995"/>
      <c r="M447" s="2985" t="str">
        <f>IFERROR(ROUND(#REF!*J447/K447,2),"-")</f>
        <v>-</v>
      </c>
      <c r="N447" s="2994" t="str">
        <f t="shared" si="24"/>
        <v/>
      </c>
      <c r="O447" s="2989"/>
      <c r="P447" s="2994">
        <f t="shared" si="25"/>
        <v>0</v>
      </c>
      <c r="Q447" s="2993"/>
      <c r="R447" s="2993"/>
      <c r="S447" s="2992"/>
    </row>
    <row r="448" spans="2:19" ht="21" customHeight="1">
      <c r="B448" s="2998"/>
      <c r="C448" s="2989"/>
      <c r="D448" s="2989"/>
      <c r="E448" s="2997"/>
      <c r="F448" s="2989"/>
      <c r="G448" s="2989"/>
      <c r="H448" s="2989"/>
      <c r="I448" s="2989"/>
      <c r="J448" s="2996"/>
      <c r="K448" s="2995"/>
      <c r="L448" s="2995"/>
      <c r="M448" s="2985" t="str">
        <f>IFERROR(ROUND(#REF!*J448/K448,2),"-")</f>
        <v>-</v>
      </c>
      <c r="N448" s="2994" t="str">
        <f t="shared" si="24"/>
        <v/>
      </c>
      <c r="O448" s="2989"/>
      <c r="P448" s="2994">
        <f t="shared" si="25"/>
        <v>0</v>
      </c>
      <c r="Q448" s="2993"/>
      <c r="R448" s="2993"/>
      <c r="S448" s="2992"/>
    </row>
    <row r="449" spans="2:19" ht="21" customHeight="1">
      <c r="B449" s="2998"/>
      <c r="C449" s="2989"/>
      <c r="D449" s="2989"/>
      <c r="E449" s="2997"/>
      <c r="F449" s="2989"/>
      <c r="G449" s="2989"/>
      <c r="H449" s="2989"/>
      <c r="I449" s="2989"/>
      <c r="J449" s="2996"/>
      <c r="K449" s="2995"/>
      <c r="L449" s="2995"/>
      <c r="M449" s="2985" t="str">
        <f>IFERROR(ROUND(#REF!*J449/K449,2),"-")</f>
        <v>-</v>
      </c>
      <c r="N449" s="2994" t="str">
        <f t="shared" si="24"/>
        <v/>
      </c>
      <c r="O449" s="2989"/>
      <c r="P449" s="2994">
        <f t="shared" si="25"/>
        <v>0</v>
      </c>
      <c r="Q449" s="2993"/>
      <c r="R449" s="2993"/>
      <c r="S449" s="2992"/>
    </row>
    <row r="450" spans="2:19" ht="21" customHeight="1">
      <c r="B450" s="2998"/>
      <c r="C450" s="2989"/>
      <c r="D450" s="2989"/>
      <c r="E450" s="2997"/>
      <c r="F450" s="2989"/>
      <c r="G450" s="2989"/>
      <c r="H450" s="2989"/>
      <c r="I450" s="2989"/>
      <c r="J450" s="2996"/>
      <c r="K450" s="2995"/>
      <c r="L450" s="2995"/>
      <c r="M450" s="2985" t="str">
        <f>IFERROR(ROUND(#REF!*J450/K450,2),"-")</f>
        <v>-</v>
      </c>
      <c r="N450" s="2994" t="str">
        <f t="shared" si="24"/>
        <v/>
      </c>
      <c r="O450" s="2989"/>
      <c r="P450" s="2994">
        <f t="shared" si="25"/>
        <v>0</v>
      </c>
      <c r="Q450" s="2993"/>
      <c r="R450" s="2993"/>
      <c r="S450" s="2992"/>
    </row>
    <row r="451" spans="2:19" ht="21" customHeight="1">
      <c r="B451" s="2998"/>
      <c r="C451" s="2989"/>
      <c r="D451" s="2989"/>
      <c r="E451" s="2997"/>
      <c r="F451" s="2989"/>
      <c r="G451" s="2989"/>
      <c r="H451" s="2989"/>
      <c r="I451" s="2989"/>
      <c r="J451" s="2996"/>
      <c r="K451" s="2995"/>
      <c r="L451" s="2995"/>
      <c r="M451" s="2985" t="str">
        <f>IFERROR(ROUND(#REF!*J451/K451,2),"-")</f>
        <v>-</v>
      </c>
      <c r="N451" s="2994" t="str">
        <f t="shared" si="24"/>
        <v/>
      </c>
      <c r="O451" s="2989"/>
      <c r="P451" s="2994">
        <f t="shared" si="25"/>
        <v>0</v>
      </c>
      <c r="Q451" s="2993"/>
      <c r="R451" s="2993"/>
      <c r="S451" s="2992"/>
    </row>
    <row r="452" spans="2:19" ht="21" customHeight="1">
      <c r="B452" s="2998"/>
      <c r="C452" s="2989"/>
      <c r="D452" s="2989"/>
      <c r="E452" s="2997"/>
      <c r="F452" s="2989"/>
      <c r="G452" s="2989"/>
      <c r="H452" s="2989"/>
      <c r="I452" s="2989"/>
      <c r="J452" s="2996"/>
      <c r="K452" s="2995"/>
      <c r="L452" s="2995"/>
      <c r="M452" s="2985" t="str">
        <f>IFERROR(ROUND(#REF!*J452/K452,2),"-")</f>
        <v>-</v>
      </c>
      <c r="N452" s="2994" t="str">
        <f t="shared" si="24"/>
        <v/>
      </c>
      <c r="O452" s="2989"/>
      <c r="P452" s="2994">
        <f t="shared" si="25"/>
        <v>0</v>
      </c>
      <c r="Q452" s="2993"/>
      <c r="R452" s="2993"/>
      <c r="S452" s="2992"/>
    </row>
    <row r="453" spans="2:19" ht="21" customHeight="1">
      <c r="B453" s="2998"/>
      <c r="C453" s="2989"/>
      <c r="D453" s="2989"/>
      <c r="E453" s="2997"/>
      <c r="F453" s="2989"/>
      <c r="G453" s="2989"/>
      <c r="H453" s="2989"/>
      <c r="I453" s="2989"/>
      <c r="J453" s="2996"/>
      <c r="K453" s="2995"/>
      <c r="L453" s="2995"/>
      <c r="M453" s="2985" t="str">
        <f>IFERROR(ROUND(#REF!*J453/K453,2),"-")</f>
        <v>-</v>
      </c>
      <c r="N453" s="2994" t="str">
        <f t="shared" si="24"/>
        <v/>
      </c>
      <c r="O453" s="2989"/>
      <c r="P453" s="2994">
        <f t="shared" si="25"/>
        <v>0</v>
      </c>
      <c r="Q453" s="2993"/>
      <c r="R453" s="2993"/>
      <c r="S453" s="2992"/>
    </row>
    <row r="454" spans="2:19" ht="21" customHeight="1">
      <c r="B454" s="2998"/>
      <c r="C454" s="2989"/>
      <c r="D454" s="2989"/>
      <c r="E454" s="2997"/>
      <c r="F454" s="2989"/>
      <c r="G454" s="2989"/>
      <c r="H454" s="2989"/>
      <c r="I454" s="2989"/>
      <c r="J454" s="2996"/>
      <c r="K454" s="2995"/>
      <c r="L454" s="2995"/>
      <c r="M454" s="2985" t="str">
        <f>IFERROR(ROUND(#REF!*J454/K454,2),"-")</f>
        <v>-</v>
      </c>
      <c r="N454" s="2994" t="str">
        <f t="shared" si="24"/>
        <v/>
      </c>
      <c r="O454" s="2989"/>
      <c r="P454" s="2994">
        <f t="shared" si="25"/>
        <v>0</v>
      </c>
      <c r="Q454" s="2993"/>
      <c r="R454" s="2993"/>
      <c r="S454" s="2992"/>
    </row>
    <row r="455" spans="2:19" ht="21" customHeight="1">
      <c r="B455" s="2998"/>
      <c r="C455" s="2989"/>
      <c r="D455" s="2989"/>
      <c r="E455" s="2997"/>
      <c r="F455" s="2989"/>
      <c r="G455" s="2989"/>
      <c r="H455" s="2989"/>
      <c r="I455" s="2989"/>
      <c r="J455" s="2996"/>
      <c r="K455" s="2995"/>
      <c r="L455" s="2995"/>
      <c r="M455" s="2985" t="str">
        <f>IFERROR(ROUND(#REF!*J455/K455,2),"-")</f>
        <v>-</v>
      </c>
      <c r="N455" s="2994" t="str">
        <f t="shared" si="24"/>
        <v/>
      </c>
      <c r="O455" s="2989"/>
      <c r="P455" s="2994">
        <f t="shared" si="25"/>
        <v>0</v>
      </c>
      <c r="Q455" s="2993"/>
      <c r="R455" s="2993"/>
      <c r="S455" s="2992"/>
    </row>
    <row r="456" spans="2:19" ht="21" customHeight="1">
      <c r="B456" s="2998"/>
      <c r="C456" s="2989"/>
      <c r="D456" s="2989"/>
      <c r="E456" s="2997"/>
      <c r="F456" s="2989"/>
      <c r="G456" s="2989"/>
      <c r="H456" s="2989"/>
      <c r="I456" s="2989"/>
      <c r="J456" s="2996"/>
      <c r="K456" s="2995"/>
      <c r="L456" s="2995"/>
      <c r="M456" s="2985" t="str">
        <f>IFERROR(ROUND(#REF!*J456/K456,2),"-")</f>
        <v>-</v>
      </c>
      <c r="N456" s="2994" t="str">
        <f t="shared" si="24"/>
        <v/>
      </c>
      <c r="O456" s="2989"/>
      <c r="P456" s="2994">
        <f t="shared" si="25"/>
        <v>0</v>
      </c>
      <c r="Q456" s="2993"/>
      <c r="R456" s="2993"/>
      <c r="S456" s="2992"/>
    </row>
    <row r="457" spans="2:19" ht="21" customHeight="1">
      <c r="B457" s="2998"/>
      <c r="C457" s="2989"/>
      <c r="D457" s="2989"/>
      <c r="E457" s="2997"/>
      <c r="F457" s="2989"/>
      <c r="G457" s="2989"/>
      <c r="H457" s="2989"/>
      <c r="I457" s="2989"/>
      <c r="J457" s="2996"/>
      <c r="K457" s="2995"/>
      <c r="L457" s="2995"/>
      <c r="M457" s="2985" t="str">
        <f>IFERROR(ROUND(#REF!*J457/K457,2),"-")</f>
        <v>-</v>
      </c>
      <c r="N457" s="2994" t="str">
        <f t="shared" si="24"/>
        <v/>
      </c>
      <c r="O457" s="2989"/>
      <c r="P457" s="2994">
        <f t="shared" si="25"/>
        <v>0</v>
      </c>
      <c r="Q457" s="2993"/>
      <c r="R457" s="2993"/>
      <c r="S457" s="2992"/>
    </row>
    <row r="458" spans="2:19" ht="21" customHeight="1">
      <c r="B458" s="2998"/>
      <c r="C458" s="2989"/>
      <c r="D458" s="2989"/>
      <c r="E458" s="2997"/>
      <c r="F458" s="2989"/>
      <c r="G458" s="2989"/>
      <c r="H458" s="2989"/>
      <c r="I458" s="2989"/>
      <c r="J458" s="2996"/>
      <c r="K458" s="2995"/>
      <c r="L458" s="2995"/>
      <c r="M458" s="2985" t="str">
        <f>IFERROR(ROUND(#REF!*J458/K458,2),"-")</f>
        <v>-</v>
      </c>
      <c r="N458" s="2994" t="str">
        <f t="shared" si="24"/>
        <v/>
      </c>
      <c r="O458" s="2989"/>
      <c r="P458" s="2994">
        <f t="shared" si="25"/>
        <v>0</v>
      </c>
      <c r="Q458" s="2993"/>
      <c r="R458" s="2993"/>
      <c r="S458" s="2992"/>
    </row>
    <row r="459" spans="2:19" ht="21" customHeight="1">
      <c r="B459" s="2998"/>
      <c r="C459" s="2989"/>
      <c r="D459" s="2989"/>
      <c r="E459" s="2997"/>
      <c r="F459" s="2989"/>
      <c r="G459" s="2989"/>
      <c r="H459" s="2989"/>
      <c r="I459" s="2989"/>
      <c r="J459" s="2996"/>
      <c r="K459" s="2995"/>
      <c r="L459" s="2995"/>
      <c r="M459" s="2985" t="str">
        <f>IFERROR(ROUND(#REF!*J459/K459,2),"-")</f>
        <v>-</v>
      </c>
      <c r="N459" s="2994" t="str">
        <f t="shared" si="24"/>
        <v/>
      </c>
      <c r="O459" s="2989"/>
      <c r="P459" s="2994">
        <f t="shared" si="25"/>
        <v>0</v>
      </c>
      <c r="Q459" s="2993"/>
      <c r="R459" s="2993"/>
      <c r="S459" s="2992"/>
    </row>
    <row r="460" spans="2:19" ht="21" customHeight="1">
      <c r="B460" s="2998"/>
      <c r="C460" s="2989"/>
      <c r="D460" s="2989"/>
      <c r="E460" s="2997"/>
      <c r="F460" s="2989"/>
      <c r="G460" s="2989"/>
      <c r="H460" s="2989"/>
      <c r="I460" s="2989"/>
      <c r="J460" s="2996"/>
      <c r="K460" s="2995"/>
      <c r="L460" s="2995"/>
      <c r="M460" s="2985" t="str">
        <f>IFERROR(ROUND(#REF!*J460/K460,2),"-")</f>
        <v>-</v>
      </c>
      <c r="N460" s="2994" t="str">
        <f t="shared" si="24"/>
        <v/>
      </c>
      <c r="O460" s="2989"/>
      <c r="P460" s="2994">
        <f t="shared" si="25"/>
        <v>0</v>
      </c>
      <c r="Q460" s="2993"/>
      <c r="R460" s="2993"/>
      <c r="S460" s="2992"/>
    </row>
    <row r="461" spans="2:19" ht="21" customHeight="1">
      <c r="B461" s="2998"/>
      <c r="C461" s="2989"/>
      <c r="D461" s="2989"/>
      <c r="E461" s="2997"/>
      <c r="F461" s="2989"/>
      <c r="G461" s="2989"/>
      <c r="H461" s="2989"/>
      <c r="I461" s="2989"/>
      <c r="J461" s="2996"/>
      <c r="K461" s="2995"/>
      <c r="L461" s="2995"/>
      <c r="M461" s="2985" t="str">
        <f>IFERROR(ROUND(#REF!*J461/K461,2),"-")</f>
        <v>-</v>
      </c>
      <c r="N461" s="2994" t="str">
        <f t="shared" si="24"/>
        <v/>
      </c>
      <c r="O461" s="2989"/>
      <c r="P461" s="2994">
        <f t="shared" si="25"/>
        <v>0</v>
      </c>
      <c r="Q461" s="2993"/>
      <c r="R461" s="2993"/>
      <c r="S461" s="2992"/>
    </row>
    <row r="462" spans="2:19" ht="21" customHeight="1">
      <c r="B462" s="2998"/>
      <c r="C462" s="2989"/>
      <c r="D462" s="2989"/>
      <c r="E462" s="2997"/>
      <c r="F462" s="2989"/>
      <c r="G462" s="2989"/>
      <c r="H462" s="2989"/>
      <c r="I462" s="2989"/>
      <c r="J462" s="2996"/>
      <c r="K462" s="2995"/>
      <c r="L462" s="2995"/>
      <c r="M462" s="2985" t="str">
        <f>IFERROR(ROUND(#REF!*J462/K462,2),"-")</f>
        <v>-</v>
      </c>
      <c r="N462" s="2994" t="str">
        <f t="shared" si="24"/>
        <v/>
      </c>
      <c r="O462" s="2989"/>
      <c r="P462" s="2994">
        <f t="shared" si="25"/>
        <v>0</v>
      </c>
      <c r="Q462" s="2993"/>
      <c r="R462" s="2993"/>
      <c r="S462" s="2992"/>
    </row>
    <row r="463" spans="2:19" ht="21" customHeight="1">
      <c r="B463" s="2998"/>
      <c r="C463" s="2989"/>
      <c r="D463" s="2989"/>
      <c r="E463" s="2997"/>
      <c r="F463" s="2989"/>
      <c r="G463" s="2989"/>
      <c r="H463" s="2989"/>
      <c r="I463" s="2989"/>
      <c r="J463" s="2996"/>
      <c r="K463" s="2995"/>
      <c r="L463" s="2995"/>
      <c r="M463" s="2985" t="str">
        <f>IFERROR(ROUND(#REF!*J463/K463,2),"-")</f>
        <v>-</v>
      </c>
      <c r="N463" s="2994" t="str">
        <f t="shared" si="24"/>
        <v/>
      </c>
      <c r="O463" s="2989"/>
      <c r="P463" s="2994">
        <f t="shared" si="25"/>
        <v>0</v>
      </c>
      <c r="Q463" s="2993"/>
      <c r="R463" s="2993"/>
      <c r="S463" s="2992"/>
    </row>
    <row r="464" spans="2:19" ht="21" customHeight="1">
      <c r="B464" s="2998"/>
      <c r="C464" s="2989"/>
      <c r="D464" s="2989"/>
      <c r="E464" s="2997"/>
      <c r="F464" s="2989"/>
      <c r="G464" s="2989"/>
      <c r="H464" s="2989"/>
      <c r="I464" s="2989"/>
      <c r="J464" s="2996"/>
      <c r="K464" s="2995"/>
      <c r="L464" s="2995"/>
      <c r="M464" s="2985" t="str">
        <f>IFERROR(ROUND(#REF!*J464/K464,2),"-")</f>
        <v>-</v>
      </c>
      <c r="N464" s="2994" t="str">
        <f t="shared" si="24"/>
        <v/>
      </c>
      <c r="O464" s="2989"/>
      <c r="P464" s="2994">
        <f t="shared" si="25"/>
        <v>0</v>
      </c>
      <c r="Q464" s="2993"/>
      <c r="R464" s="2993"/>
      <c r="S464" s="2992"/>
    </row>
    <row r="465" spans="2:19" ht="21" customHeight="1">
      <c r="B465" s="2998"/>
      <c r="C465" s="2989"/>
      <c r="D465" s="2989"/>
      <c r="E465" s="2997"/>
      <c r="F465" s="2989"/>
      <c r="G465" s="2989"/>
      <c r="H465" s="2989"/>
      <c r="I465" s="2989"/>
      <c r="J465" s="2996"/>
      <c r="K465" s="2995"/>
      <c r="L465" s="2995"/>
      <c r="M465" s="2985" t="str">
        <f>IFERROR(ROUND(#REF!*J465/K465,2),"-")</f>
        <v>-</v>
      </c>
      <c r="N465" s="2994" t="str">
        <f t="shared" si="24"/>
        <v/>
      </c>
      <c r="O465" s="2989"/>
      <c r="P465" s="2994">
        <f t="shared" si="25"/>
        <v>0</v>
      </c>
      <c r="Q465" s="2993"/>
      <c r="R465" s="2993"/>
      <c r="S465" s="2992"/>
    </row>
    <row r="466" spans="2:19" ht="21" customHeight="1">
      <c r="B466" s="2998"/>
      <c r="C466" s="2989"/>
      <c r="D466" s="2989"/>
      <c r="E466" s="2997"/>
      <c r="F466" s="2989"/>
      <c r="G466" s="2989"/>
      <c r="H466" s="2989"/>
      <c r="I466" s="2989"/>
      <c r="J466" s="2996"/>
      <c r="K466" s="2995"/>
      <c r="L466" s="2995"/>
      <c r="M466" s="2985" t="str">
        <f>IFERROR(ROUND(#REF!*J466/K466,2),"-")</f>
        <v>-</v>
      </c>
      <c r="N466" s="2994" t="str">
        <f t="shared" si="24"/>
        <v/>
      </c>
      <c r="O466" s="2989"/>
      <c r="P466" s="2994">
        <f t="shared" si="25"/>
        <v>0</v>
      </c>
      <c r="Q466" s="2993"/>
      <c r="R466" s="2993"/>
      <c r="S466" s="2992"/>
    </row>
    <row r="467" spans="2:19" ht="21" customHeight="1">
      <c r="B467" s="2998"/>
      <c r="C467" s="2989"/>
      <c r="D467" s="2989"/>
      <c r="E467" s="2997"/>
      <c r="F467" s="2989"/>
      <c r="G467" s="2989"/>
      <c r="H467" s="2989"/>
      <c r="I467" s="2989"/>
      <c r="J467" s="2996"/>
      <c r="K467" s="2995"/>
      <c r="L467" s="2995"/>
      <c r="M467" s="2985" t="str">
        <f>IFERROR(ROUND(#REF!*J467/K467,2),"-")</f>
        <v>-</v>
      </c>
      <c r="N467" s="2994" t="str">
        <f t="shared" si="24"/>
        <v/>
      </c>
      <c r="O467" s="2989"/>
      <c r="P467" s="2994">
        <f t="shared" si="25"/>
        <v>0</v>
      </c>
      <c r="Q467" s="2993"/>
      <c r="R467" s="2993"/>
      <c r="S467" s="2992"/>
    </row>
    <row r="468" spans="2:19" ht="21" customHeight="1">
      <c r="B468" s="2998"/>
      <c r="C468" s="2989"/>
      <c r="D468" s="2989"/>
      <c r="E468" s="2997"/>
      <c r="F468" s="2989"/>
      <c r="G468" s="2989"/>
      <c r="H468" s="2989"/>
      <c r="I468" s="2989"/>
      <c r="J468" s="2996"/>
      <c r="K468" s="2995"/>
      <c r="L468" s="2995"/>
      <c r="M468" s="2985" t="str">
        <f>IFERROR(ROUND(#REF!*J468/K468,2),"-")</f>
        <v>-</v>
      </c>
      <c r="N468" s="2994" t="str">
        <f t="shared" si="24"/>
        <v/>
      </c>
      <c r="O468" s="2989"/>
      <c r="P468" s="2994">
        <f t="shared" si="25"/>
        <v>0</v>
      </c>
      <c r="Q468" s="2993"/>
      <c r="R468" s="2993"/>
      <c r="S468" s="2992"/>
    </row>
    <row r="469" spans="2:19" ht="21" customHeight="1">
      <c r="B469" s="2998"/>
      <c r="C469" s="2989"/>
      <c r="D469" s="2989"/>
      <c r="E469" s="2997"/>
      <c r="F469" s="2989"/>
      <c r="G469" s="2989"/>
      <c r="H469" s="2989"/>
      <c r="I469" s="2989"/>
      <c r="J469" s="2996"/>
      <c r="K469" s="2995"/>
      <c r="L469" s="2995"/>
      <c r="M469" s="2985" t="str">
        <f>IFERROR(ROUND(#REF!*J469/K469,2),"-")</f>
        <v>-</v>
      </c>
      <c r="N469" s="2994" t="str">
        <f t="shared" si="24"/>
        <v/>
      </c>
      <c r="O469" s="2989"/>
      <c r="P469" s="2994">
        <f t="shared" si="25"/>
        <v>0</v>
      </c>
      <c r="Q469" s="2993"/>
      <c r="R469" s="2993"/>
      <c r="S469" s="2992"/>
    </row>
    <row r="470" spans="2:19" ht="21" customHeight="1">
      <c r="B470" s="2998"/>
      <c r="C470" s="2989"/>
      <c r="D470" s="2989"/>
      <c r="E470" s="2997"/>
      <c r="F470" s="2989"/>
      <c r="G470" s="2989"/>
      <c r="H470" s="2989"/>
      <c r="I470" s="2989"/>
      <c r="J470" s="2996"/>
      <c r="K470" s="2995"/>
      <c r="L470" s="2995"/>
      <c r="M470" s="2985" t="str">
        <f>IFERROR(ROUND(#REF!*J470/K470,2),"-")</f>
        <v>-</v>
      </c>
      <c r="N470" s="2994" t="str">
        <f t="shared" si="24"/>
        <v/>
      </c>
      <c r="O470" s="2989"/>
      <c r="P470" s="2994">
        <f t="shared" si="25"/>
        <v>0</v>
      </c>
      <c r="Q470" s="2993"/>
      <c r="R470" s="2993"/>
      <c r="S470" s="2992"/>
    </row>
    <row r="471" spans="2:19" ht="21" customHeight="1">
      <c r="B471" s="2998"/>
      <c r="C471" s="2989"/>
      <c r="D471" s="2989"/>
      <c r="E471" s="2997"/>
      <c r="F471" s="2989"/>
      <c r="G471" s="2989"/>
      <c r="H471" s="2989"/>
      <c r="I471" s="2989"/>
      <c r="J471" s="2996"/>
      <c r="K471" s="2995"/>
      <c r="L471" s="2995"/>
      <c r="M471" s="2985" t="str">
        <f>IFERROR(ROUND(#REF!*J471/K471,2),"-")</f>
        <v>-</v>
      </c>
      <c r="N471" s="2994" t="str">
        <f t="shared" si="24"/>
        <v/>
      </c>
      <c r="O471" s="2989"/>
      <c r="P471" s="2994">
        <f t="shared" si="25"/>
        <v>0</v>
      </c>
      <c r="Q471" s="2993"/>
      <c r="R471" s="2993"/>
      <c r="S471" s="2992"/>
    </row>
    <row r="472" spans="2:19" ht="21" customHeight="1">
      <c r="B472" s="2998"/>
      <c r="C472" s="2989"/>
      <c r="D472" s="2989"/>
      <c r="E472" s="2997"/>
      <c r="F472" s="2989"/>
      <c r="G472" s="2989"/>
      <c r="H472" s="2989"/>
      <c r="I472" s="2989"/>
      <c r="J472" s="2996"/>
      <c r="K472" s="2995"/>
      <c r="L472" s="2995"/>
      <c r="M472" s="2985" t="str">
        <f>IFERROR(ROUND(#REF!*J472/K472,2),"-")</f>
        <v>-</v>
      </c>
      <c r="N472" s="2994" t="str">
        <f t="shared" si="24"/>
        <v/>
      </c>
      <c r="O472" s="2989"/>
      <c r="P472" s="2994">
        <f t="shared" si="25"/>
        <v>0</v>
      </c>
      <c r="Q472" s="2993"/>
      <c r="R472" s="2993"/>
      <c r="S472" s="2992"/>
    </row>
    <row r="473" spans="2:19" ht="21" customHeight="1">
      <c r="B473" s="2998"/>
      <c r="C473" s="2989"/>
      <c r="D473" s="2989"/>
      <c r="E473" s="2997"/>
      <c r="F473" s="2989"/>
      <c r="G473" s="2989"/>
      <c r="H473" s="2989"/>
      <c r="I473" s="2989"/>
      <c r="J473" s="2996"/>
      <c r="K473" s="2995"/>
      <c r="L473" s="2995"/>
      <c r="M473" s="2985" t="str">
        <f>IFERROR(ROUND(#REF!*J473/K473,2),"-")</f>
        <v>-</v>
      </c>
      <c r="N473" s="2994" t="str">
        <f t="shared" si="24"/>
        <v/>
      </c>
      <c r="O473" s="2989"/>
      <c r="P473" s="2994">
        <f t="shared" si="25"/>
        <v>0</v>
      </c>
      <c r="Q473" s="2993"/>
      <c r="R473" s="2993"/>
      <c r="S473" s="2992"/>
    </row>
    <row r="474" spans="2:19" ht="21" customHeight="1">
      <c r="B474" s="2998"/>
      <c r="C474" s="2989"/>
      <c r="D474" s="2989"/>
      <c r="E474" s="2997"/>
      <c r="F474" s="2989"/>
      <c r="G474" s="2989"/>
      <c r="H474" s="2989"/>
      <c r="I474" s="2989"/>
      <c r="J474" s="2996"/>
      <c r="K474" s="2995"/>
      <c r="L474" s="2995"/>
      <c r="M474" s="2985" t="str">
        <f>IFERROR(ROUND(#REF!*J474/K474,2),"-")</f>
        <v>-</v>
      </c>
      <c r="N474" s="2994" t="str">
        <f t="shared" si="24"/>
        <v/>
      </c>
      <c r="O474" s="2989"/>
      <c r="P474" s="2994">
        <f t="shared" si="25"/>
        <v>0</v>
      </c>
      <c r="Q474" s="2993"/>
      <c r="R474" s="2993"/>
      <c r="S474" s="2992"/>
    </row>
    <row r="475" spans="2:19" ht="21" customHeight="1">
      <c r="B475" s="2998"/>
      <c r="C475" s="2989"/>
      <c r="D475" s="2989"/>
      <c r="E475" s="2997"/>
      <c r="F475" s="2989"/>
      <c r="G475" s="2989"/>
      <c r="H475" s="2989"/>
      <c r="I475" s="2989"/>
      <c r="J475" s="2996"/>
      <c r="K475" s="2995"/>
      <c r="L475" s="2995"/>
      <c r="M475" s="2985" t="str">
        <f>IFERROR(ROUND(#REF!*J475/K475,2),"-")</f>
        <v>-</v>
      </c>
      <c r="N475" s="2994" t="str">
        <f t="shared" ref="N475:N538" si="26">IFERROR(M475*K475,"")</f>
        <v/>
      </c>
      <c r="O475" s="2989"/>
      <c r="P475" s="2994">
        <f t="shared" ref="P475:P538" si="27">IFERROR(K475*O475,"-")</f>
        <v>0</v>
      </c>
      <c r="Q475" s="2993"/>
      <c r="R475" s="2993"/>
      <c r="S475" s="2992"/>
    </row>
    <row r="476" spans="2:19" ht="21" customHeight="1">
      <c r="B476" s="2998"/>
      <c r="C476" s="2989"/>
      <c r="D476" s="2989"/>
      <c r="E476" s="2997"/>
      <c r="F476" s="2989"/>
      <c r="G476" s="2989"/>
      <c r="H476" s="2989"/>
      <c r="I476" s="2989"/>
      <c r="J476" s="2996"/>
      <c r="K476" s="2995"/>
      <c r="L476" s="2995"/>
      <c r="M476" s="2985" t="str">
        <f>IFERROR(ROUND(#REF!*J476/K476,2),"-")</f>
        <v>-</v>
      </c>
      <c r="N476" s="2994" t="str">
        <f t="shared" si="26"/>
        <v/>
      </c>
      <c r="O476" s="2989"/>
      <c r="P476" s="2994">
        <f t="shared" si="27"/>
        <v>0</v>
      </c>
      <c r="Q476" s="2993"/>
      <c r="R476" s="2993"/>
      <c r="S476" s="2992"/>
    </row>
    <row r="477" spans="2:19" ht="21" customHeight="1">
      <c r="B477" s="2998"/>
      <c r="C477" s="2989"/>
      <c r="D477" s="2989"/>
      <c r="E477" s="2997"/>
      <c r="F477" s="2989"/>
      <c r="G477" s="2989"/>
      <c r="H477" s="2989"/>
      <c r="I477" s="2989"/>
      <c r="J477" s="2996"/>
      <c r="K477" s="2995"/>
      <c r="L477" s="2995"/>
      <c r="M477" s="2985" t="str">
        <f>IFERROR(ROUND(#REF!*J477/K477,2),"-")</f>
        <v>-</v>
      </c>
      <c r="N477" s="2994" t="str">
        <f t="shared" si="26"/>
        <v/>
      </c>
      <c r="O477" s="2989"/>
      <c r="P477" s="2994">
        <f t="shared" si="27"/>
        <v>0</v>
      </c>
      <c r="Q477" s="2993"/>
      <c r="R477" s="2993"/>
      <c r="S477" s="2992"/>
    </row>
    <row r="478" spans="2:19" ht="21" customHeight="1">
      <c r="B478" s="2998"/>
      <c r="C478" s="2989"/>
      <c r="D478" s="2989"/>
      <c r="E478" s="2997"/>
      <c r="F478" s="2989"/>
      <c r="G478" s="2989"/>
      <c r="H478" s="2989"/>
      <c r="I478" s="2989"/>
      <c r="J478" s="2996"/>
      <c r="K478" s="2995"/>
      <c r="L478" s="2995"/>
      <c r="M478" s="2985" t="str">
        <f>IFERROR(ROUND(#REF!*J478/K478,2),"-")</f>
        <v>-</v>
      </c>
      <c r="N478" s="2994" t="str">
        <f t="shared" si="26"/>
        <v/>
      </c>
      <c r="O478" s="2989"/>
      <c r="P478" s="2994">
        <f t="shared" si="27"/>
        <v>0</v>
      </c>
      <c r="Q478" s="2993"/>
      <c r="R478" s="2993"/>
      <c r="S478" s="2992"/>
    </row>
    <row r="479" spans="2:19" ht="21" customHeight="1">
      <c r="B479" s="2998"/>
      <c r="C479" s="2989"/>
      <c r="D479" s="2989"/>
      <c r="E479" s="2997"/>
      <c r="F479" s="2989"/>
      <c r="G479" s="2989"/>
      <c r="H479" s="2989"/>
      <c r="I479" s="2989"/>
      <c r="J479" s="2996"/>
      <c r="K479" s="2995"/>
      <c r="L479" s="2995"/>
      <c r="M479" s="2985" t="str">
        <f>IFERROR(ROUND(#REF!*J479/K479,2),"-")</f>
        <v>-</v>
      </c>
      <c r="N479" s="2994" t="str">
        <f t="shared" si="26"/>
        <v/>
      </c>
      <c r="O479" s="2989"/>
      <c r="P479" s="2994">
        <f t="shared" si="27"/>
        <v>0</v>
      </c>
      <c r="Q479" s="2993"/>
      <c r="R479" s="2993"/>
      <c r="S479" s="2992"/>
    </row>
    <row r="480" spans="2:19" ht="21" customHeight="1">
      <c r="B480" s="2998"/>
      <c r="C480" s="2989"/>
      <c r="D480" s="2989"/>
      <c r="E480" s="2997"/>
      <c r="F480" s="2989"/>
      <c r="G480" s="2989"/>
      <c r="H480" s="2989"/>
      <c r="I480" s="2989"/>
      <c r="J480" s="2996"/>
      <c r="K480" s="2995"/>
      <c r="L480" s="2995"/>
      <c r="M480" s="2985" t="str">
        <f>IFERROR(ROUND(#REF!*J480/K480,2),"-")</f>
        <v>-</v>
      </c>
      <c r="N480" s="2994" t="str">
        <f t="shared" si="26"/>
        <v/>
      </c>
      <c r="O480" s="2989"/>
      <c r="P480" s="2994">
        <f t="shared" si="27"/>
        <v>0</v>
      </c>
      <c r="Q480" s="2993"/>
      <c r="R480" s="2993"/>
      <c r="S480" s="2992"/>
    </row>
    <row r="481" spans="2:19" ht="21" customHeight="1">
      <c r="B481" s="2998"/>
      <c r="C481" s="2989"/>
      <c r="D481" s="2989"/>
      <c r="E481" s="2997"/>
      <c r="F481" s="2989"/>
      <c r="G481" s="2989"/>
      <c r="H481" s="2989"/>
      <c r="I481" s="2989"/>
      <c r="J481" s="2996"/>
      <c r="K481" s="2995"/>
      <c r="L481" s="2995"/>
      <c r="M481" s="2985" t="str">
        <f>IFERROR(ROUND(#REF!*J481/K481,2),"-")</f>
        <v>-</v>
      </c>
      <c r="N481" s="2994" t="str">
        <f t="shared" si="26"/>
        <v/>
      </c>
      <c r="O481" s="2989"/>
      <c r="P481" s="2994">
        <f t="shared" si="27"/>
        <v>0</v>
      </c>
      <c r="Q481" s="2993"/>
      <c r="R481" s="2993"/>
      <c r="S481" s="2992"/>
    </row>
    <row r="482" spans="2:19" ht="21" customHeight="1">
      <c r="B482" s="2998"/>
      <c r="C482" s="2989"/>
      <c r="D482" s="2989"/>
      <c r="E482" s="2997"/>
      <c r="F482" s="2989"/>
      <c r="G482" s="2989"/>
      <c r="H482" s="2989"/>
      <c r="I482" s="2989"/>
      <c r="J482" s="2996"/>
      <c r="K482" s="2995"/>
      <c r="L482" s="2995"/>
      <c r="M482" s="2985" t="str">
        <f>IFERROR(ROUND(#REF!*J482/K482,2),"-")</f>
        <v>-</v>
      </c>
      <c r="N482" s="2994" t="str">
        <f t="shared" si="26"/>
        <v/>
      </c>
      <c r="O482" s="2989"/>
      <c r="P482" s="2994">
        <f t="shared" si="27"/>
        <v>0</v>
      </c>
      <c r="Q482" s="2993"/>
      <c r="R482" s="2993"/>
      <c r="S482" s="2992"/>
    </row>
    <row r="483" spans="2:19" ht="21" customHeight="1">
      <c r="B483" s="2998"/>
      <c r="C483" s="2989"/>
      <c r="D483" s="2989"/>
      <c r="E483" s="2997"/>
      <c r="F483" s="2989"/>
      <c r="G483" s="2989"/>
      <c r="H483" s="2989"/>
      <c r="I483" s="2989"/>
      <c r="J483" s="2996"/>
      <c r="K483" s="2995"/>
      <c r="L483" s="2995"/>
      <c r="M483" s="2985" t="str">
        <f>IFERROR(ROUND(#REF!*J483/K483,2),"-")</f>
        <v>-</v>
      </c>
      <c r="N483" s="2994" t="str">
        <f t="shared" si="26"/>
        <v/>
      </c>
      <c r="O483" s="2989"/>
      <c r="P483" s="2994">
        <f t="shared" si="27"/>
        <v>0</v>
      </c>
      <c r="Q483" s="2993"/>
      <c r="R483" s="2993"/>
      <c r="S483" s="2992"/>
    </row>
    <row r="484" spans="2:19" ht="21" customHeight="1">
      <c r="B484" s="2998"/>
      <c r="C484" s="2989"/>
      <c r="D484" s="2989"/>
      <c r="E484" s="2997"/>
      <c r="F484" s="2989"/>
      <c r="G484" s="2989"/>
      <c r="H484" s="2989"/>
      <c r="I484" s="2989"/>
      <c r="J484" s="2996"/>
      <c r="K484" s="2995"/>
      <c r="L484" s="2995"/>
      <c r="M484" s="2985" t="str">
        <f>IFERROR(ROUND(#REF!*J484/K484,2),"-")</f>
        <v>-</v>
      </c>
      <c r="N484" s="2994" t="str">
        <f t="shared" si="26"/>
        <v/>
      </c>
      <c r="O484" s="2989"/>
      <c r="P484" s="2994">
        <f t="shared" si="27"/>
        <v>0</v>
      </c>
      <c r="Q484" s="2993"/>
      <c r="R484" s="2993"/>
      <c r="S484" s="2992"/>
    </row>
    <row r="485" spans="2:19" ht="21" customHeight="1">
      <c r="B485" s="2998"/>
      <c r="C485" s="2989"/>
      <c r="D485" s="2989"/>
      <c r="E485" s="2997"/>
      <c r="F485" s="2989"/>
      <c r="G485" s="2989"/>
      <c r="H485" s="2989"/>
      <c r="I485" s="2989"/>
      <c r="J485" s="2996"/>
      <c r="K485" s="2995"/>
      <c r="L485" s="2995"/>
      <c r="M485" s="2985" t="str">
        <f>IFERROR(ROUND(#REF!*J485/K485,2),"-")</f>
        <v>-</v>
      </c>
      <c r="N485" s="2994" t="str">
        <f t="shared" si="26"/>
        <v/>
      </c>
      <c r="O485" s="2989"/>
      <c r="P485" s="2994">
        <f t="shared" si="27"/>
        <v>0</v>
      </c>
      <c r="Q485" s="2993"/>
      <c r="R485" s="2993"/>
      <c r="S485" s="2992"/>
    </row>
    <row r="486" spans="2:19" ht="21" customHeight="1">
      <c r="B486" s="2998"/>
      <c r="C486" s="2989"/>
      <c r="D486" s="2989"/>
      <c r="E486" s="2997"/>
      <c r="F486" s="2989"/>
      <c r="G486" s="2989"/>
      <c r="H486" s="2989"/>
      <c r="I486" s="2989"/>
      <c r="J486" s="2996"/>
      <c r="K486" s="2995"/>
      <c r="L486" s="2995"/>
      <c r="M486" s="2985" t="str">
        <f>IFERROR(ROUND(#REF!*J486/K486,2),"-")</f>
        <v>-</v>
      </c>
      <c r="N486" s="2994" t="str">
        <f t="shared" si="26"/>
        <v/>
      </c>
      <c r="O486" s="2989"/>
      <c r="P486" s="2994">
        <f t="shared" si="27"/>
        <v>0</v>
      </c>
      <c r="Q486" s="2993"/>
      <c r="R486" s="2993"/>
      <c r="S486" s="2992"/>
    </row>
    <row r="487" spans="2:19" ht="21" customHeight="1">
      <c r="B487" s="2998"/>
      <c r="C487" s="2989"/>
      <c r="D487" s="2989"/>
      <c r="E487" s="2997"/>
      <c r="F487" s="2989"/>
      <c r="G487" s="2989"/>
      <c r="H487" s="2989"/>
      <c r="I487" s="2989"/>
      <c r="J487" s="2996"/>
      <c r="K487" s="2995"/>
      <c r="L487" s="2995"/>
      <c r="M487" s="2985" t="str">
        <f>IFERROR(ROUND(#REF!*J487/K487,2),"-")</f>
        <v>-</v>
      </c>
      <c r="N487" s="2994" t="str">
        <f t="shared" si="26"/>
        <v/>
      </c>
      <c r="O487" s="2989"/>
      <c r="P487" s="2994">
        <f t="shared" si="27"/>
        <v>0</v>
      </c>
      <c r="Q487" s="2993"/>
      <c r="R487" s="2993"/>
      <c r="S487" s="2992"/>
    </row>
    <row r="488" spans="2:19" ht="21" customHeight="1">
      <c r="B488" s="2998"/>
      <c r="C488" s="2989"/>
      <c r="D488" s="2989"/>
      <c r="E488" s="2997"/>
      <c r="F488" s="2989"/>
      <c r="G488" s="2989"/>
      <c r="H488" s="2989"/>
      <c r="I488" s="2989"/>
      <c r="J488" s="2996"/>
      <c r="K488" s="2995"/>
      <c r="L488" s="2995"/>
      <c r="M488" s="2985" t="str">
        <f>IFERROR(ROUND(#REF!*J488/K488,2),"-")</f>
        <v>-</v>
      </c>
      <c r="N488" s="2994" t="str">
        <f t="shared" si="26"/>
        <v/>
      </c>
      <c r="O488" s="2989"/>
      <c r="P488" s="2994">
        <f t="shared" si="27"/>
        <v>0</v>
      </c>
      <c r="Q488" s="2993"/>
      <c r="R488" s="2993"/>
      <c r="S488" s="2992"/>
    </row>
    <row r="489" spans="2:19" ht="21" customHeight="1">
      <c r="B489" s="2998"/>
      <c r="C489" s="2989"/>
      <c r="D489" s="2989"/>
      <c r="E489" s="2997"/>
      <c r="F489" s="2989"/>
      <c r="G489" s="2989"/>
      <c r="H489" s="2989"/>
      <c r="I489" s="2989"/>
      <c r="J489" s="2996"/>
      <c r="K489" s="2995"/>
      <c r="L489" s="2995"/>
      <c r="M489" s="2985" t="str">
        <f>IFERROR(ROUND(#REF!*J489/K489,2),"-")</f>
        <v>-</v>
      </c>
      <c r="N489" s="2994" t="str">
        <f t="shared" si="26"/>
        <v/>
      </c>
      <c r="O489" s="2989"/>
      <c r="P489" s="2994">
        <f t="shared" si="27"/>
        <v>0</v>
      </c>
      <c r="Q489" s="2993"/>
      <c r="R489" s="2993"/>
      <c r="S489" s="2992"/>
    </row>
    <row r="490" spans="2:19" ht="21" customHeight="1">
      <c r="B490" s="2998"/>
      <c r="C490" s="2989"/>
      <c r="D490" s="2989"/>
      <c r="E490" s="2997"/>
      <c r="F490" s="2989"/>
      <c r="G490" s="2989"/>
      <c r="H490" s="2989"/>
      <c r="I490" s="2989"/>
      <c r="J490" s="2996"/>
      <c r="K490" s="2995"/>
      <c r="L490" s="2995"/>
      <c r="M490" s="2985" t="str">
        <f>IFERROR(ROUND(#REF!*J490/K490,2),"-")</f>
        <v>-</v>
      </c>
      <c r="N490" s="2994" t="str">
        <f t="shared" si="26"/>
        <v/>
      </c>
      <c r="O490" s="2989"/>
      <c r="P490" s="2994">
        <f t="shared" si="27"/>
        <v>0</v>
      </c>
      <c r="Q490" s="2993"/>
      <c r="R490" s="2993"/>
      <c r="S490" s="2992"/>
    </row>
    <row r="491" spans="2:19" ht="21" customHeight="1">
      <c r="B491" s="2998"/>
      <c r="C491" s="2989"/>
      <c r="D491" s="2989"/>
      <c r="E491" s="2997"/>
      <c r="F491" s="2989"/>
      <c r="G491" s="2989"/>
      <c r="H491" s="2989"/>
      <c r="I491" s="2989"/>
      <c r="J491" s="2996"/>
      <c r="K491" s="2995"/>
      <c r="L491" s="2995"/>
      <c r="M491" s="2985" t="str">
        <f>IFERROR(ROUND(#REF!*J491/K491,2),"-")</f>
        <v>-</v>
      </c>
      <c r="N491" s="2994" t="str">
        <f t="shared" si="26"/>
        <v/>
      </c>
      <c r="O491" s="2989"/>
      <c r="P491" s="2994">
        <f t="shared" si="27"/>
        <v>0</v>
      </c>
      <c r="Q491" s="2993"/>
      <c r="R491" s="2993"/>
      <c r="S491" s="2992"/>
    </row>
    <row r="492" spans="2:19" ht="21" customHeight="1">
      <c r="B492" s="2998"/>
      <c r="C492" s="2989"/>
      <c r="D492" s="2989"/>
      <c r="E492" s="2997"/>
      <c r="F492" s="2989"/>
      <c r="G492" s="2989"/>
      <c r="H492" s="2989"/>
      <c r="I492" s="2989"/>
      <c r="J492" s="2996"/>
      <c r="K492" s="2995"/>
      <c r="L492" s="2995"/>
      <c r="M492" s="2985" t="str">
        <f>IFERROR(ROUND(#REF!*J492/K492,2),"-")</f>
        <v>-</v>
      </c>
      <c r="N492" s="2994" t="str">
        <f t="shared" si="26"/>
        <v/>
      </c>
      <c r="O492" s="2989"/>
      <c r="P492" s="2994">
        <f t="shared" si="27"/>
        <v>0</v>
      </c>
      <c r="Q492" s="2993"/>
      <c r="R492" s="2993"/>
      <c r="S492" s="2992"/>
    </row>
    <row r="493" spans="2:19" ht="21" customHeight="1">
      <c r="B493" s="2998"/>
      <c r="C493" s="2989"/>
      <c r="D493" s="2989"/>
      <c r="E493" s="2997"/>
      <c r="F493" s="2989"/>
      <c r="G493" s="2989"/>
      <c r="H493" s="2989"/>
      <c r="I493" s="2989"/>
      <c r="J493" s="2996"/>
      <c r="K493" s="2995"/>
      <c r="L493" s="2995"/>
      <c r="M493" s="2985" t="str">
        <f>IFERROR(ROUND(#REF!*J493/K493,2),"-")</f>
        <v>-</v>
      </c>
      <c r="N493" s="2994" t="str">
        <f t="shared" si="26"/>
        <v/>
      </c>
      <c r="O493" s="2989"/>
      <c r="P493" s="2994">
        <f t="shared" si="27"/>
        <v>0</v>
      </c>
      <c r="Q493" s="2993"/>
      <c r="R493" s="2993"/>
      <c r="S493" s="2992"/>
    </row>
    <row r="494" spans="2:19" ht="21" customHeight="1">
      <c r="B494" s="2998"/>
      <c r="C494" s="2989"/>
      <c r="D494" s="2989"/>
      <c r="E494" s="2997"/>
      <c r="F494" s="2989"/>
      <c r="G494" s="2989"/>
      <c r="H494" s="2989"/>
      <c r="I494" s="2989"/>
      <c r="J494" s="2996"/>
      <c r="K494" s="2995"/>
      <c r="L494" s="2995"/>
      <c r="M494" s="2985" t="str">
        <f>IFERROR(ROUND(#REF!*J494/K494,2),"-")</f>
        <v>-</v>
      </c>
      <c r="N494" s="2994" t="str">
        <f t="shared" si="26"/>
        <v/>
      </c>
      <c r="O494" s="2989"/>
      <c r="P494" s="2994">
        <f t="shared" si="27"/>
        <v>0</v>
      </c>
      <c r="Q494" s="2993"/>
      <c r="R494" s="2993"/>
      <c r="S494" s="2992"/>
    </row>
    <row r="495" spans="2:19" ht="21" customHeight="1">
      <c r="B495" s="2998"/>
      <c r="C495" s="2989"/>
      <c r="D495" s="2989"/>
      <c r="E495" s="2997"/>
      <c r="F495" s="2989"/>
      <c r="G495" s="2989"/>
      <c r="H495" s="2989"/>
      <c r="I495" s="2989"/>
      <c r="J495" s="2996"/>
      <c r="K495" s="2995"/>
      <c r="L495" s="2995"/>
      <c r="M495" s="2985" t="str">
        <f>IFERROR(ROUND(#REF!*J495/K495,2),"-")</f>
        <v>-</v>
      </c>
      <c r="N495" s="2994" t="str">
        <f t="shared" si="26"/>
        <v/>
      </c>
      <c r="O495" s="2989"/>
      <c r="P495" s="2994">
        <f t="shared" si="27"/>
        <v>0</v>
      </c>
      <c r="Q495" s="2993"/>
      <c r="R495" s="2993"/>
      <c r="S495" s="2992"/>
    </row>
    <row r="496" spans="2:19" ht="21" customHeight="1">
      <c r="B496" s="2998"/>
      <c r="C496" s="2989"/>
      <c r="D496" s="2989"/>
      <c r="E496" s="2997"/>
      <c r="F496" s="2989"/>
      <c r="G496" s="2989"/>
      <c r="H496" s="2989"/>
      <c r="I496" s="2989"/>
      <c r="J496" s="2996"/>
      <c r="K496" s="2995"/>
      <c r="L496" s="2995"/>
      <c r="M496" s="2985" t="str">
        <f>IFERROR(ROUND(#REF!*J496/K496,2),"-")</f>
        <v>-</v>
      </c>
      <c r="N496" s="2994" t="str">
        <f t="shared" si="26"/>
        <v/>
      </c>
      <c r="O496" s="2989"/>
      <c r="P496" s="2994">
        <f t="shared" si="27"/>
        <v>0</v>
      </c>
      <c r="Q496" s="2993"/>
      <c r="R496" s="2993"/>
      <c r="S496" s="2992"/>
    </row>
    <row r="497" spans="2:19" ht="21" customHeight="1">
      <c r="B497" s="2998"/>
      <c r="C497" s="2989"/>
      <c r="D497" s="2989"/>
      <c r="E497" s="2997"/>
      <c r="F497" s="2989"/>
      <c r="G497" s="2989"/>
      <c r="H497" s="2989"/>
      <c r="I497" s="2989"/>
      <c r="J497" s="2996"/>
      <c r="K497" s="2995"/>
      <c r="L497" s="2995"/>
      <c r="M497" s="2985" t="str">
        <f>IFERROR(ROUND(#REF!*J497/K497,2),"-")</f>
        <v>-</v>
      </c>
      <c r="N497" s="2994" t="str">
        <f t="shared" si="26"/>
        <v/>
      </c>
      <c r="O497" s="2989"/>
      <c r="P497" s="2994">
        <f t="shared" si="27"/>
        <v>0</v>
      </c>
      <c r="Q497" s="2993"/>
      <c r="R497" s="2993"/>
      <c r="S497" s="2992"/>
    </row>
    <row r="498" spans="2:19" ht="21" customHeight="1">
      <c r="B498" s="2998"/>
      <c r="C498" s="2989"/>
      <c r="D498" s="2989"/>
      <c r="E498" s="2997"/>
      <c r="F498" s="2989"/>
      <c r="G498" s="2989"/>
      <c r="H498" s="2989"/>
      <c r="I498" s="2989"/>
      <c r="J498" s="2996"/>
      <c r="K498" s="2995"/>
      <c r="L498" s="2995"/>
      <c r="M498" s="2985" t="str">
        <f>IFERROR(ROUND(#REF!*J498/K498,2),"-")</f>
        <v>-</v>
      </c>
      <c r="N498" s="2994" t="str">
        <f t="shared" si="26"/>
        <v/>
      </c>
      <c r="O498" s="2989"/>
      <c r="P498" s="2994">
        <f t="shared" si="27"/>
        <v>0</v>
      </c>
      <c r="Q498" s="2993"/>
      <c r="R498" s="2993"/>
      <c r="S498" s="2992"/>
    </row>
    <row r="499" spans="2:19" ht="21" customHeight="1">
      <c r="B499" s="2998"/>
      <c r="C499" s="2989"/>
      <c r="D499" s="2989"/>
      <c r="E499" s="2997"/>
      <c r="F499" s="2989"/>
      <c r="G499" s="2989"/>
      <c r="H499" s="2989"/>
      <c r="I499" s="2989"/>
      <c r="J499" s="2996"/>
      <c r="K499" s="2995"/>
      <c r="L499" s="2995"/>
      <c r="M499" s="2985" t="str">
        <f>IFERROR(ROUND(#REF!*J499/K499,2),"-")</f>
        <v>-</v>
      </c>
      <c r="N499" s="2994" t="str">
        <f t="shared" si="26"/>
        <v/>
      </c>
      <c r="O499" s="2989"/>
      <c r="P499" s="2994">
        <f t="shared" si="27"/>
        <v>0</v>
      </c>
      <c r="Q499" s="2993"/>
      <c r="R499" s="2993"/>
      <c r="S499" s="2992"/>
    </row>
    <row r="500" spans="2:19" ht="21" customHeight="1">
      <c r="B500" s="2998"/>
      <c r="C500" s="2989"/>
      <c r="D500" s="2989"/>
      <c r="E500" s="2997"/>
      <c r="F500" s="2989"/>
      <c r="G500" s="2989"/>
      <c r="H500" s="2989"/>
      <c r="I500" s="2989"/>
      <c r="J500" s="2996"/>
      <c r="K500" s="2995"/>
      <c r="L500" s="2995"/>
      <c r="M500" s="2985" t="str">
        <f>IFERROR(ROUND(#REF!*J500/K500,2),"-")</f>
        <v>-</v>
      </c>
      <c r="N500" s="2994" t="str">
        <f t="shared" si="26"/>
        <v/>
      </c>
      <c r="O500" s="2989"/>
      <c r="P500" s="2994">
        <f t="shared" si="27"/>
        <v>0</v>
      </c>
      <c r="Q500" s="2993"/>
      <c r="R500" s="2993"/>
      <c r="S500" s="2992"/>
    </row>
    <row r="501" spans="2:19" ht="21" customHeight="1">
      <c r="B501" s="2998"/>
      <c r="C501" s="2989"/>
      <c r="D501" s="2989"/>
      <c r="E501" s="2997"/>
      <c r="F501" s="2989"/>
      <c r="G501" s="2989"/>
      <c r="H501" s="2989"/>
      <c r="I501" s="2989"/>
      <c r="J501" s="2996"/>
      <c r="K501" s="2995"/>
      <c r="L501" s="2995"/>
      <c r="M501" s="2985" t="str">
        <f>IFERROR(ROUND(#REF!*J501/K501,2),"-")</f>
        <v>-</v>
      </c>
      <c r="N501" s="2994" t="str">
        <f t="shared" si="26"/>
        <v/>
      </c>
      <c r="O501" s="2989"/>
      <c r="P501" s="2994">
        <f t="shared" si="27"/>
        <v>0</v>
      </c>
      <c r="Q501" s="2993"/>
      <c r="R501" s="2993"/>
      <c r="S501" s="2992"/>
    </row>
    <row r="502" spans="2:19" ht="21" customHeight="1">
      <c r="B502" s="2998"/>
      <c r="C502" s="2989"/>
      <c r="D502" s="2989"/>
      <c r="E502" s="2997"/>
      <c r="F502" s="2989"/>
      <c r="G502" s="2989"/>
      <c r="H502" s="2989"/>
      <c r="I502" s="2989"/>
      <c r="J502" s="2996"/>
      <c r="K502" s="2995"/>
      <c r="L502" s="2995"/>
      <c r="M502" s="2985" t="str">
        <f>IFERROR(ROUND(#REF!*J502/K502,2),"-")</f>
        <v>-</v>
      </c>
      <c r="N502" s="2994" t="str">
        <f t="shared" si="26"/>
        <v/>
      </c>
      <c r="O502" s="2989"/>
      <c r="P502" s="2994">
        <f t="shared" si="27"/>
        <v>0</v>
      </c>
      <c r="Q502" s="2993"/>
      <c r="R502" s="2993"/>
      <c r="S502" s="2992"/>
    </row>
    <row r="503" spans="2:19" ht="21" customHeight="1">
      <c r="B503" s="2998"/>
      <c r="C503" s="2989"/>
      <c r="D503" s="2989"/>
      <c r="E503" s="2997"/>
      <c r="F503" s="2989"/>
      <c r="G503" s="2989"/>
      <c r="H503" s="2989"/>
      <c r="I503" s="2989"/>
      <c r="J503" s="2996"/>
      <c r="K503" s="2995"/>
      <c r="L503" s="2995"/>
      <c r="M503" s="2985" t="str">
        <f>IFERROR(ROUND(#REF!*J503/K503,2),"-")</f>
        <v>-</v>
      </c>
      <c r="N503" s="2994" t="str">
        <f t="shared" si="26"/>
        <v/>
      </c>
      <c r="O503" s="2989"/>
      <c r="P503" s="2994">
        <f t="shared" si="27"/>
        <v>0</v>
      </c>
      <c r="Q503" s="2993"/>
      <c r="R503" s="2993"/>
      <c r="S503" s="2992"/>
    </row>
    <row r="504" spans="2:19" ht="21" customHeight="1">
      <c r="B504" s="2998"/>
      <c r="C504" s="2989"/>
      <c r="D504" s="2989"/>
      <c r="E504" s="2997"/>
      <c r="F504" s="2989"/>
      <c r="G504" s="2989"/>
      <c r="H504" s="2989"/>
      <c r="I504" s="2989"/>
      <c r="J504" s="2996"/>
      <c r="K504" s="2995"/>
      <c r="L504" s="2995"/>
      <c r="M504" s="2985" t="str">
        <f>IFERROR(ROUND(#REF!*J504/K504,2),"-")</f>
        <v>-</v>
      </c>
      <c r="N504" s="2994" t="str">
        <f t="shared" si="26"/>
        <v/>
      </c>
      <c r="O504" s="2989"/>
      <c r="P504" s="2994">
        <f t="shared" si="27"/>
        <v>0</v>
      </c>
      <c r="Q504" s="2993"/>
      <c r="R504" s="2993"/>
      <c r="S504" s="2992"/>
    </row>
    <row r="505" spans="2:19" ht="21" customHeight="1">
      <c r="B505" s="2998"/>
      <c r="C505" s="2989"/>
      <c r="D505" s="2989"/>
      <c r="E505" s="2997"/>
      <c r="F505" s="2989"/>
      <c r="G505" s="2989"/>
      <c r="H505" s="2989"/>
      <c r="I505" s="2989"/>
      <c r="J505" s="2996"/>
      <c r="K505" s="2995"/>
      <c r="L505" s="2995"/>
      <c r="M505" s="2985" t="str">
        <f>IFERROR(ROUND(#REF!*J505/K505,2),"-")</f>
        <v>-</v>
      </c>
      <c r="N505" s="2994" t="str">
        <f t="shared" si="26"/>
        <v/>
      </c>
      <c r="O505" s="2989"/>
      <c r="P505" s="2994">
        <f t="shared" si="27"/>
        <v>0</v>
      </c>
      <c r="Q505" s="2993"/>
      <c r="R505" s="2993"/>
      <c r="S505" s="2992"/>
    </row>
    <row r="506" spans="2:19" ht="21" customHeight="1">
      <c r="B506" s="2998"/>
      <c r="C506" s="2989"/>
      <c r="D506" s="2989"/>
      <c r="E506" s="2997"/>
      <c r="F506" s="2989"/>
      <c r="G506" s="2989"/>
      <c r="H506" s="2989"/>
      <c r="I506" s="2989"/>
      <c r="J506" s="2996"/>
      <c r="K506" s="2995"/>
      <c r="L506" s="2995"/>
      <c r="M506" s="2985" t="str">
        <f>IFERROR(ROUND(#REF!*J506/K506,2),"-")</f>
        <v>-</v>
      </c>
      <c r="N506" s="2994" t="str">
        <f t="shared" si="26"/>
        <v/>
      </c>
      <c r="O506" s="2989"/>
      <c r="P506" s="2994">
        <f t="shared" si="27"/>
        <v>0</v>
      </c>
      <c r="Q506" s="2993"/>
      <c r="R506" s="2993"/>
      <c r="S506" s="2992"/>
    </row>
    <row r="507" spans="2:19" ht="21" customHeight="1">
      <c r="B507" s="2998"/>
      <c r="C507" s="2989"/>
      <c r="D507" s="2989"/>
      <c r="E507" s="2997"/>
      <c r="F507" s="2989"/>
      <c r="G507" s="2989"/>
      <c r="H507" s="2989"/>
      <c r="I507" s="2989"/>
      <c r="J507" s="2996"/>
      <c r="K507" s="2995"/>
      <c r="L507" s="2995"/>
      <c r="M507" s="2985" t="str">
        <f>IFERROR(ROUND(#REF!*J507/K507,2),"-")</f>
        <v>-</v>
      </c>
      <c r="N507" s="2994" t="str">
        <f t="shared" si="26"/>
        <v/>
      </c>
      <c r="O507" s="2989"/>
      <c r="P507" s="2994">
        <f t="shared" si="27"/>
        <v>0</v>
      </c>
      <c r="Q507" s="2993"/>
      <c r="R507" s="2993"/>
      <c r="S507" s="2992"/>
    </row>
    <row r="508" spans="2:19" ht="21" customHeight="1">
      <c r="B508" s="2998"/>
      <c r="C508" s="2989"/>
      <c r="D508" s="2989"/>
      <c r="E508" s="2997"/>
      <c r="F508" s="2989"/>
      <c r="G508" s="2989"/>
      <c r="H508" s="2989"/>
      <c r="I508" s="2989"/>
      <c r="J508" s="2996"/>
      <c r="K508" s="2995"/>
      <c r="L508" s="2995"/>
      <c r="M508" s="2985" t="str">
        <f>IFERROR(ROUND(#REF!*J508/K508,2),"-")</f>
        <v>-</v>
      </c>
      <c r="N508" s="2994" t="str">
        <f t="shared" si="26"/>
        <v/>
      </c>
      <c r="O508" s="2989"/>
      <c r="P508" s="2994">
        <f t="shared" si="27"/>
        <v>0</v>
      </c>
      <c r="Q508" s="2993"/>
      <c r="R508" s="2993"/>
      <c r="S508" s="2992"/>
    </row>
    <row r="509" spans="2:19" ht="21" customHeight="1">
      <c r="B509" s="2998"/>
      <c r="C509" s="2989"/>
      <c r="D509" s="2989"/>
      <c r="E509" s="2997"/>
      <c r="F509" s="2989"/>
      <c r="G509" s="2989"/>
      <c r="H509" s="2989"/>
      <c r="I509" s="2989"/>
      <c r="J509" s="2996"/>
      <c r="K509" s="2995"/>
      <c r="L509" s="2995"/>
      <c r="M509" s="2985" t="str">
        <f>IFERROR(ROUND(#REF!*J509/K509,2),"-")</f>
        <v>-</v>
      </c>
      <c r="N509" s="2994" t="str">
        <f t="shared" si="26"/>
        <v/>
      </c>
      <c r="O509" s="2989"/>
      <c r="P509" s="2994">
        <f t="shared" si="27"/>
        <v>0</v>
      </c>
      <c r="Q509" s="2993"/>
      <c r="R509" s="2993"/>
      <c r="S509" s="2992"/>
    </row>
    <row r="510" spans="2:19" ht="21" customHeight="1">
      <c r="B510" s="2998"/>
      <c r="C510" s="2989"/>
      <c r="D510" s="2989"/>
      <c r="E510" s="2997"/>
      <c r="F510" s="2989"/>
      <c r="G510" s="2989"/>
      <c r="H510" s="2989"/>
      <c r="I510" s="2989"/>
      <c r="J510" s="2996"/>
      <c r="K510" s="2995"/>
      <c r="L510" s="2995"/>
      <c r="M510" s="2985" t="str">
        <f>IFERROR(ROUND(#REF!*J510/K510,2),"-")</f>
        <v>-</v>
      </c>
      <c r="N510" s="2994" t="str">
        <f t="shared" si="26"/>
        <v/>
      </c>
      <c r="O510" s="2989"/>
      <c r="P510" s="2994">
        <f t="shared" si="27"/>
        <v>0</v>
      </c>
      <c r="Q510" s="2993"/>
      <c r="R510" s="2993"/>
      <c r="S510" s="2992"/>
    </row>
    <row r="511" spans="2:19" ht="21" customHeight="1">
      <c r="B511" s="2998"/>
      <c r="C511" s="2989"/>
      <c r="D511" s="2989"/>
      <c r="E511" s="2997"/>
      <c r="F511" s="2989"/>
      <c r="G511" s="2989"/>
      <c r="H511" s="2989"/>
      <c r="I511" s="2989"/>
      <c r="J511" s="2996"/>
      <c r="K511" s="2995"/>
      <c r="L511" s="2995"/>
      <c r="M511" s="2985" t="str">
        <f>IFERROR(ROUND(#REF!*J511/K511,2),"-")</f>
        <v>-</v>
      </c>
      <c r="N511" s="2994" t="str">
        <f t="shared" si="26"/>
        <v/>
      </c>
      <c r="O511" s="2989"/>
      <c r="P511" s="2994">
        <f t="shared" si="27"/>
        <v>0</v>
      </c>
      <c r="Q511" s="2993"/>
      <c r="R511" s="2993"/>
      <c r="S511" s="2992"/>
    </row>
    <row r="512" spans="2:19" ht="21" customHeight="1">
      <c r="B512" s="2998"/>
      <c r="C512" s="2989"/>
      <c r="D512" s="2989"/>
      <c r="E512" s="2997"/>
      <c r="F512" s="2989"/>
      <c r="G512" s="2989"/>
      <c r="H512" s="2989"/>
      <c r="I512" s="2989"/>
      <c r="J512" s="2996"/>
      <c r="K512" s="2995"/>
      <c r="L512" s="2995"/>
      <c r="M512" s="2985" t="str">
        <f>IFERROR(ROUND(#REF!*J512/K512,2),"-")</f>
        <v>-</v>
      </c>
      <c r="N512" s="2994" t="str">
        <f t="shared" si="26"/>
        <v/>
      </c>
      <c r="O512" s="2989"/>
      <c r="P512" s="2994">
        <f t="shared" si="27"/>
        <v>0</v>
      </c>
      <c r="Q512" s="2993"/>
      <c r="R512" s="2993"/>
      <c r="S512" s="2992"/>
    </row>
    <row r="513" spans="2:19" ht="21" customHeight="1">
      <c r="B513" s="2998"/>
      <c r="C513" s="2989"/>
      <c r="D513" s="2989"/>
      <c r="E513" s="2997"/>
      <c r="F513" s="2989"/>
      <c r="G513" s="2989"/>
      <c r="H513" s="2989"/>
      <c r="I513" s="2989"/>
      <c r="J513" s="2996"/>
      <c r="K513" s="2995"/>
      <c r="L513" s="2995"/>
      <c r="M513" s="2985" t="str">
        <f>IFERROR(ROUND(#REF!*J513/K513,2),"-")</f>
        <v>-</v>
      </c>
      <c r="N513" s="2994" t="str">
        <f t="shared" si="26"/>
        <v/>
      </c>
      <c r="O513" s="2989"/>
      <c r="P513" s="2994">
        <f t="shared" si="27"/>
        <v>0</v>
      </c>
      <c r="Q513" s="2993"/>
      <c r="R513" s="2993"/>
      <c r="S513" s="2992"/>
    </row>
    <row r="514" spans="2:19" ht="21" customHeight="1">
      <c r="B514" s="2998"/>
      <c r="C514" s="2989"/>
      <c r="D514" s="2989"/>
      <c r="E514" s="2997"/>
      <c r="F514" s="2989"/>
      <c r="G514" s="2989"/>
      <c r="H514" s="2989"/>
      <c r="I514" s="2989"/>
      <c r="J514" s="2996"/>
      <c r="K514" s="2995"/>
      <c r="L514" s="2995"/>
      <c r="M514" s="2985" t="str">
        <f>IFERROR(ROUND(#REF!*J514/K514,2),"-")</f>
        <v>-</v>
      </c>
      <c r="N514" s="2994" t="str">
        <f t="shared" si="26"/>
        <v/>
      </c>
      <c r="O514" s="2989"/>
      <c r="P514" s="2994">
        <f t="shared" si="27"/>
        <v>0</v>
      </c>
      <c r="Q514" s="2993"/>
      <c r="R514" s="2993"/>
      <c r="S514" s="2992"/>
    </row>
    <row r="515" spans="2:19" ht="21" customHeight="1">
      <c r="B515" s="2998"/>
      <c r="C515" s="2989"/>
      <c r="D515" s="2989"/>
      <c r="E515" s="2997"/>
      <c r="F515" s="2989"/>
      <c r="G515" s="2989"/>
      <c r="H515" s="2989"/>
      <c r="I515" s="2989"/>
      <c r="J515" s="2996"/>
      <c r="K515" s="2995"/>
      <c r="L515" s="2995"/>
      <c r="M515" s="2985" t="str">
        <f>IFERROR(ROUND(#REF!*J515/K515,2),"-")</f>
        <v>-</v>
      </c>
      <c r="N515" s="2994" t="str">
        <f t="shared" si="26"/>
        <v/>
      </c>
      <c r="O515" s="2989"/>
      <c r="P515" s="2994">
        <f t="shared" si="27"/>
        <v>0</v>
      </c>
      <c r="Q515" s="2993"/>
      <c r="R515" s="2993"/>
      <c r="S515" s="2992"/>
    </row>
    <row r="516" spans="2:19" ht="21" customHeight="1">
      <c r="B516" s="2998"/>
      <c r="C516" s="2989"/>
      <c r="D516" s="2989"/>
      <c r="E516" s="2997"/>
      <c r="F516" s="2989"/>
      <c r="G516" s="2989"/>
      <c r="H516" s="2989"/>
      <c r="I516" s="2989"/>
      <c r="J516" s="2996"/>
      <c r="K516" s="2995"/>
      <c r="L516" s="2995"/>
      <c r="M516" s="2985" t="str">
        <f>IFERROR(ROUND(#REF!*J516/K516,2),"-")</f>
        <v>-</v>
      </c>
      <c r="N516" s="2994" t="str">
        <f t="shared" si="26"/>
        <v/>
      </c>
      <c r="O516" s="2989"/>
      <c r="P516" s="2994">
        <f t="shared" si="27"/>
        <v>0</v>
      </c>
      <c r="Q516" s="2993"/>
      <c r="R516" s="2993"/>
      <c r="S516" s="2992"/>
    </row>
    <row r="517" spans="2:19" ht="21" customHeight="1">
      <c r="B517" s="2998"/>
      <c r="C517" s="2989"/>
      <c r="D517" s="2989"/>
      <c r="E517" s="2997"/>
      <c r="F517" s="2989"/>
      <c r="G517" s="2989"/>
      <c r="H517" s="2989"/>
      <c r="I517" s="2989"/>
      <c r="J517" s="2996"/>
      <c r="K517" s="2995"/>
      <c r="L517" s="2995"/>
      <c r="M517" s="2985" t="str">
        <f>IFERROR(ROUND(#REF!*J517/K517,2),"-")</f>
        <v>-</v>
      </c>
      <c r="N517" s="2994" t="str">
        <f t="shared" si="26"/>
        <v/>
      </c>
      <c r="O517" s="2989"/>
      <c r="P517" s="2994">
        <f t="shared" si="27"/>
        <v>0</v>
      </c>
      <c r="Q517" s="2993"/>
      <c r="R517" s="2993"/>
      <c r="S517" s="2992"/>
    </row>
    <row r="518" spans="2:19" ht="21" customHeight="1">
      <c r="B518" s="2998"/>
      <c r="C518" s="2989"/>
      <c r="D518" s="2989"/>
      <c r="E518" s="2997"/>
      <c r="F518" s="2989"/>
      <c r="G518" s="2989"/>
      <c r="H518" s="2989"/>
      <c r="I518" s="2989"/>
      <c r="J518" s="2996"/>
      <c r="K518" s="2995"/>
      <c r="L518" s="2995"/>
      <c r="M518" s="2985" t="str">
        <f>IFERROR(ROUND(#REF!*J518/K518,2),"-")</f>
        <v>-</v>
      </c>
      <c r="N518" s="2994" t="str">
        <f t="shared" si="26"/>
        <v/>
      </c>
      <c r="O518" s="2989"/>
      <c r="P518" s="2994">
        <f t="shared" si="27"/>
        <v>0</v>
      </c>
      <c r="Q518" s="2993"/>
      <c r="R518" s="2993"/>
      <c r="S518" s="2992"/>
    </row>
    <row r="519" spans="2:19" ht="21" customHeight="1">
      <c r="B519" s="2998"/>
      <c r="C519" s="2989"/>
      <c r="D519" s="2989"/>
      <c r="E519" s="2997"/>
      <c r="F519" s="2989"/>
      <c r="G519" s="2989"/>
      <c r="H519" s="2989"/>
      <c r="I519" s="2989"/>
      <c r="J519" s="2996"/>
      <c r="K519" s="2995"/>
      <c r="L519" s="2995"/>
      <c r="M519" s="2985" t="str">
        <f>IFERROR(ROUND(#REF!*J519/K519,2),"-")</f>
        <v>-</v>
      </c>
      <c r="N519" s="2994" t="str">
        <f t="shared" si="26"/>
        <v/>
      </c>
      <c r="O519" s="2989"/>
      <c r="P519" s="2994">
        <f t="shared" si="27"/>
        <v>0</v>
      </c>
      <c r="Q519" s="2993"/>
      <c r="R519" s="2993"/>
      <c r="S519" s="2992"/>
    </row>
    <row r="520" spans="2:19" ht="21" customHeight="1">
      <c r="B520" s="2998"/>
      <c r="C520" s="2989"/>
      <c r="D520" s="2989"/>
      <c r="E520" s="2997"/>
      <c r="F520" s="2989"/>
      <c r="G520" s="2989"/>
      <c r="H520" s="2989"/>
      <c r="I520" s="2989"/>
      <c r="J520" s="2996"/>
      <c r="K520" s="2995"/>
      <c r="L520" s="2995"/>
      <c r="M520" s="2985" t="str">
        <f>IFERROR(ROUND(#REF!*J520/K520,2),"-")</f>
        <v>-</v>
      </c>
      <c r="N520" s="2994" t="str">
        <f t="shared" si="26"/>
        <v/>
      </c>
      <c r="O520" s="2989"/>
      <c r="P520" s="2994">
        <f t="shared" si="27"/>
        <v>0</v>
      </c>
      <c r="Q520" s="2993"/>
      <c r="R520" s="2993"/>
      <c r="S520" s="2992"/>
    </row>
    <row r="521" spans="2:19" ht="21" customHeight="1">
      <c r="B521" s="2998"/>
      <c r="C521" s="2989"/>
      <c r="D521" s="2989"/>
      <c r="E521" s="2997"/>
      <c r="F521" s="2989"/>
      <c r="G521" s="2989"/>
      <c r="H521" s="2989"/>
      <c r="I521" s="2989"/>
      <c r="J521" s="2996"/>
      <c r="K521" s="2995"/>
      <c r="L521" s="2995"/>
      <c r="M521" s="2985" t="str">
        <f>IFERROR(ROUND(#REF!*J521/K521,2),"-")</f>
        <v>-</v>
      </c>
      <c r="N521" s="2994" t="str">
        <f t="shared" si="26"/>
        <v/>
      </c>
      <c r="O521" s="2989"/>
      <c r="P521" s="2994">
        <f t="shared" si="27"/>
        <v>0</v>
      </c>
      <c r="Q521" s="2993"/>
      <c r="R521" s="2993"/>
      <c r="S521" s="2992"/>
    </row>
    <row r="522" spans="2:19" ht="21" customHeight="1">
      <c r="B522" s="2998"/>
      <c r="C522" s="2989"/>
      <c r="D522" s="2989"/>
      <c r="E522" s="2997"/>
      <c r="F522" s="2989"/>
      <c r="G522" s="2989"/>
      <c r="H522" s="2989"/>
      <c r="I522" s="2989"/>
      <c r="J522" s="2996"/>
      <c r="K522" s="2995"/>
      <c r="L522" s="2995"/>
      <c r="M522" s="2985" t="str">
        <f>IFERROR(ROUND(#REF!*J522/K522,2),"-")</f>
        <v>-</v>
      </c>
      <c r="N522" s="2994" t="str">
        <f t="shared" si="26"/>
        <v/>
      </c>
      <c r="O522" s="2989"/>
      <c r="P522" s="2994">
        <f t="shared" si="27"/>
        <v>0</v>
      </c>
      <c r="Q522" s="2993"/>
      <c r="R522" s="2993"/>
      <c r="S522" s="2992"/>
    </row>
    <row r="523" spans="2:19" ht="21" customHeight="1">
      <c r="B523" s="2998"/>
      <c r="C523" s="2989"/>
      <c r="D523" s="2989"/>
      <c r="E523" s="2997"/>
      <c r="F523" s="2989"/>
      <c r="G523" s="2989"/>
      <c r="H523" s="2989"/>
      <c r="I523" s="2989"/>
      <c r="J523" s="2996"/>
      <c r="K523" s="2995"/>
      <c r="L523" s="2995"/>
      <c r="M523" s="2985" t="str">
        <f>IFERROR(ROUND(#REF!*J523/K523,2),"-")</f>
        <v>-</v>
      </c>
      <c r="N523" s="2994" t="str">
        <f t="shared" si="26"/>
        <v/>
      </c>
      <c r="O523" s="2989"/>
      <c r="P523" s="2994">
        <f t="shared" si="27"/>
        <v>0</v>
      </c>
      <c r="Q523" s="2993"/>
      <c r="R523" s="2993"/>
      <c r="S523" s="2992"/>
    </row>
    <row r="524" spans="2:19" ht="21" customHeight="1">
      <c r="B524" s="2998"/>
      <c r="C524" s="2989"/>
      <c r="D524" s="2989"/>
      <c r="E524" s="2997"/>
      <c r="F524" s="2989"/>
      <c r="G524" s="2989"/>
      <c r="H524" s="2989"/>
      <c r="I524" s="2989"/>
      <c r="J524" s="2996"/>
      <c r="K524" s="2995"/>
      <c r="L524" s="2995"/>
      <c r="M524" s="2985" t="str">
        <f>IFERROR(ROUND(#REF!*J524/K524,2),"-")</f>
        <v>-</v>
      </c>
      <c r="N524" s="2994" t="str">
        <f t="shared" si="26"/>
        <v/>
      </c>
      <c r="O524" s="2989"/>
      <c r="P524" s="2994">
        <f t="shared" si="27"/>
        <v>0</v>
      </c>
      <c r="Q524" s="2993"/>
      <c r="R524" s="2993"/>
      <c r="S524" s="2992"/>
    </row>
    <row r="525" spans="2:19" ht="21" customHeight="1">
      <c r="B525" s="2998"/>
      <c r="C525" s="2989"/>
      <c r="D525" s="2989"/>
      <c r="E525" s="2997"/>
      <c r="F525" s="2989"/>
      <c r="G525" s="2989"/>
      <c r="H525" s="2989"/>
      <c r="I525" s="2989"/>
      <c r="J525" s="2996"/>
      <c r="K525" s="2995"/>
      <c r="L525" s="2995"/>
      <c r="M525" s="2985" t="str">
        <f>IFERROR(ROUND(#REF!*J525/K525,2),"-")</f>
        <v>-</v>
      </c>
      <c r="N525" s="2994" t="str">
        <f t="shared" si="26"/>
        <v/>
      </c>
      <c r="O525" s="2989"/>
      <c r="P525" s="2994">
        <f t="shared" si="27"/>
        <v>0</v>
      </c>
      <c r="Q525" s="2993"/>
      <c r="R525" s="2993"/>
      <c r="S525" s="2992"/>
    </row>
    <row r="526" spans="2:19" ht="21" customHeight="1">
      <c r="B526" s="2998"/>
      <c r="C526" s="2989"/>
      <c r="D526" s="2989"/>
      <c r="E526" s="2997"/>
      <c r="F526" s="2989"/>
      <c r="G526" s="2989"/>
      <c r="H526" s="2989"/>
      <c r="I526" s="2989"/>
      <c r="J526" s="2996"/>
      <c r="K526" s="2995"/>
      <c r="L526" s="2995"/>
      <c r="M526" s="2985" t="str">
        <f>IFERROR(ROUND(#REF!*J526/K526,2),"-")</f>
        <v>-</v>
      </c>
      <c r="N526" s="2994" t="str">
        <f t="shared" si="26"/>
        <v/>
      </c>
      <c r="O526" s="2989"/>
      <c r="P526" s="2994">
        <f t="shared" si="27"/>
        <v>0</v>
      </c>
      <c r="Q526" s="2993"/>
      <c r="R526" s="2993"/>
      <c r="S526" s="2992"/>
    </row>
    <row r="527" spans="2:19" ht="21" customHeight="1">
      <c r="B527" s="2998"/>
      <c r="C527" s="2989"/>
      <c r="D527" s="2989"/>
      <c r="E527" s="2997"/>
      <c r="F527" s="2989"/>
      <c r="G527" s="2989"/>
      <c r="H527" s="2989"/>
      <c r="I527" s="2989"/>
      <c r="J527" s="2996"/>
      <c r="K527" s="2995"/>
      <c r="L527" s="2995"/>
      <c r="M527" s="2985" t="str">
        <f>IFERROR(ROUND(#REF!*J527/K527,2),"-")</f>
        <v>-</v>
      </c>
      <c r="N527" s="2994" t="str">
        <f t="shared" si="26"/>
        <v/>
      </c>
      <c r="O527" s="2989"/>
      <c r="P527" s="2994">
        <f t="shared" si="27"/>
        <v>0</v>
      </c>
      <c r="Q527" s="2993"/>
      <c r="R527" s="2993"/>
      <c r="S527" s="2992"/>
    </row>
    <row r="528" spans="2:19" ht="21" customHeight="1">
      <c r="B528" s="2998"/>
      <c r="C528" s="2989"/>
      <c r="D528" s="2989"/>
      <c r="E528" s="2997"/>
      <c r="F528" s="2989"/>
      <c r="G528" s="2989"/>
      <c r="H528" s="2989"/>
      <c r="I528" s="2989"/>
      <c r="J528" s="2996"/>
      <c r="K528" s="2995"/>
      <c r="L528" s="2995"/>
      <c r="M528" s="2985" t="str">
        <f>IFERROR(ROUND(#REF!*J528/K528,2),"-")</f>
        <v>-</v>
      </c>
      <c r="N528" s="2994" t="str">
        <f t="shared" si="26"/>
        <v/>
      </c>
      <c r="O528" s="2989"/>
      <c r="P528" s="2994">
        <f t="shared" si="27"/>
        <v>0</v>
      </c>
      <c r="Q528" s="2993"/>
      <c r="R528" s="2993"/>
      <c r="S528" s="2992"/>
    </row>
    <row r="529" spans="2:19" ht="21" customHeight="1">
      <c r="B529" s="2998"/>
      <c r="C529" s="2989"/>
      <c r="D529" s="2989"/>
      <c r="E529" s="2997"/>
      <c r="F529" s="2989"/>
      <c r="G529" s="2989"/>
      <c r="H529" s="2989"/>
      <c r="I529" s="2989"/>
      <c r="J529" s="2996"/>
      <c r="K529" s="2995"/>
      <c r="L529" s="2995"/>
      <c r="M529" s="2985" t="str">
        <f>IFERROR(ROUND(#REF!*J529/K529,2),"-")</f>
        <v>-</v>
      </c>
      <c r="N529" s="2994" t="str">
        <f t="shared" si="26"/>
        <v/>
      </c>
      <c r="O529" s="2989"/>
      <c r="P529" s="2994">
        <f t="shared" si="27"/>
        <v>0</v>
      </c>
      <c r="Q529" s="2993"/>
      <c r="R529" s="2993"/>
      <c r="S529" s="2992"/>
    </row>
    <row r="530" spans="2:19" ht="21" customHeight="1">
      <c r="B530" s="2998"/>
      <c r="C530" s="2989"/>
      <c r="D530" s="2989"/>
      <c r="E530" s="2997"/>
      <c r="F530" s="2989"/>
      <c r="G530" s="2989"/>
      <c r="H530" s="2989"/>
      <c r="I530" s="2989"/>
      <c r="J530" s="2996"/>
      <c r="K530" s="2995"/>
      <c r="L530" s="2995"/>
      <c r="M530" s="2985" t="str">
        <f>IFERROR(ROUND(#REF!*J530/K530,2),"-")</f>
        <v>-</v>
      </c>
      <c r="N530" s="2994" t="str">
        <f t="shared" si="26"/>
        <v/>
      </c>
      <c r="O530" s="2989"/>
      <c r="P530" s="2994">
        <f t="shared" si="27"/>
        <v>0</v>
      </c>
      <c r="Q530" s="2993"/>
      <c r="R530" s="2993"/>
      <c r="S530" s="2992"/>
    </row>
    <row r="531" spans="2:19" ht="21" customHeight="1">
      <c r="B531" s="2998"/>
      <c r="C531" s="2989"/>
      <c r="D531" s="2989"/>
      <c r="E531" s="2997"/>
      <c r="F531" s="2989"/>
      <c r="G531" s="2989"/>
      <c r="H531" s="2989"/>
      <c r="I531" s="2989"/>
      <c r="J531" s="2996"/>
      <c r="K531" s="2995"/>
      <c r="L531" s="2995"/>
      <c r="M531" s="2985" t="str">
        <f>IFERROR(ROUND(#REF!*J531/K531,2),"-")</f>
        <v>-</v>
      </c>
      <c r="N531" s="2994" t="str">
        <f t="shared" si="26"/>
        <v/>
      </c>
      <c r="O531" s="2989"/>
      <c r="P531" s="2994">
        <f t="shared" si="27"/>
        <v>0</v>
      </c>
      <c r="Q531" s="2993"/>
      <c r="R531" s="2993"/>
      <c r="S531" s="2992"/>
    </row>
    <row r="532" spans="2:19" ht="21" customHeight="1">
      <c r="B532" s="2998"/>
      <c r="C532" s="2989"/>
      <c r="D532" s="2989"/>
      <c r="E532" s="2997"/>
      <c r="F532" s="2989"/>
      <c r="G532" s="2989"/>
      <c r="H532" s="2989"/>
      <c r="I532" s="2989"/>
      <c r="J532" s="2996"/>
      <c r="K532" s="2995"/>
      <c r="L532" s="2995"/>
      <c r="M532" s="2985" t="str">
        <f>IFERROR(ROUND(#REF!*J532/K532,2),"-")</f>
        <v>-</v>
      </c>
      <c r="N532" s="2994" t="str">
        <f t="shared" si="26"/>
        <v/>
      </c>
      <c r="O532" s="2989"/>
      <c r="P532" s="2994">
        <f t="shared" si="27"/>
        <v>0</v>
      </c>
      <c r="Q532" s="2993"/>
      <c r="R532" s="2993"/>
      <c r="S532" s="2992"/>
    </row>
    <row r="533" spans="2:19" ht="21" customHeight="1">
      <c r="B533" s="2998"/>
      <c r="C533" s="2989"/>
      <c r="D533" s="2989"/>
      <c r="E533" s="2997"/>
      <c r="F533" s="2989"/>
      <c r="G533" s="2989"/>
      <c r="H533" s="2989"/>
      <c r="I533" s="2989"/>
      <c r="J533" s="2996"/>
      <c r="K533" s="2995"/>
      <c r="L533" s="2995"/>
      <c r="M533" s="2985" t="str">
        <f>IFERROR(ROUND(#REF!*J533/K533,2),"-")</f>
        <v>-</v>
      </c>
      <c r="N533" s="2994" t="str">
        <f t="shared" si="26"/>
        <v/>
      </c>
      <c r="O533" s="2989"/>
      <c r="P533" s="2994">
        <f t="shared" si="27"/>
        <v>0</v>
      </c>
      <c r="Q533" s="2993"/>
      <c r="R533" s="2993"/>
      <c r="S533" s="2992"/>
    </row>
    <row r="534" spans="2:19" ht="21" customHeight="1">
      <c r="B534" s="2998"/>
      <c r="C534" s="2989"/>
      <c r="D534" s="2989"/>
      <c r="E534" s="2997"/>
      <c r="F534" s="2989"/>
      <c r="G534" s="2989"/>
      <c r="H534" s="2989"/>
      <c r="I534" s="2989"/>
      <c r="J534" s="2996"/>
      <c r="K534" s="2995"/>
      <c r="L534" s="2995"/>
      <c r="M534" s="2985" t="str">
        <f>IFERROR(ROUND(#REF!*J534/K534,2),"-")</f>
        <v>-</v>
      </c>
      <c r="N534" s="2994" t="str">
        <f t="shared" si="26"/>
        <v/>
      </c>
      <c r="O534" s="2989"/>
      <c r="P534" s="2994">
        <f t="shared" si="27"/>
        <v>0</v>
      </c>
      <c r="Q534" s="2993"/>
      <c r="R534" s="2993"/>
      <c r="S534" s="2992"/>
    </row>
    <row r="535" spans="2:19" ht="21" customHeight="1">
      <c r="B535" s="2998"/>
      <c r="C535" s="2989"/>
      <c r="D535" s="2989"/>
      <c r="E535" s="2997"/>
      <c r="F535" s="2989"/>
      <c r="G535" s="2989"/>
      <c r="H535" s="2989"/>
      <c r="I535" s="2989"/>
      <c r="J535" s="2996"/>
      <c r="K535" s="2995"/>
      <c r="L535" s="2995"/>
      <c r="M535" s="2985" t="str">
        <f>IFERROR(ROUND(#REF!*J535/K535,2),"-")</f>
        <v>-</v>
      </c>
      <c r="N535" s="2994" t="str">
        <f t="shared" si="26"/>
        <v/>
      </c>
      <c r="O535" s="2989"/>
      <c r="P535" s="2994">
        <f t="shared" si="27"/>
        <v>0</v>
      </c>
      <c r="Q535" s="2993"/>
      <c r="R535" s="2993"/>
      <c r="S535" s="2992"/>
    </row>
    <row r="536" spans="2:19" ht="21" customHeight="1">
      <c r="B536" s="2998"/>
      <c r="C536" s="2989"/>
      <c r="D536" s="2989"/>
      <c r="E536" s="2997"/>
      <c r="F536" s="2989"/>
      <c r="G536" s="2989"/>
      <c r="H536" s="2989"/>
      <c r="I536" s="2989"/>
      <c r="J536" s="2996"/>
      <c r="K536" s="2995"/>
      <c r="L536" s="2995"/>
      <c r="M536" s="2985" t="str">
        <f>IFERROR(ROUND(#REF!*J536/K536,2),"-")</f>
        <v>-</v>
      </c>
      <c r="N536" s="2994" t="str">
        <f t="shared" si="26"/>
        <v/>
      </c>
      <c r="O536" s="2989"/>
      <c r="P536" s="2994">
        <f t="shared" si="27"/>
        <v>0</v>
      </c>
      <c r="Q536" s="2993"/>
      <c r="R536" s="2993"/>
      <c r="S536" s="2992"/>
    </row>
    <row r="537" spans="2:19" ht="21" customHeight="1">
      <c r="B537" s="2998"/>
      <c r="C537" s="2989"/>
      <c r="D537" s="2989"/>
      <c r="E537" s="2997"/>
      <c r="F537" s="2989"/>
      <c r="G537" s="2989"/>
      <c r="H537" s="2989"/>
      <c r="I537" s="2989"/>
      <c r="J537" s="2996"/>
      <c r="K537" s="2995"/>
      <c r="L537" s="2995"/>
      <c r="M537" s="2985" t="str">
        <f>IFERROR(ROUND(#REF!*J537/K537,2),"-")</f>
        <v>-</v>
      </c>
      <c r="N537" s="2994" t="str">
        <f t="shared" si="26"/>
        <v/>
      </c>
      <c r="O537" s="2989"/>
      <c r="P537" s="2994">
        <f t="shared" si="27"/>
        <v>0</v>
      </c>
      <c r="Q537" s="2993"/>
      <c r="R537" s="2993"/>
      <c r="S537" s="2992"/>
    </row>
    <row r="538" spans="2:19" ht="21" customHeight="1">
      <c r="B538" s="2998"/>
      <c r="C538" s="2989"/>
      <c r="D538" s="2989"/>
      <c r="E538" s="2997"/>
      <c r="F538" s="2989"/>
      <c r="G538" s="2989"/>
      <c r="H538" s="2989"/>
      <c r="I538" s="2989"/>
      <c r="J538" s="2996"/>
      <c r="K538" s="2995"/>
      <c r="L538" s="2995"/>
      <c r="M538" s="2985" t="str">
        <f>IFERROR(ROUND(#REF!*J538/K538,2),"-")</f>
        <v>-</v>
      </c>
      <c r="N538" s="2994" t="str">
        <f t="shared" si="26"/>
        <v/>
      </c>
      <c r="O538" s="2989"/>
      <c r="P538" s="2994">
        <f t="shared" si="27"/>
        <v>0</v>
      </c>
      <c r="Q538" s="2993"/>
      <c r="R538" s="2993"/>
      <c r="S538" s="2992"/>
    </row>
    <row r="539" spans="2:19" ht="21" customHeight="1">
      <c r="B539" s="2998"/>
      <c r="C539" s="2989"/>
      <c r="D539" s="2989"/>
      <c r="E539" s="2997"/>
      <c r="F539" s="2989"/>
      <c r="G539" s="2989"/>
      <c r="H539" s="2989"/>
      <c r="I539" s="2989"/>
      <c r="J539" s="2996"/>
      <c r="K539" s="2995"/>
      <c r="L539" s="2995"/>
      <c r="M539" s="2985" t="str">
        <f>IFERROR(ROUND(#REF!*J539/K539,2),"-")</f>
        <v>-</v>
      </c>
      <c r="N539" s="2994" t="str">
        <f t="shared" ref="N539:N602" si="28">IFERROR(M539*K539,"")</f>
        <v/>
      </c>
      <c r="O539" s="2989"/>
      <c r="P539" s="2994">
        <f t="shared" ref="P539:P602" si="29">IFERROR(K539*O539,"-")</f>
        <v>0</v>
      </c>
      <c r="Q539" s="2993"/>
      <c r="R539" s="2993"/>
      <c r="S539" s="2992"/>
    </row>
    <row r="540" spans="2:19" ht="21" customHeight="1">
      <c r="B540" s="2998"/>
      <c r="C540" s="2989"/>
      <c r="D540" s="2989"/>
      <c r="E540" s="2997"/>
      <c r="F540" s="2989"/>
      <c r="G540" s="2989"/>
      <c r="H540" s="2989"/>
      <c r="I540" s="2989"/>
      <c r="J540" s="2996"/>
      <c r="K540" s="2995"/>
      <c r="L540" s="2995"/>
      <c r="M540" s="2985" t="str">
        <f>IFERROR(ROUND(#REF!*J540/K540,2),"-")</f>
        <v>-</v>
      </c>
      <c r="N540" s="2994" t="str">
        <f t="shared" si="28"/>
        <v/>
      </c>
      <c r="O540" s="2989"/>
      <c r="P540" s="2994">
        <f t="shared" si="29"/>
        <v>0</v>
      </c>
      <c r="Q540" s="2993"/>
      <c r="R540" s="2993"/>
      <c r="S540" s="2992"/>
    </row>
    <row r="541" spans="2:19" ht="21" customHeight="1">
      <c r="B541" s="2998"/>
      <c r="C541" s="2989"/>
      <c r="D541" s="2989"/>
      <c r="E541" s="2997"/>
      <c r="F541" s="2989"/>
      <c r="G541" s="2989"/>
      <c r="H541" s="2989"/>
      <c r="I541" s="2989"/>
      <c r="J541" s="2996"/>
      <c r="K541" s="2995"/>
      <c r="L541" s="2995"/>
      <c r="M541" s="2985" t="str">
        <f>IFERROR(ROUND(#REF!*J541/K541,2),"-")</f>
        <v>-</v>
      </c>
      <c r="N541" s="2994" t="str">
        <f t="shared" si="28"/>
        <v/>
      </c>
      <c r="O541" s="2989"/>
      <c r="P541" s="2994">
        <f t="shared" si="29"/>
        <v>0</v>
      </c>
      <c r="Q541" s="2993"/>
      <c r="R541" s="2993"/>
      <c r="S541" s="2992"/>
    </row>
    <row r="542" spans="2:19" ht="21" customHeight="1">
      <c r="B542" s="2998"/>
      <c r="C542" s="2989"/>
      <c r="D542" s="2989"/>
      <c r="E542" s="2997"/>
      <c r="F542" s="2989"/>
      <c r="G542" s="2989"/>
      <c r="H542" s="2989"/>
      <c r="I542" s="2989"/>
      <c r="J542" s="2996"/>
      <c r="K542" s="2995"/>
      <c r="L542" s="2995"/>
      <c r="M542" s="2985" t="str">
        <f>IFERROR(ROUND(#REF!*J542/K542,2),"-")</f>
        <v>-</v>
      </c>
      <c r="N542" s="2994" t="str">
        <f t="shared" si="28"/>
        <v/>
      </c>
      <c r="O542" s="2989"/>
      <c r="P542" s="2994">
        <f t="shared" si="29"/>
        <v>0</v>
      </c>
      <c r="Q542" s="2993"/>
      <c r="R542" s="2993"/>
      <c r="S542" s="2992"/>
    </row>
    <row r="543" spans="2:19" ht="21" customHeight="1">
      <c r="B543" s="2998"/>
      <c r="C543" s="2989"/>
      <c r="D543" s="2989"/>
      <c r="E543" s="2997"/>
      <c r="F543" s="2989"/>
      <c r="G543" s="2989"/>
      <c r="H543" s="2989"/>
      <c r="I543" s="2989"/>
      <c r="J543" s="2996"/>
      <c r="K543" s="2995"/>
      <c r="L543" s="2995"/>
      <c r="M543" s="2985" t="str">
        <f>IFERROR(ROUND(#REF!*J543/K543,2),"-")</f>
        <v>-</v>
      </c>
      <c r="N543" s="2994" t="str">
        <f t="shared" si="28"/>
        <v/>
      </c>
      <c r="O543" s="2989"/>
      <c r="P543" s="2994">
        <f t="shared" si="29"/>
        <v>0</v>
      </c>
      <c r="Q543" s="2993"/>
      <c r="R543" s="2993"/>
      <c r="S543" s="2992"/>
    </row>
    <row r="544" spans="2:19" ht="21" customHeight="1">
      <c r="B544" s="2998"/>
      <c r="C544" s="2989"/>
      <c r="D544" s="2989"/>
      <c r="E544" s="2997"/>
      <c r="F544" s="2989"/>
      <c r="G544" s="2989"/>
      <c r="H544" s="2989"/>
      <c r="I544" s="2989"/>
      <c r="J544" s="2996"/>
      <c r="K544" s="2995"/>
      <c r="L544" s="2995"/>
      <c r="M544" s="2985" t="str">
        <f>IFERROR(ROUND(#REF!*J544/K544,2),"-")</f>
        <v>-</v>
      </c>
      <c r="N544" s="2994" t="str">
        <f t="shared" si="28"/>
        <v/>
      </c>
      <c r="O544" s="2989"/>
      <c r="P544" s="2994">
        <f t="shared" si="29"/>
        <v>0</v>
      </c>
      <c r="Q544" s="2993"/>
      <c r="R544" s="2993"/>
      <c r="S544" s="2992"/>
    </row>
    <row r="545" spans="2:19" ht="21" customHeight="1">
      <c r="B545" s="2998"/>
      <c r="C545" s="2989"/>
      <c r="D545" s="2989"/>
      <c r="E545" s="2997"/>
      <c r="F545" s="2989"/>
      <c r="G545" s="2989"/>
      <c r="H545" s="2989"/>
      <c r="I545" s="2989"/>
      <c r="J545" s="2996"/>
      <c r="K545" s="2995"/>
      <c r="L545" s="2995"/>
      <c r="M545" s="2985" t="str">
        <f>IFERROR(ROUND(#REF!*J545/K545,2),"-")</f>
        <v>-</v>
      </c>
      <c r="N545" s="2994" t="str">
        <f t="shared" si="28"/>
        <v/>
      </c>
      <c r="O545" s="2989"/>
      <c r="P545" s="2994">
        <f t="shared" si="29"/>
        <v>0</v>
      </c>
      <c r="Q545" s="2993"/>
      <c r="R545" s="2993"/>
      <c r="S545" s="2992"/>
    </row>
    <row r="546" spans="2:19" ht="21" customHeight="1">
      <c r="B546" s="2998"/>
      <c r="C546" s="2989"/>
      <c r="D546" s="2989"/>
      <c r="E546" s="2997"/>
      <c r="F546" s="2989"/>
      <c r="G546" s="2989"/>
      <c r="H546" s="2989"/>
      <c r="I546" s="2989"/>
      <c r="J546" s="2996"/>
      <c r="K546" s="2995"/>
      <c r="L546" s="2995"/>
      <c r="M546" s="2985" t="str">
        <f>IFERROR(ROUND(#REF!*J546/K546,2),"-")</f>
        <v>-</v>
      </c>
      <c r="N546" s="2994" t="str">
        <f t="shared" si="28"/>
        <v/>
      </c>
      <c r="O546" s="2989"/>
      <c r="P546" s="2994">
        <f t="shared" si="29"/>
        <v>0</v>
      </c>
      <c r="Q546" s="2993"/>
      <c r="R546" s="2993"/>
      <c r="S546" s="2992"/>
    </row>
    <row r="547" spans="2:19" ht="21" customHeight="1">
      <c r="B547" s="2998"/>
      <c r="C547" s="2989"/>
      <c r="D547" s="2989"/>
      <c r="E547" s="2997"/>
      <c r="F547" s="2989"/>
      <c r="G547" s="2989"/>
      <c r="H547" s="2989"/>
      <c r="I547" s="2989"/>
      <c r="J547" s="2996"/>
      <c r="K547" s="2995"/>
      <c r="L547" s="2995"/>
      <c r="M547" s="2985" t="str">
        <f>IFERROR(ROUND(#REF!*J547/K547,2),"-")</f>
        <v>-</v>
      </c>
      <c r="N547" s="2994" t="str">
        <f t="shared" si="28"/>
        <v/>
      </c>
      <c r="O547" s="2989"/>
      <c r="P547" s="2994">
        <f t="shared" si="29"/>
        <v>0</v>
      </c>
      <c r="Q547" s="2993"/>
      <c r="R547" s="2993"/>
      <c r="S547" s="2992"/>
    </row>
    <row r="548" spans="2:19" ht="21" customHeight="1">
      <c r="B548" s="2998"/>
      <c r="C548" s="2989"/>
      <c r="D548" s="2989"/>
      <c r="E548" s="2997"/>
      <c r="F548" s="2989"/>
      <c r="G548" s="2989"/>
      <c r="H548" s="2989"/>
      <c r="I548" s="2989"/>
      <c r="J548" s="2996"/>
      <c r="K548" s="2995"/>
      <c r="L548" s="2995"/>
      <c r="M548" s="2985" t="str">
        <f>IFERROR(ROUND(#REF!*J548/K548,2),"-")</f>
        <v>-</v>
      </c>
      <c r="N548" s="2994" t="str">
        <f t="shared" si="28"/>
        <v/>
      </c>
      <c r="O548" s="2989"/>
      <c r="P548" s="2994">
        <f t="shared" si="29"/>
        <v>0</v>
      </c>
      <c r="Q548" s="2993"/>
      <c r="R548" s="2993"/>
      <c r="S548" s="2992"/>
    </row>
    <row r="549" spans="2:19" ht="21" customHeight="1">
      <c r="B549" s="2998"/>
      <c r="C549" s="2989"/>
      <c r="D549" s="2989"/>
      <c r="E549" s="2997"/>
      <c r="F549" s="2989"/>
      <c r="G549" s="2989"/>
      <c r="H549" s="2989"/>
      <c r="I549" s="2989"/>
      <c r="J549" s="2996"/>
      <c r="K549" s="2995"/>
      <c r="L549" s="2995"/>
      <c r="M549" s="2985" t="str">
        <f>IFERROR(ROUND(#REF!*J549/K549,2),"-")</f>
        <v>-</v>
      </c>
      <c r="N549" s="2994" t="str">
        <f t="shared" si="28"/>
        <v/>
      </c>
      <c r="O549" s="2989"/>
      <c r="P549" s="2994">
        <f t="shared" si="29"/>
        <v>0</v>
      </c>
      <c r="Q549" s="2993"/>
      <c r="R549" s="2993"/>
      <c r="S549" s="2992"/>
    </row>
    <row r="550" spans="2:19" ht="21" customHeight="1">
      <c r="B550" s="2998"/>
      <c r="C550" s="2989"/>
      <c r="D550" s="2989"/>
      <c r="E550" s="2997"/>
      <c r="F550" s="2989"/>
      <c r="G550" s="2989"/>
      <c r="H550" s="2989"/>
      <c r="I550" s="2989"/>
      <c r="J550" s="2996"/>
      <c r="K550" s="2995"/>
      <c r="L550" s="2995"/>
      <c r="M550" s="2985" t="str">
        <f>IFERROR(ROUND(#REF!*J550/K550,2),"-")</f>
        <v>-</v>
      </c>
      <c r="N550" s="2994" t="str">
        <f t="shared" si="28"/>
        <v/>
      </c>
      <c r="O550" s="2989"/>
      <c r="P550" s="2994">
        <f t="shared" si="29"/>
        <v>0</v>
      </c>
      <c r="Q550" s="2993"/>
      <c r="R550" s="2993"/>
      <c r="S550" s="2992"/>
    </row>
    <row r="551" spans="2:19" ht="21" customHeight="1">
      <c r="B551" s="2998"/>
      <c r="C551" s="2989"/>
      <c r="D551" s="2989"/>
      <c r="E551" s="2997"/>
      <c r="F551" s="2989"/>
      <c r="G551" s="2989"/>
      <c r="H551" s="2989"/>
      <c r="I551" s="2989"/>
      <c r="J551" s="2996"/>
      <c r="K551" s="2995"/>
      <c r="L551" s="2995"/>
      <c r="M551" s="2985" t="str">
        <f>IFERROR(ROUND(#REF!*J551/K551,2),"-")</f>
        <v>-</v>
      </c>
      <c r="N551" s="2994" t="str">
        <f t="shared" si="28"/>
        <v/>
      </c>
      <c r="O551" s="2989"/>
      <c r="P551" s="2994">
        <f t="shared" si="29"/>
        <v>0</v>
      </c>
      <c r="Q551" s="2993"/>
      <c r="R551" s="2993"/>
      <c r="S551" s="2992"/>
    </row>
    <row r="552" spans="2:19" ht="21" customHeight="1">
      <c r="B552" s="2998"/>
      <c r="C552" s="2989"/>
      <c r="D552" s="2989"/>
      <c r="E552" s="2997"/>
      <c r="F552" s="2989"/>
      <c r="G552" s="2989"/>
      <c r="H552" s="2989"/>
      <c r="I552" s="2989"/>
      <c r="J552" s="2996"/>
      <c r="K552" s="2995"/>
      <c r="L552" s="2995"/>
      <c r="M552" s="2985" t="str">
        <f>IFERROR(ROUND(#REF!*J552/K552,2),"-")</f>
        <v>-</v>
      </c>
      <c r="N552" s="2994" t="str">
        <f t="shared" si="28"/>
        <v/>
      </c>
      <c r="O552" s="2989"/>
      <c r="P552" s="2994">
        <f t="shared" si="29"/>
        <v>0</v>
      </c>
      <c r="Q552" s="2993"/>
      <c r="R552" s="2993"/>
      <c r="S552" s="2992"/>
    </row>
    <row r="553" spans="2:19" ht="21" customHeight="1">
      <c r="B553" s="2998"/>
      <c r="C553" s="2989"/>
      <c r="D553" s="2989"/>
      <c r="E553" s="2997"/>
      <c r="F553" s="2989"/>
      <c r="G553" s="2989"/>
      <c r="H553" s="2989"/>
      <c r="I553" s="2989"/>
      <c r="J553" s="2996"/>
      <c r="K553" s="2995"/>
      <c r="L553" s="2995"/>
      <c r="M553" s="2985" t="str">
        <f>IFERROR(ROUND(#REF!*J553/K553,2),"-")</f>
        <v>-</v>
      </c>
      <c r="N553" s="2994" t="str">
        <f t="shared" si="28"/>
        <v/>
      </c>
      <c r="O553" s="2989"/>
      <c r="P553" s="2994">
        <f t="shared" si="29"/>
        <v>0</v>
      </c>
      <c r="Q553" s="2993"/>
      <c r="R553" s="2993"/>
      <c r="S553" s="2992"/>
    </row>
    <row r="554" spans="2:19" ht="21" customHeight="1">
      <c r="B554" s="2998"/>
      <c r="C554" s="2989"/>
      <c r="D554" s="2989"/>
      <c r="E554" s="2997"/>
      <c r="F554" s="2989"/>
      <c r="G554" s="2989"/>
      <c r="H554" s="2989"/>
      <c r="I554" s="2989"/>
      <c r="J554" s="2996"/>
      <c r="K554" s="2995"/>
      <c r="L554" s="2995"/>
      <c r="M554" s="2985" t="str">
        <f>IFERROR(ROUND(#REF!*J554/K554,2),"-")</f>
        <v>-</v>
      </c>
      <c r="N554" s="2994" t="str">
        <f t="shared" si="28"/>
        <v/>
      </c>
      <c r="O554" s="2989"/>
      <c r="P554" s="2994">
        <f t="shared" si="29"/>
        <v>0</v>
      </c>
      <c r="Q554" s="2993"/>
      <c r="R554" s="2993"/>
      <c r="S554" s="2992"/>
    </row>
    <row r="555" spans="2:19" ht="21" customHeight="1">
      <c r="B555" s="2998"/>
      <c r="C555" s="2989"/>
      <c r="D555" s="2989"/>
      <c r="E555" s="2997"/>
      <c r="F555" s="2989"/>
      <c r="G555" s="2989"/>
      <c r="H555" s="2989"/>
      <c r="I555" s="2989"/>
      <c r="J555" s="2996"/>
      <c r="K555" s="2995"/>
      <c r="L555" s="2995"/>
      <c r="M555" s="2985" t="str">
        <f>IFERROR(ROUND(#REF!*J555/K555,2),"-")</f>
        <v>-</v>
      </c>
      <c r="N555" s="2994" t="str">
        <f t="shared" si="28"/>
        <v/>
      </c>
      <c r="O555" s="2989"/>
      <c r="P555" s="2994">
        <f t="shared" si="29"/>
        <v>0</v>
      </c>
      <c r="Q555" s="2993"/>
      <c r="R555" s="2993"/>
      <c r="S555" s="2992"/>
    </row>
    <row r="556" spans="2:19" ht="21" customHeight="1">
      <c r="B556" s="2998"/>
      <c r="C556" s="2989"/>
      <c r="D556" s="2989"/>
      <c r="E556" s="2997"/>
      <c r="F556" s="2989"/>
      <c r="G556" s="2989"/>
      <c r="H556" s="2989"/>
      <c r="I556" s="2989"/>
      <c r="J556" s="2996"/>
      <c r="K556" s="2995"/>
      <c r="L556" s="2995"/>
      <c r="M556" s="2985" t="str">
        <f>IFERROR(ROUND(#REF!*J556/K556,2),"-")</f>
        <v>-</v>
      </c>
      <c r="N556" s="2994" t="str">
        <f t="shared" si="28"/>
        <v/>
      </c>
      <c r="O556" s="2989"/>
      <c r="P556" s="2994">
        <f t="shared" si="29"/>
        <v>0</v>
      </c>
      <c r="Q556" s="2993"/>
      <c r="R556" s="2993"/>
      <c r="S556" s="2992"/>
    </row>
    <row r="557" spans="2:19" ht="21" customHeight="1">
      <c r="B557" s="2998"/>
      <c r="C557" s="2989"/>
      <c r="D557" s="2989"/>
      <c r="E557" s="2997"/>
      <c r="F557" s="2989"/>
      <c r="G557" s="2989"/>
      <c r="H557" s="2989"/>
      <c r="I557" s="2989"/>
      <c r="J557" s="2996"/>
      <c r="K557" s="2995"/>
      <c r="L557" s="2995"/>
      <c r="M557" s="2985" t="str">
        <f>IFERROR(ROUND(#REF!*J557/K557,2),"-")</f>
        <v>-</v>
      </c>
      <c r="N557" s="2994" t="str">
        <f t="shared" si="28"/>
        <v/>
      </c>
      <c r="O557" s="2989"/>
      <c r="P557" s="2994">
        <f t="shared" si="29"/>
        <v>0</v>
      </c>
      <c r="Q557" s="2993"/>
      <c r="R557" s="2993"/>
      <c r="S557" s="2992"/>
    </row>
    <row r="558" spans="2:19" ht="21" customHeight="1">
      <c r="B558" s="2998"/>
      <c r="C558" s="2989"/>
      <c r="D558" s="2989"/>
      <c r="E558" s="2997"/>
      <c r="F558" s="2989"/>
      <c r="G558" s="2989"/>
      <c r="H558" s="2989"/>
      <c r="I558" s="2989"/>
      <c r="J558" s="2996"/>
      <c r="K558" s="2995"/>
      <c r="L558" s="2995"/>
      <c r="M558" s="2985" t="str">
        <f>IFERROR(ROUND(#REF!*J558/K558,2),"-")</f>
        <v>-</v>
      </c>
      <c r="N558" s="2994" t="str">
        <f t="shared" si="28"/>
        <v/>
      </c>
      <c r="O558" s="2989"/>
      <c r="P558" s="2994">
        <f t="shared" si="29"/>
        <v>0</v>
      </c>
      <c r="Q558" s="2993"/>
      <c r="R558" s="2993"/>
      <c r="S558" s="2992"/>
    </row>
    <row r="559" spans="2:19" ht="21" customHeight="1">
      <c r="B559" s="2998"/>
      <c r="C559" s="2989"/>
      <c r="D559" s="2989"/>
      <c r="E559" s="2997"/>
      <c r="F559" s="2989"/>
      <c r="G559" s="2989"/>
      <c r="H559" s="2989"/>
      <c r="I559" s="2989"/>
      <c r="J559" s="2996"/>
      <c r="K559" s="2995"/>
      <c r="L559" s="2995"/>
      <c r="M559" s="2985" t="str">
        <f>IFERROR(ROUND(#REF!*J559/K559,2),"-")</f>
        <v>-</v>
      </c>
      <c r="N559" s="2994" t="str">
        <f t="shared" si="28"/>
        <v/>
      </c>
      <c r="O559" s="2989"/>
      <c r="P559" s="2994">
        <f t="shared" si="29"/>
        <v>0</v>
      </c>
      <c r="Q559" s="2993"/>
      <c r="R559" s="2993"/>
      <c r="S559" s="2992"/>
    </row>
    <row r="560" spans="2:19" ht="21" customHeight="1">
      <c r="B560" s="2998"/>
      <c r="C560" s="2989"/>
      <c r="D560" s="2989"/>
      <c r="E560" s="2997"/>
      <c r="F560" s="2989"/>
      <c r="G560" s="2989"/>
      <c r="H560" s="2989"/>
      <c r="I560" s="2989"/>
      <c r="J560" s="2996"/>
      <c r="K560" s="2995"/>
      <c r="L560" s="2995"/>
      <c r="M560" s="2985" t="str">
        <f>IFERROR(ROUND(#REF!*J560/K560,2),"-")</f>
        <v>-</v>
      </c>
      <c r="N560" s="2994" t="str">
        <f t="shared" si="28"/>
        <v/>
      </c>
      <c r="O560" s="2989"/>
      <c r="P560" s="2994">
        <f t="shared" si="29"/>
        <v>0</v>
      </c>
      <c r="Q560" s="2993"/>
      <c r="R560" s="2993"/>
      <c r="S560" s="2992"/>
    </row>
    <row r="561" spans="2:19" ht="21" customHeight="1">
      <c r="B561" s="2998"/>
      <c r="C561" s="2989"/>
      <c r="D561" s="2989"/>
      <c r="E561" s="2997"/>
      <c r="F561" s="2989"/>
      <c r="G561" s="2989"/>
      <c r="H561" s="2989"/>
      <c r="I561" s="2989"/>
      <c r="J561" s="2996"/>
      <c r="K561" s="2995"/>
      <c r="L561" s="2995"/>
      <c r="M561" s="2985" t="str">
        <f>IFERROR(ROUND(#REF!*J561/K561,2),"-")</f>
        <v>-</v>
      </c>
      <c r="N561" s="2994" t="str">
        <f t="shared" si="28"/>
        <v/>
      </c>
      <c r="O561" s="2989"/>
      <c r="P561" s="2994">
        <f t="shared" si="29"/>
        <v>0</v>
      </c>
      <c r="Q561" s="2993"/>
      <c r="R561" s="2993"/>
      <c r="S561" s="2992"/>
    </row>
    <row r="562" spans="2:19" ht="21" customHeight="1">
      <c r="B562" s="2998"/>
      <c r="C562" s="2989"/>
      <c r="D562" s="2989"/>
      <c r="E562" s="2997"/>
      <c r="F562" s="2989"/>
      <c r="G562" s="2989"/>
      <c r="H562" s="2989"/>
      <c r="I562" s="2989"/>
      <c r="J562" s="2996"/>
      <c r="K562" s="2995"/>
      <c r="L562" s="2995"/>
      <c r="M562" s="2985" t="str">
        <f>IFERROR(ROUND(#REF!*J562/K562,2),"-")</f>
        <v>-</v>
      </c>
      <c r="N562" s="2994" t="str">
        <f t="shared" si="28"/>
        <v/>
      </c>
      <c r="O562" s="2989"/>
      <c r="P562" s="2994">
        <f t="shared" si="29"/>
        <v>0</v>
      </c>
      <c r="Q562" s="2993"/>
      <c r="R562" s="2993"/>
      <c r="S562" s="2992"/>
    </row>
    <row r="563" spans="2:19" ht="21" customHeight="1">
      <c r="B563" s="2998"/>
      <c r="C563" s="2989"/>
      <c r="D563" s="2989"/>
      <c r="E563" s="2997"/>
      <c r="F563" s="2989"/>
      <c r="G563" s="2989"/>
      <c r="H563" s="2989"/>
      <c r="I563" s="2989"/>
      <c r="J563" s="2996"/>
      <c r="K563" s="2995"/>
      <c r="L563" s="2995"/>
      <c r="M563" s="2985" t="str">
        <f>IFERROR(ROUND(#REF!*J563/K563,2),"-")</f>
        <v>-</v>
      </c>
      <c r="N563" s="2994" t="str">
        <f t="shared" si="28"/>
        <v/>
      </c>
      <c r="O563" s="2989"/>
      <c r="P563" s="2994">
        <f t="shared" si="29"/>
        <v>0</v>
      </c>
      <c r="Q563" s="2993"/>
      <c r="R563" s="2993"/>
      <c r="S563" s="2992"/>
    </row>
    <row r="564" spans="2:19" ht="21" customHeight="1">
      <c r="B564" s="2998"/>
      <c r="C564" s="2989"/>
      <c r="D564" s="2989"/>
      <c r="E564" s="2997"/>
      <c r="F564" s="2989"/>
      <c r="G564" s="2989"/>
      <c r="H564" s="2989"/>
      <c r="I564" s="2989"/>
      <c r="J564" s="2996"/>
      <c r="K564" s="2995"/>
      <c r="L564" s="2995"/>
      <c r="M564" s="2985" t="str">
        <f>IFERROR(ROUND(#REF!*J564/K564,2),"-")</f>
        <v>-</v>
      </c>
      <c r="N564" s="2994" t="str">
        <f t="shared" si="28"/>
        <v/>
      </c>
      <c r="O564" s="2989"/>
      <c r="P564" s="2994">
        <f t="shared" si="29"/>
        <v>0</v>
      </c>
      <c r="Q564" s="2993"/>
      <c r="R564" s="2993"/>
      <c r="S564" s="2992"/>
    </row>
    <row r="565" spans="2:19" ht="21" customHeight="1">
      <c r="B565" s="2998"/>
      <c r="C565" s="2989"/>
      <c r="D565" s="2989"/>
      <c r="E565" s="2997"/>
      <c r="F565" s="2989"/>
      <c r="G565" s="2989"/>
      <c r="H565" s="2989"/>
      <c r="I565" s="2989"/>
      <c r="J565" s="2996"/>
      <c r="K565" s="2995"/>
      <c r="L565" s="2995"/>
      <c r="M565" s="2985" t="str">
        <f>IFERROR(ROUND(#REF!*J565/K565,2),"-")</f>
        <v>-</v>
      </c>
      <c r="N565" s="2994" t="str">
        <f t="shared" si="28"/>
        <v/>
      </c>
      <c r="O565" s="2989"/>
      <c r="P565" s="2994">
        <f t="shared" si="29"/>
        <v>0</v>
      </c>
      <c r="Q565" s="2993"/>
      <c r="R565" s="2993"/>
      <c r="S565" s="2992"/>
    </row>
    <row r="566" spans="2:19" ht="21" customHeight="1">
      <c r="B566" s="2998"/>
      <c r="C566" s="2989"/>
      <c r="D566" s="2989"/>
      <c r="E566" s="2997"/>
      <c r="F566" s="2989"/>
      <c r="G566" s="2989"/>
      <c r="H566" s="2989"/>
      <c r="I566" s="2989"/>
      <c r="J566" s="2996"/>
      <c r="K566" s="2995"/>
      <c r="L566" s="2995"/>
      <c r="M566" s="2985" t="str">
        <f>IFERROR(ROUND(#REF!*J566/K566,2),"-")</f>
        <v>-</v>
      </c>
      <c r="N566" s="2994" t="str">
        <f t="shared" si="28"/>
        <v/>
      </c>
      <c r="O566" s="2989"/>
      <c r="P566" s="2994">
        <f t="shared" si="29"/>
        <v>0</v>
      </c>
      <c r="Q566" s="2993"/>
      <c r="R566" s="2993"/>
      <c r="S566" s="2992"/>
    </row>
    <row r="567" spans="2:19" ht="21" customHeight="1">
      <c r="B567" s="2998"/>
      <c r="C567" s="2989"/>
      <c r="D567" s="2989"/>
      <c r="E567" s="2997"/>
      <c r="F567" s="2989"/>
      <c r="G567" s="2989"/>
      <c r="H567" s="2989"/>
      <c r="I567" s="2989"/>
      <c r="J567" s="2996"/>
      <c r="K567" s="2995"/>
      <c r="L567" s="2995"/>
      <c r="M567" s="2985" t="str">
        <f>IFERROR(ROUND(#REF!*J567/K567,2),"-")</f>
        <v>-</v>
      </c>
      <c r="N567" s="2994" t="str">
        <f t="shared" si="28"/>
        <v/>
      </c>
      <c r="O567" s="2989"/>
      <c r="P567" s="2994">
        <f t="shared" si="29"/>
        <v>0</v>
      </c>
      <c r="Q567" s="2993"/>
      <c r="R567" s="2993"/>
      <c r="S567" s="2992"/>
    </row>
    <row r="568" spans="2:19" ht="21" customHeight="1">
      <c r="B568" s="2998"/>
      <c r="C568" s="2989"/>
      <c r="D568" s="2989"/>
      <c r="E568" s="2997"/>
      <c r="F568" s="2989"/>
      <c r="G568" s="2989"/>
      <c r="H568" s="2989"/>
      <c r="I568" s="2989"/>
      <c r="J568" s="2996"/>
      <c r="K568" s="2995"/>
      <c r="L568" s="2995"/>
      <c r="M568" s="2985" t="str">
        <f>IFERROR(ROUND(#REF!*J568/K568,2),"-")</f>
        <v>-</v>
      </c>
      <c r="N568" s="2994" t="str">
        <f t="shared" si="28"/>
        <v/>
      </c>
      <c r="O568" s="2989"/>
      <c r="P568" s="2994">
        <f t="shared" si="29"/>
        <v>0</v>
      </c>
      <c r="Q568" s="2993"/>
      <c r="R568" s="2993"/>
      <c r="S568" s="2992"/>
    </row>
    <row r="569" spans="2:19" ht="21" customHeight="1">
      <c r="B569" s="2998"/>
      <c r="C569" s="2989"/>
      <c r="D569" s="2989"/>
      <c r="E569" s="2997"/>
      <c r="F569" s="2989"/>
      <c r="G569" s="2989"/>
      <c r="H569" s="2989"/>
      <c r="I569" s="2989"/>
      <c r="J569" s="2996"/>
      <c r="K569" s="2995"/>
      <c r="L569" s="2995"/>
      <c r="M569" s="2985" t="str">
        <f>IFERROR(ROUND(#REF!*J569/K569,2),"-")</f>
        <v>-</v>
      </c>
      <c r="N569" s="2994" t="str">
        <f t="shared" si="28"/>
        <v/>
      </c>
      <c r="O569" s="2989"/>
      <c r="P569" s="2994">
        <f t="shared" si="29"/>
        <v>0</v>
      </c>
      <c r="Q569" s="2993"/>
      <c r="R569" s="2993"/>
      <c r="S569" s="2992"/>
    </row>
    <row r="570" spans="2:19" ht="21" customHeight="1">
      <c r="B570" s="2998"/>
      <c r="C570" s="2989"/>
      <c r="D570" s="2989"/>
      <c r="E570" s="2997"/>
      <c r="F570" s="2989"/>
      <c r="G570" s="2989"/>
      <c r="H570" s="2989"/>
      <c r="I570" s="2989"/>
      <c r="J570" s="2996"/>
      <c r="K570" s="2995"/>
      <c r="L570" s="2995"/>
      <c r="M570" s="2985" t="str">
        <f>IFERROR(ROUND(#REF!*J570/K570,2),"-")</f>
        <v>-</v>
      </c>
      <c r="N570" s="2994" t="str">
        <f t="shared" si="28"/>
        <v/>
      </c>
      <c r="O570" s="2989"/>
      <c r="P570" s="2994">
        <f t="shared" si="29"/>
        <v>0</v>
      </c>
      <c r="Q570" s="2993"/>
      <c r="R570" s="2993"/>
      <c r="S570" s="2992"/>
    </row>
    <row r="571" spans="2:19" ht="21" customHeight="1">
      <c r="B571" s="2998"/>
      <c r="C571" s="2989"/>
      <c r="D571" s="2989"/>
      <c r="E571" s="2997"/>
      <c r="F571" s="2989"/>
      <c r="G571" s="2989"/>
      <c r="H571" s="2989"/>
      <c r="I571" s="2989"/>
      <c r="J571" s="2996"/>
      <c r="K571" s="2995"/>
      <c r="L571" s="2995"/>
      <c r="M571" s="2985" t="str">
        <f>IFERROR(ROUND(#REF!*J571/K571,2),"-")</f>
        <v>-</v>
      </c>
      <c r="N571" s="2994" t="str">
        <f t="shared" si="28"/>
        <v/>
      </c>
      <c r="O571" s="2989"/>
      <c r="P571" s="2994">
        <f t="shared" si="29"/>
        <v>0</v>
      </c>
      <c r="Q571" s="2993"/>
      <c r="R571" s="2993"/>
      <c r="S571" s="2992"/>
    </row>
    <row r="572" spans="2:19" ht="21" customHeight="1">
      <c r="B572" s="2998"/>
      <c r="C572" s="2989"/>
      <c r="D572" s="2989"/>
      <c r="E572" s="2997"/>
      <c r="F572" s="2989"/>
      <c r="G572" s="2989"/>
      <c r="H572" s="2989"/>
      <c r="I572" s="2989"/>
      <c r="J572" s="2996"/>
      <c r="K572" s="2995"/>
      <c r="L572" s="2995"/>
      <c r="M572" s="2985" t="str">
        <f>IFERROR(ROUND(#REF!*J572/K572,2),"-")</f>
        <v>-</v>
      </c>
      <c r="N572" s="2994" t="str">
        <f t="shared" si="28"/>
        <v/>
      </c>
      <c r="O572" s="2989"/>
      <c r="P572" s="2994">
        <f t="shared" si="29"/>
        <v>0</v>
      </c>
      <c r="Q572" s="2993"/>
      <c r="R572" s="2993"/>
      <c r="S572" s="2992"/>
    </row>
    <row r="573" spans="2:19" ht="21" customHeight="1">
      <c r="B573" s="2998"/>
      <c r="C573" s="2989"/>
      <c r="D573" s="2989"/>
      <c r="E573" s="2997"/>
      <c r="F573" s="2989"/>
      <c r="G573" s="2989"/>
      <c r="H573" s="2989"/>
      <c r="I573" s="2989"/>
      <c r="J573" s="2996"/>
      <c r="K573" s="2995"/>
      <c r="L573" s="2995"/>
      <c r="M573" s="2985" t="str">
        <f>IFERROR(ROUND(#REF!*J573/K573,2),"-")</f>
        <v>-</v>
      </c>
      <c r="N573" s="2994" t="str">
        <f t="shared" si="28"/>
        <v/>
      </c>
      <c r="O573" s="2989"/>
      <c r="P573" s="2994">
        <f t="shared" si="29"/>
        <v>0</v>
      </c>
      <c r="Q573" s="2993"/>
      <c r="R573" s="2993"/>
      <c r="S573" s="2992"/>
    </row>
    <row r="574" spans="2:19" ht="21" customHeight="1">
      <c r="B574" s="2998"/>
      <c r="C574" s="2989"/>
      <c r="D574" s="2989"/>
      <c r="E574" s="2997"/>
      <c r="F574" s="2989"/>
      <c r="G574" s="2989"/>
      <c r="H574" s="2989"/>
      <c r="I574" s="2989"/>
      <c r="J574" s="2996"/>
      <c r="K574" s="2995"/>
      <c r="L574" s="2995"/>
      <c r="M574" s="2985" t="str">
        <f>IFERROR(ROUND(#REF!*J574/K574,2),"-")</f>
        <v>-</v>
      </c>
      <c r="N574" s="2994" t="str">
        <f t="shared" si="28"/>
        <v/>
      </c>
      <c r="O574" s="2989"/>
      <c r="P574" s="2994">
        <f t="shared" si="29"/>
        <v>0</v>
      </c>
      <c r="Q574" s="2993"/>
      <c r="R574" s="2993"/>
      <c r="S574" s="2992"/>
    </row>
    <row r="575" spans="2:19" ht="21" customHeight="1">
      <c r="B575" s="2998"/>
      <c r="C575" s="2989"/>
      <c r="D575" s="2989"/>
      <c r="E575" s="2997"/>
      <c r="F575" s="2989"/>
      <c r="G575" s="2989"/>
      <c r="H575" s="2989"/>
      <c r="I575" s="2989"/>
      <c r="J575" s="2996"/>
      <c r="K575" s="2995"/>
      <c r="L575" s="2995"/>
      <c r="M575" s="2985" t="str">
        <f>IFERROR(ROUND(#REF!*J575/K575,2),"-")</f>
        <v>-</v>
      </c>
      <c r="N575" s="2994" t="str">
        <f t="shared" si="28"/>
        <v/>
      </c>
      <c r="O575" s="2989"/>
      <c r="P575" s="2994">
        <f t="shared" si="29"/>
        <v>0</v>
      </c>
      <c r="Q575" s="2993"/>
      <c r="R575" s="2993"/>
      <c r="S575" s="2992"/>
    </row>
    <row r="576" spans="2:19" ht="21" customHeight="1">
      <c r="B576" s="2998"/>
      <c r="C576" s="2989"/>
      <c r="D576" s="2989"/>
      <c r="E576" s="2997"/>
      <c r="F576" s="2989"/>
      <c r="G576" s="2989"/>
      <c r="H576" s="2989"/>
      <c r="I576" s="2989"/>
      <c r="J576" s="2996"/>
      <c r="K576" s="2995"/>
      <c r="L576" s="2995"/>
      <c r="M576" s="2985" t="str">
        <f>IFERROR(ROUND(#REF!*J576/K576,2),"-")</f>
        <v>-</v>
      </c>
      <c r="N576" s="2994" t="str">
        <f t="shared" si="28"/>
        <v/>
      </c>
      <c r="O576" s="2989"/>
      <c r="P576" s="2994">
        <f t="shared" si="29"/>
        <v>0</v>
      </c>
      <c r="Q576" s="2993"/>
      <c r="R576" s="2993"/>
      <c r="S576" s="2992"/>
    </row>
    <row r="577" spans="2:19" ht="21" customHeight="1">
      <c r="B577" s="2998"/>
      <c r="C577" s="2989"/>
      <c r="D577" s="2989"/>
      <c r="E577" s="2997"/>
      <c r="F577" s="2989"/>
      <c r="G577" s="2989"/>
      <c r="H577" s="2989"/>
      <c r="I577" s="2989"/>
      <c r="J577" s="2996"/>
      <c r="K577" s="2995"/>
      <c r="L577" s="2995"/>
      <c r="M577" s="2985" t="str">
        <f>IFERROR(ROUND(#REF!*J577/K577,2),"-")</f>
        <v>-</v>
      </c>
      <c r="N577" s="2994" t="str">
        <f t="shared" si="28"/>
        <v/>
      </c>
      <c r="O577" s="2989"/>
      <c r="P577" s="2994">
        <f t="shared" si="29"/>
        <v>0</v>
      </c>
      <c r="Q577" s="2993"/>
      <c r="R577" s="2993"/>
      <c r="S577" s="2992"/>
    </row>
    <row r="578" spans="2:19" ht="21" customHeight="1">
      <c r="B578" s="2998"/>
      <c r="C578" s="2989"/>
      <c r="D578" s="2989"/>
      <c r="E578" s="2997"/>
      <c r="F578" s="2989"/>
      <c r="G578" s="2989"/>
      <c r="H578" s="2989"/>
      <c r="I578" s="2989"/>
      <c r="J578" s="2996"/>
      <c r="K578" s="2995"/>
      <c r="L578" s="2995"/>
      <c r="M578" s="2985" t="str">
        <f>IFERROR(ROUND(#REF!*J578/K578,2),"-")</f>
        <v>-</v>
      </c>
      <c r="N578" s="2994" t="str">
        <f t="shared" si="28"/>
        <v/>
      </c>
      <c r="O578" s="2989"/>
      <c r="P578" s="2994">
        <f t="shared" si="29"/>
        <v>0</v>
      </c>
      <c r="Q578" s="2993"/>
      <c r="R578" s="2993"/>
      <c r="S578" s="2992"/>
    </row>
    <row r="579" spans="2:19" ht="21" customHeight="1">
      <c r="B579" s="2998"/>
      <c r="C579" s="2989"/>
      <c r="D579" s="2989"/>
      <c r="E579" s="2997"/>
      <c r="F579" s="2989"/>
      <c r="G579" s="2989"/>
      <c r="H579" s="2989"/>
      <c r="I579" s="2989"/>
      <c r="J579" s="2996"/>
      <c r="K579" s="2995"/>
      <c r="L579" s="2995"/>
      <c r="M579" s="2985" t="str">
        <f>IFERROR(ROUND(#REF!*J579/K579,2),"-")</f>
        <v>-</v>
      </c>
      <c r="N579" s="2994" t="str">
        <f t="shared" si="28"/>
        <v/>
      </c>
      <c r="O579" s="2989"/>
      <c r="P579" s="2994">
        <f t="shared" si="29"/>
        <v>0</v>
      </c>
      <c r="Q579" s="2993"/>
      <c r="R579" s="2993"/>
      <c r="S579" s="2992"/>
    </row>
    <row r="580" spans="2:19" ht="21" customHeight="1">
      <c r="B580" s="2998"/>
      <c r="C580" s="2989"/>
      <c r="D580" s="2989"/>
      <c r="E580" s="2997"/>
      <c r="F580" s="2989"/>
      <c r="G580" s="2989"/>
      <c r="H580" s="2989"/>
      <c r="I580" s="2989"/>
      <c r="J580" s="2996"/>
      <c r="K580" s="2995"/>
      <c r="L580" s="2995"/>
      <c r="M580" s="2985" t="str">
        <f>IFERROR(ROUND(#REF!*J580/K580,2),"-")</f>
        <v>-</v>
      </c>
      <c r="N580" s="2994" t="str">
        <f t="shared" si="28"/>
        <v/>
      </c>
      <c r="O580" s="2989"/>
      <c r="P580" s="2994">
        <f t="shared" si="29"/>
        <v>0</v>
      </c>
      <c r="Q580" s="2993"/>
      <c r="R580" s="2993"/>
      <c r="S580" s="2992"/>
    </row>
    <row r="581" spans="2:19" ht="21" customHeight="1">
      <c r="B581" s="2998"/>
      <c r="C581" s="2989"/>
      <c r="D581" s="2989"/>
      <c r="E581" s="2997"/>
      <c r="F581" s="2989"/>
      <c r="G581" s="2989"/>
      <c r="H581" s="2989"/>
      <c r="I581" s="2989"/>
      <c r="J581" s="2996"/>
      <c r="K581" s="2995"/>
      <c r="L581" s="2995"/>
      <c r="M581" s="2985" t="str">
        <f>IFERROR(ROUND(#REF!*J581/K581,2),"-")</f>
        <v>-</v>
      </c>
      <c r="N581" s="2994" t="str">
        <f t="shared" si="28"/>
        <v/>
      </c>
      <c r="O581" s="2989"/>
      <c r="P581" s="2994">
        <f t="shared" si="29"/>
        <v>0</v>
      </c>
      <c r="Q581" s="2993"/>
      <c r="R581" s="2993"/>
      <c r="S581" s="2992"/>
    </row>
    <row r="582" spans="2:19" ht="21" customHeight="1">
      <c r="B582" s="2998"/>
      <c r="C582" s="2989"/>
      <c r="D582" s="2989"/>
      <c r="E582" s="2997"/>
      <c r="F582" s="2989"/>
      <c r="G582" s="2989"/>
      <c r="H582" s="2989"/>
      <c r="I582" s="2989"/>
      <c r="J582" s="2996"/>
      <c r="K582" s="2995"/>
      <c r="L582" s="2995"/>
      <c r="M582" s="2985" t="str">
        <f>IFERROR(ROUND(#REF!*J582/K582,2),"-")</f>
        <v>-</v>
      </c>
      <c r="N582" s="2994" t="str">
        <f t="shared" si="28"/>
        <v/>
      </c>
      <c r="O582" s="2989"/>
      <c r="P582" s="2994">
        <f t="shared" si="29"/>
        <v>0</v>
      </c>
      <c r="Q582" s="2993"/>
      <c r="R582" s="2993"/>
      <c r="S582" s="2992"/>
    </row>
    <row r="583" spans="2:19" ht="21" customHeight="1">
      <c r="B583" s="2998"/>
      <c r="C583" s="2989"/>
      <c r="D583" s="2989"/>
      <c r="E583" s="2997"/>
      <c r="F583" s="2989"/>
      <c r="G583" s="2989"/>
      <c r="H583" s="2989"/>
      <c r="I583" s="2989"/>
      <c r="J583" s="2996"/>
      <c r="K583" s="2995"/>
      <c r="L583" s="2995"/>
      <c r="M583" s="2985" t="str">
        <f>IFERROR(ROUND(#REF!*J583/K583,2),"-")</f>
        <v>-</v>
      </c>
      <c r="N583" s="2994" t="str">
        <f t="shared" si="28"/>
        <v/>
      </c>
      <c r="O583" s="2989"/>
      <c r="P583" s="2994">
        <f t="shared" si="29"/>
        <v>0</v>
      </c>
      <c r="Q583" s="2993"/>
      <c r="R583" s="2993"/>
      <c r="S583" s="2992"/>
    </row>
    <row r="584" spans="2:19" ht="21" customHeight="1">
      <c r="B584" s="2998"/>
      <c r="C584" s="2989"/>
      <c r="D584" s="2989"/>
      <c r="E584" s="2997"/>
      <c r="F584" s="2989"/>
      <c r="G584" s="2989"/>
      <c r="H584" s="2989"/>
      <c r="I584" s="2989"/>
      <c r="J584" s="2996"/>
      <c r="K584" s="2995"/>
      <c r="L584" s="2995"/>
      <c r="M584" s="2985" t="str">
        <f>IFERROR(ROUND(#REF!*J584/K584,2),"-")</f>
        <v>-</v>
      </c>
      <c r="N584" s="2994" t="str">
        <f t="shared" si="28"/>
        <v/>
      </c>
      <c r="O584" s="2989"/>
      <c r="P584" s="2994">
        <f t="shared" si="29"/>
        <v>0</v>
      </c>
      <c r="Q584" s="2993"/>
      <c r="R584" s="2993"/>
      <c r="S584" s="2992"/>
    </row>
    <row r="585" spans="2:19" ht="21" customHeight="1">
      <c r="B585" s="2998"/>
      <c r="C585" s="2989"/>
      <c r="D585" s="2989"/>
      <c r="E585" s="2997"/>
      <c r="F585" s="2989"/>
      <c r="G585" s="2989"/>
      <c r="H585" s="2989"/>
      <c r="I585" s="2989"/>
      <c r="J585" s="2996"/>
      <c r="K585" s="2995"/>
      <c r="L585" s="2995"/>
      <c r="M585" s="2985" t="str">
        <f>IFERROR(ROUND(#REF!*J585/K585,2),"-")</f>
        <v>-</v>
      </c>
      <c r="N585" s="2994" t="str">
        <f t="shared" si="28"/>
        <v/>
      </c>
      <c r="O585" s="2989"/>
      <c r="P585" s="2994">
        <f t="shared" si="29"/>
        <v>0</v>
      </c>
      <c r="Q585" s="2993"/>
      <c r="R585" s="2993"/>
      <c r="S585" s="2992"/>
    </row>
    <row r="586" spans="2:19" ht="21" customHeight="1">
      <c r="B586" s="2998"/>
      <c r="C586" s="2989"/>
      <c r="D586" s="2989"/>
      <c r="E586" s="2997"/>
      <c r="F586" s="2989"/>
      <c r="G586" s="2989"/>
      <c r="H586" s="2989"/>
      <c r="I586" s="2989"/>
      <c r="J586" s="2996"/>
      <c r="K586" s="2995"/>
      <c r="L586" s="2995"/>
      <c r="M586" s="2985" t="str">
        <f>IFERROR(ROUND(#REF!*J586/K586,2),"-")</f>
        <v>-</v>
      </c>
      <c r="N586" s="2994" t="str">
        <f t="shared" si="28"/>
        <v/>
      </c>
      <c r="O586" s="2989"/>
      <c r="P586" s="2994">
        <f t="shared" si="29"/>
        <v>0</v>
      </c>
      <c r="Q586" s="2993"/>
      <c r="R586" s="2993"/>
      <c r="S586" s="2992"/>
    </row>
    <row r="587" spans="2:19" ht="21" customHeight="1">
      <c r="B587" s="2998"/>
      <c r="C587" s="2989"/>
      <c r="D587" s="2989"/>
      <c r="E587" s="2997"/>
      <c r="F587" s="2989"/>
      <c r="G587" s="2989"/>
      <c r="H587" s="2989"/>
      <c r="I587" s="2989"/>
      <c r="J587" s="2996"/>
      <c r="K587" s="2995"/>
      <c r="L587" s="2995"/>
      <c r="M587" s="2985" t="str">
        <f>IFERROR(ROUND(#REF!*J587/K587,2),"-")</f>
        <v>-</v>
      </c>
      <c r="N587" s="2994" t="str">
        <f t="shared" si="28"/>
        <v/>
      </c>
      <c r="O587" s="2989"/>
      <c r="P587" s="2994">
        <f t="shared" si="29"/>
        <v>0</v>
      </c>
      <c r="Q587" s="2993"/>
      <c r="R587" s="2993"/>
      <c r="S587" s="2992"/>
    </row>
    <row r="588" spans="2:19" ht="21" customHeight="1">
      <c r="B588" s="2998"/>
      <c r="C588" s="2989"/>
      <c r="D588" s="2989"/>
      <c r="E588" s="2997"/>
      <c r="F588" s="2989"/>
      <c r="G588" s="2989"/>
      <c r="H588" s="2989"/>
      <c r="I588" s="2989"/>
      <c r="J588" s="2996"/>
      <c r="K588" s="2995"/>
      <c r="L588" s="2995"/>
      <c r="M588" s="2985" t="str">
        <f>IFERROR(ROUND(#REF!*J588/K588,2),"-")</f>
        <v>-</v>
      </c>
      <c r="N588" s="2994" t="str">
        <f t="shared" si="28"/>
        <v/>
      </c>
      <c r="O588" s="2989"/>
      <c r="P588" s="2994">
        <f t="shared" si="29"/>
        <v>0</v>
      </c>
      <c r="Q588" s="2993"/>
      <c r="R588" s="2993"/>
      <c r="S588" s="2992"/>
    </row>
    <row r="589" spans="2:19" ht="21" customHeight="1">
      <c r="B589" s="2998"/>
      <c r="C589" s="2989"/>
      <c r="D589" s="2989"/>
      <c r="E589" s="2997"/>
      <c r="F589" s="2989"/>
      <c r="G589" s="2989"/>
      <c r="H589" s="2989"/>
      <c r="I589" s="2989"/>
      <c r="J589" s="2996"/>
      <c r="K589" s="2995"/>
      <c r="L589" s="2995"/>
      <c r="M589" s="2985" t="str">
        <f>IFERROR(ROUND(#REF!*J589/K589,2),"-")</f>
        <v>-</v>
      </c>
      <c r="N589" s="2994" t="str">
        <f t="shared" si="28"/>
        <v/>
      </c>
      <c r="O589" s="2989"/>
      <c r="P589" s="2994">
        <f t="shared" si="29"/>
        <v>0</v>
      </c>
      <c r="Q589" s="2993"/>
      <c r="R589" s="2993"/>
      <c r="S589" s="2992"/>
    </row>
    <row r="590" spans="2:19" ht="21" customHeight="1">
      <c r="B590" s="2998"/>
      <c r="C590" s="2989"/>
      <c r="D590" s="2989"/>
      <c r="E590" s="2997"/>
      <c r="F590" s="2989"/>
      <c r="G590" s="2989"/>
      <c r="H590" s="2989"/>
      <c r="I590" s="2989"/>
      <c r="J590" s="2996"/>
      <c r="K590" s="2995"/>
      <c r="L590" s="2995"/>
      <c r="M590" s="2985" t="str">
        <f>IFERROR(ROUND(#REF!*J590/K590,2),"-")</f>
        <v>-</v>
      </c>
      <c r="N590" s="2994" t="str">
        <f t="shared" si="28"/>
        <v/>
      </c>
      <c r="O590" s="2989"/>
      <c r="P590" s="2994">
        <f t="shared" si="29"/>
        <v>0</v>
      </c>
      <c r="Q590" s="2993"/>
      <c r="R590" s="2993"/>
      <c r="S590" s="2992"/>
    </row>
    <row r="591" spans="2:19" ht="21" customHeight="1">
      <c r="B591" s="2998"/>
      <c r="C591" s="2989"/>
      <c r="D591" s="2989"/>
      <c r="E591" s="2997"/>
      <c r="F591" s="2989"/>
      <c r="G591" s="2989"/>
      <c r="H591" s="2989"/>
      <c r="I591" s="2989"/>
      <c r="J591" s="2996"/>
      <c r="K591" s="2995"/>
      <c r="L591" s="2995"/>
      <c r="M591" s="2985" t="str">
        <f>IFERROR(ROUND(#REF!*J591/K591,2),"-")</f>
        <v>-</v>
      </c>
      <c r="N591" s="2994" t="str">
        <f t="shared" si="28"/>
        <v/>
      </c>
      <c r="O591" s="2989"/>
      <c r="P591" s="2994">
        <f t="shared" si="29"/>
        <v>0</v>
      </c>
      <c r="Q591" s="2993"/>
      <c r="R591" s="2993"/>
      <c r="S591" s="2992"/>
    </row>
    <row r="592" spans="2:19" ht="21" customHeight="1">
      <c r="B592" s="2998"/>
      <c r="C592" s="2989"/>
      <c r="D592" s="2989"/>
      <c r="E592" s="2997"/>
      <c r="F592" s="2989"/>
      <c r="G592" s="2989"/>
      <c r="H592" s="2989"/>
      <c r="I592" s="2989"/>
      <c r="J592" s="2996"/>
      <c r="K592" s="2995"/>
      <c r="L592" s="2995"/>
      <c r="M592" s="2985" t="str">
        <f>IFERROR(ROUND(#REF!*J592/K592,2),"-")</f>
        <v>-</v>
      </c>
      <c r="N592" s="2994" t="str">
        <f t="shared" si="28"/>
        <v/>
      </c>
      <c r="O592" s="2989"/>
      <c r="P592" s="2994">
        <f t="shared" si="29"/>
        <v>0</v>
      </c>
      <c r="Q592" s="2993"/>
      <c r="R592" s="2993"/>
      <c r="S592" s="2992"/>
    </row>
    <row r="593" spans="2:19" ht="21" customHeight="1">
      <c r="B593" s="2998"/>
      <c r="C593" s="2989"/>
      <c r="D593" s="2989"/>
      <c r="E593" s="2997"/>
      <c r="F593" s="2989"/>
      <c r="G593" s="2989"/>
      <c r="H593" s="2989"/>
      <c r="I593" s="2989"/>
      <c r="J593" s="2996"/>
      <c r="K593" s="2995"/>
      <c r="L593" s="2995"/>
      <c r="M593" s="2985" t="str">
        <f>IFERROR(ROUND(#REF!*J593/K593,2),"-")</f>
        <v>-</v>
      </c>
      <c r="N593" s="2994" t="str">
        <f t="shared" si="28"/>
        <v/>
      </c>
      <c r="O593" s="2989"/>
      <c r="P593" s="2994">
        <f t="shared" si="29"/>
        <v>0</v>
      </c>
      <c r="Q593" s="2993"/>
      <c r="R593" s="2993"/>
      <c r="S593" s="2992"/>
    </row>
    <row r="594" spans="2:19" ht="21" customHeight="1">
      <c r="B594" s="2998"/>
      <c r="C594" s="2989"/>
      <c r="D594" s="2989"/>
      <c r="E594" s="2997"/>
      <c r="F594" s="2989"/>
      <c r="G594" s="2989"/>
      <c r="H594" s="2989"/>
      <c r="I594" s="2989"/>
      <c r="J594" s="2996"/>
      <c r="K594" s="2995"/>
      <c r="L594" s="2995"/>
      <c r="M594" s="2985" t="str">
        <f>IFERROR(ROUND(#REF!*J594/K594,2),"-")</f>
        <v>-</v>
      </c>
      <c r="N594" s="2994" t="str">
        <f t="shared" si="28"/>
        <v/>
      </c>
      <c r="O594" s="2989"/>
      <c r="P594" s="2994">
        <f t="shared" si="29"/>
        <v>0</v>
      </c>
      <c r="Q594" s="2993"/>
      <c r="R594" s="2993"/>
      <c r="S594" s="2992"/>
    </row>
    <row r="595" spans="2:19" ht="21" customHeight="1">
      <c r="B595" s="2998"/>
      <c r="C595" s="2989"/>
      <c r="D595" s="2989"/>
      <c r="E595" s="2997"/>
      <c r="F595" s="2989"/>
      <c r="G595" s="2989"/>
      <c r="H595" s="2989"/>
      <c r="I595" s="2989"/>
      <c r="J595" s="2996"/>
      <c r="K595" s="2995"/>
      <c r="L595" s="2995"/>
      <c r="M595" s="2985" t="str">
        <f>IFERROR(ROUND(#REF!*J595/K595,2),"-")</f>
        <v>-</v>
      </c>
      <c r="N595" s="2994" t="str">
        <f t="shared" si="28"/>
        <v/>
      </c>
      <c r="O595" s="2989"/>
      <c r="P595" s="2994">
        <f t="shared" si="29"/>
        <v>0</v>
      </c>
      <c r="Q595" s="2993"/>
      <c r="R595" s="2993"/>
      <c r="S595" s="2992"/>
    </row>
    <row r="596" spans="2:19" ht="21" customHeight="1">
      <c r="B596" s="2998"/>
      <c r="C596" s="2989"/>
      <c r="D596" s="2989"/>
      <c r="E596" s="2997"/>
      <c r="F596" s="2989"/>
      <c r="G596" s="2989"/>
      <c r="H596" s="2989"/>
      <c r="I596" s="2989"/>
      <c r="J596" s="2996"/>
      <c r="K596" s="2995"/>
      <c r="L596" s="2995"/>
      <c r="M596" s="2985" t="str">
        <f>IFERROR(ROUND(#REF!*J596/K596,2),"-")</f>
        <v>-</v>
      </c>
      <c r="N596" s="2994" t="str">
        <f t="shared" si="28"/>
        <v/>
      </c>
      <c r="O596" s="2989"/>
      <c r="P596" s="2994">
        <f t="shared" si="29"/>
        <v>0</v>
      </c>
      <c r="Q596" s="2993"/>
      <c r="R596" s="2993"/>
      <c r="S596" s="2992"/>
    </row>
    <row r="597" spans="2:19" ht="21" customHeight="1">
      <c r="B597" s="2998"/>
      <c r="C597" s="2989"/>
      <c r="D597" s="2989"/>
      <c r="E597" s="2997"/>
      <c r="F597" s="2989"/>
      <c r="G597" s="2989"/>
      <c r="H597" s="2989"/>
      <c r="I597" s="2989"/>
      <c r="J597" s="2996"/>
      <c r="K597" s="2995"/>
      <c r="L597" s="2995"/>
      <c r="M597" s="2985" t="str">
        <f>IFERROR(ROUND(#REF!*J597/K597,2),"-")</f>
        <v>-</v>
      </c>
      <c r="N597" s="2994" t="str">
        <f t="shared" si="28"/>
        <v/>
      </c>
      <c r="O597" s="2989"/>
      <c r="P597" s="2994">
        <f t="shared" si="29"/>
        <v>0</v>
      </c>
      <c r="Q597" s="2993"/>
      <c r="R597" s="2993"/>
      <c r="S597" s="2992"/>
    </row>
    <row r="598" spans="2:19" ht="21" customHeight="1">
      <c r="B598" s="2998"/>
      <c r="C598" s="2989"/>
      <c r="D598" s="2989"/>
      <c r="E598" s="2997"/>
      <c r="F598" s="2989"/>
      <c r="G598" s="2989"/>
      <c r="H598" s="2989"/>
      <c r="I598" s="2989"/>
      <c r="J598" s="2996"/>
      <c r="K598" s="2995"/>
      <c r="L598" s="2995"/>
      <c r="M598" s="2985" t="str">
        <f>IFERROR(ROUND(#REF!*J598/K598,2),"-")</f>
        <v>-</v>
      </c>
      <c r="N598" s="2994" t="str">
        <f t="shared" si="28"/>
        <v/>
      </c>
      <c r="O598" s="2989"/>
      <c r="P598" s="2994">
        <f t="shared" si="29"/>
        <v>0</v>
      </c>
      <c r="Q598" s="2993"/>
      <c r="R598" s="2993"/>
      <c r="S598" s="2992"/>
    </row>
    <row r="599" spans="2:19" ht="21" customHeight="1">
      <c r="B599" s="2998"/>
      <c r="C599" s="2989"/>
      <c r="D599" s="2989"/>
      <c r="E599" s="2997"/>
      <c r="F599" s="2989"/>
      <c r="G599" s="2989"/>
      <c r="H599" s="2989"/>
      <c r="I599" s="2989"/>
      <c r="J599" s="2996"/>
      <c r="K599" s="2995"/>
      <c r="L599" s="2995"/>
      <c r="M599" s="2985" t="str">
        <f>IFERROR(ROUND(#REF!*J599/K599,2),"-")</f>
        <v>-</v>
      </c>
      <c r="N599" s="2994" t="str">
        <f t="shared" si="28"/>
        <v/>
      </c>
      <c r="O599" s="2989"/>
      <c r="P599" s="2994">
        <f t="shared" si="29"/>
        <v>0</v>
      </c>
      <c r="Q599" s="2993"/>
      <c r="R599" s="2993"/>
      <c r="S599" s="2992"/>
    </row>
    <row r="600" spans="2:19" ht="21" customHeight="1">
      <c r="B600" s="2998"/>
      <c r="C600" s="2989"/>
      <c r="D600" s="2989"/>
      <c r="E600" s="2997"/>
      <c r="F600" s="2989"/>
      <c r="G600" s="2989"/>
      <c r="H600" s="2989"/>
      <c r="I600" s="2989"/>
      <c r="J600" s="2996"/>
      <c r="K600" s="2995"/>
      <c r="L600" s="2995"/>
      <c r="M600" s="2985" t="str">
        <f>IFERROR(ROUND(#REF!*J600/K600,2),"-")</f>
        <v>-</v>
      </c>
      <c r="N600" s="2994" t="str">
        <f t="shared" si="28"/>
        <v/>
      </c>
      <c r="O600" s="2989"/>
      <c r="P600" s="2994">
        <f t="shared" si="29"/>
        <v>0</v>
      </c>
      <c r="Q600" s="2993"/>
      <c r="R600" s="2993"/>
      <c r="S600" s="2992"/>
    </row>
    <row r="601" spans="2:19" ht="21" customHeight="1">
      <c r="B601" s="2998"/>
      <c r="C601" s="2989"/>
      <c r="D601" s="2989"/>
      <c r="E601" s="2997"/>
      <c r="F601" s="2989"/>
      <c r="G601" s="2989"/>
      <c r="H601" s="2989"/>
      <c r="I601" s="2989"/>
      <c r="J601" s="2996"/>
      <c r="K601" s="2995"/>
      <c r="L601" s="2995"/>
      <c r="M601" s="2985" t="str">
        <f>IFERROR(ROUND(#REF!*J601/K601,2),"-")</f>
        <v>-</v>
      </c>
      <c r="N601" s="2994" t="str">
        <f t="shared" si="28"/>
        <v/>
      </c>
      <c r="O601" s="2989"/>
      <c r="P601" s="2994">
        <f t="shared" si="29"/>
        <v>0</v>
      </c>
      <c r="Q601" s="2993"/>
      <c r="R601" s="2993"/>
      <c r="S601" s="2992"/>
    </row>
    <row r="602" spans="2:19" ht="21" customHeight="1">
      <c r="B602" s="2998"/>
      <c r="C602" s="2989"/>
      <c r="D602" s="2989"/>
      <c r="E602" s="2997"/>
      <c r="F602" s="2989"/>
      <c r="G602" s="2989"/>
      <c r="H602" s="2989"/>
      <c r="I602" s="2989"/>
      <c r="J602" s="2996"/>
      <c r="K602" s="2995"/>
      <c r="L602" s="2995"/>
      <c r="M602" s="2985" t="str">
        <f>IFERROR(ROUND(#REF!*J602/K602,2),"-")</f>
        <v>-</v>
      </c>
      <c r="N602" s="2994" t="str">
        <f t="shared" si="28"/>
        <v/>
      </c>
      <c r="O602" s="2989"/>
      <c r="P602" s="2994">
        <f t="shared" si="29"/>
        <v>0</v>
      </c>
      <c r="Q602" s="2993"/>
      <c r="R602" s="2993"/>
      <c r="S602" s="2992"/>
    </row>
    <row r="603" spans="2:19" ht="21" customHeight="1">
      <c r="B603" s="2998"/>
      <c r="C603" s="2989"/>
      <c r="D603" s="2989"/>
      <c r="E603" s="2997"/>
      <c r="F603" s="2989"/>
      <c r="G603" s="2989"/>
      <c r="H603" s="2989"/>
      <c r="I603" s="2989"/>
      <c r="J603" s="2996"/>
      <c r="K603" s="2995"/>
      <c r="L603" s="2995"/>
      <c r="M603" s="2985" t="str">
        <f>IFERROR(ROUND(#REF!*J603/K603,2),"-")</f>
        <v>-</v>
      </c>
      <c r="N603" s="2994" t="str">
        <f t="shared" ref="N603:N666" si="30">IFERROR(M603*K603,"")</f>
        <v/>
      </c>
      <c r="O603" s="2989"/>
      <c r="P603" s="2994">
        <f t="shared" ref="P603:P666" si="31">IFERROR(K603*O603,"-")</f>
        <v>0</v>
      </c>
      <c r="Q603" s="2993"/>
      <c r="R603" s="2993"/>
      <c r="S603" s="2992"/>
    </row>
    <row r="604" spans="2:19" ht="21" customHeight="1">
      <c r="B604" s="2998"/>
      <c r="C604" s="2989"/>
      <c r="D604" s="2989"/>
      <c r="E604" s="2997"/>
      <c r="F604" s="2989"/>
      <c r="G604" s="2989"/>
      <c r="H604" s="2989"/>
      <c r="I604" s="2989"/>
      <c r="J604" s="2996"/>
      <c r="K604" s="2995"/>
      <c r="L604" s="2995"/>
      <c r="M604" s="2985" t="str">
        <f>IFERROR(ROUND(#REF!*J604/K604,2),"-")</f>
        <v>-</v>
      </c>
      <c r="N604" s="2994" t="str">
        <f t="shared" si="30"/>
        <v/>
      </c>
      <c r="O604" s="2989"/>
      <c r="P604" s="2994">
        <f t="shared" si="31"/>
        <v>0</v>
      </c>
      <c r="Q604" s="2993"/>
      <c r="R604" s="2993"/>
      <c r="S604" s="2992"/>
    </row>
    <row r="605" spans="2:19" ht="21" customHeight="1">
      <c r="B605" s="2998"/>
      <c r="C605" s="2989"/>
      <c r="D605" s="2989"/>
      <c r="E605" s="2997"/>
      <c r="F605" s="2989"/>
      <c r="G605" s="2989"/>
      <c r="H605" s="2989"/>
      <c r="I605" s="2989"/>
      <c r="J605" s="2996"/>
      <c r="K605" s="2995"/>
      <c r="L605" s="2995"/>
      <c r="M605" s="2985" t="str">
        <f>IFERROR(ROUND(#REF!*J605/K605,2),"-")</f>
        <v>-</v>
      </c>
      <c r="N605" s="2994" t="str">
        <f t="shared" si="30"/>
        <v/>
      </c>
      <c r="O605" s="2989"/>
      <c r="P605" s="2994">
        <f t="shared" si="31"/>
        <v>0</v>
      </c>
      <c r="Q605" s="2993"/>
      <c r="R605" s="2993"/>
      <c r="S605" s="2992"/>
    </row>
    <row r="606" spans="2:19" ht="21" customHeight="1">
      <c r="B606" s="2998"/>
      <c r="C606" s="2989"/>
      <c r="D606" s="2989"/>
      <c r="E606" s="2997"/>
      <c r="F606" s="2989"/>
      <c r="G606" s="2989"/>
      <c r="H606" s="2989"/>
      <c r="I606" s="2989"/>
      <c r="J606" s="2996"/>
      <c r="K606" s="2995"/>
      <c r="L606" s="2995"/>
      <c r="M606" s="2985" t="str">
        <f>IFERROR(ROUND(#REF!*J606/K606,2),"-")</f>
        <v>-</v>
      </c>
      <c r="N606" s="2994" t="str">
        <f t="shared" si="30"/>
        <v/>
      </c>
      <c r="O606" s="2989"/>
      <c r="P606" s="2994">
        <f t="shared" si="31"/>
        <v>0</v>
      </c>
      <c r="Q606" s="2993"/>
      <c r="R606" s="2993"/>
      <c r="S606" s="2992"/>
    </row>
    <row r="607" spans="2:19" ht="21" customHeight="1">
      <c r="B607" s="2998"/>
      <c r="C607" s="2989"/>
      <c r="D607" s="2989"/>
      <c r="E607" s="2997"/>
      <c r="F607" s="2989"/>
      <c r="G607" s="2989"/>
      <c r="H607" s="2989"/>
      <c r="I607" s="2989"/>
      <c r="J607" s="2996"/>
      <c r="K607" s="2995"/>
      <c r="L607" s="2995"/>
      <c r="M607" s="2985" t="str">
        <f>IFERROR(ROUND(#REF!*J607/K607,2),"-")</f>
        <v>-</v>
      </c>
      <c r="N607" s="2994" t="str">
        <f t="shared" si="30"/>
        <v/>
      </c>
      <c r="O607" s="2989"/>
      <c r="P607" s="2994">
        <f t="shared" si="31"/>
        <v>0</v>
      </c>
      <c r="Q607" s="2993"/>
      <c r="R607" s="2993"/>
      <c r="S607" s="2992"/>
    </row>
    <row r="608" spans="2:19" ht="21" customHeight="1">
      <c r="B608" s="2991"/>
      <c r="C608" s="2989"/>
      <c r="D608" s="2984"/>
      <c r="E608" s="2990"/>
      <c r="F608" s="2989"/>
      <c r="G608" s="2984"/>
      <c r="H608" s="2984"/>
      <c r="I608" s="2984"/>
      <c r="J608" s="2988"/>
      <c r="K608" s="2987"/>
      <c r="L608" s="2986"/>
      <c r="M608" s="2985" t="str">
        <f>IFERROR(ROUND(#REF!*J608/K608,2),"-")</f>
        <v>-</v>
      </c>
      <c r="N608" s="2983" t="str">
        <f t="shared" si="30"/>
        <v/>
      </c>
      <c r="O608" s="2984"/>
      <c r="P608" s="2983">
        <f t="shared" si="31"/>
        <v>0</v>
      </c>
      <c r="Q608" s="2982"/>
      <c r="R608" s="2982"/>
      <c r="S608" s="2981"/>
    </row>
    <row r="609" spans="5:5" ht="21" customHeight="1">
      <c r="E609" s="2980"/>
    </row>
    <row r="610" spans="5:5" ht="21" customHeight="1">
      <c r="E610" s="2980"/>
    </row>
    <row r="611" spans="5:5" ht="21" customHeight="1">
      <c r="E611" s="2980"/>
    </row>
    <row r="612" spans="5:5" ht="21" customHeight="1">
      <c r="E612" s="2980"/>
    </row>
    <row r="613" spans="5:5" ht="21" customHeight="1">
      <c r="E613" s="2980"/>
    </row>
    <row r="614" spans="5:5" ht="21" customHeight="1">
      <c r="E614" s="2980"/>
    </row>
    <row r="615" spans="5:5" ht="21" customHeight="1">
      <c r="E615" s="2980"/>
    </row>
    <row r="616" spans="5:5" ht="21" customHeight="1">
      <c r="E616" s="2980"/>
    </row>
    <row r="617" spans="5:5" ht="21" customHeight="1">
      <c r="E617" s="2980"/>
    </row>
    <row r="618" spans="5:5" ht="21" customHeight="1">
      <c r="E618" s="2980"/>
    </row>
    <row r="619" spans="5:5" ht="21" customHeight="1">
      <c r="E619" s="2980"/>
    </row>
    <row r="620" spans="5:5" ht="21" customHeight="1">
      <c r="E620" s="2980"/>
    </row>
    <row r="621" spans="5:5" ht="21" customHeight="1">
      <c r="E621" s="2980"/>
    </row>
    <row r="622" spans="5:5" ht="21" customHeight="1">
      <c r="E622" s="2980"/>
    </row>
    <row r="623" spans="5:5" ht="21" customHeight="1">
      <c r="E623" s="2980"/>
    </row>
    <row r="624" spans="5:5" ht="21" customHeight="1">
      <c r="E624" s="2980"/>
    </row>
    <row r="625" spans="5:5" ht="21" customHeight="1">
      <c r="E625" s="2980"/>
    </row>
    <row r="626" spans="5:5" ht="21" customHeight="1">
      <c r="E626" s="2980"/>
    </row>
    <row r="627" spans="5:5" ht="21" customHeight="1">
      <c r="E627" s="2980"/>
    </row>
    <row r="628" spans="5:5" ht="21" customHeight="1">
      <c r="E628" s="2980"/>
    </row>
    <row r="629" spans="5:5" ht="21" customHeight="1">
      <c r="E629" s="2980"/>
    </row>
    <row r="630" spans="5:5" ht="21" customHeight="1">
      <c r="E630" s="2980"/>
    </row>
    <row r="631" spans="5:5" ht="21" customHeight="1">
      <c r="E631" s="2980"/>
    </row>
    <row r="632" spans="5:5" ht="21" customHeight="1">
      <c r="E632" s="2980"/>
    </row>
    <row r="633" spans="5:5" ht="21" customHeight="1">
      <c r="E633" s="2980"/>
    </row>
    <row r="634" spans="5:5" ht="21" customHeight="1">
      <c r="E634" s="2980"/>
    </row>
    <row r="635" spans="5:5" ht="21" customHeight="1">
      <c r="E635" s="2980"/>
    </row>
    <row r="636" spans="5:5" ht="21" customHeight="1">
      <c r="E636" s="2980"/>
    </row>
    <row r="637" spans="5:5" ht="21" customHeight="1">
      <c r="E637" s="2980"/>
    </row>
    <row r="638" spans="5:5" ht="21" customHeight="1">
      <c r="E638" s="2980"/>
    </row>
    <row r="639" spans="5:5" ht="21" customHeight="1">
      <c r="E639" s="2980"/>
    </row>
    <row r="640" spans="5:5" ht="21" customHeight="1">
      <c r="E640" s="2980"/>
    </row>
    <row r="641" spans="5:5" ht="21" customHeight="1">
      <c r="E641" s="2980"/>
    </row>
    <row r="642" spans="5:5" ht="21" customHeight="1">
      <c r="E642" s="2980"/>
    </row>
    <row r="643" spans="5:5" ht="21" customHeight="1">
      <c r="E643" s="2980"/>
    </row>
    <row r="644" spans="5:5" ht="21" customHeight="1">
      <c r="E644" s="2980"/>
    </row>
    <row r="645" spans="5:5" ht="21" customHeight="1">
      <c r="E645" s="2980"/>
    </row>
    <row r="646" spans="5:5" ht="21" customHeight="1">
      <c r="E646" s="2980"/>
    </row>
    <row r="647" spans="5:5" ht="21" customHeight="1">
      <c r="E647" s="2980"/>
    </row>
    <row r="648" spans="5:5" ht="21" customHeight="1">
      <c r="E648" s="2980"/>
    </row>
    <row r="649" spans="5:5" ht="21" customHeight="1">
      <c r="E649" s="2980"/>
    </row>
    <row r="650" spans="5:5" ht="21" customHeight="1">
      <c r="E650" s="2980"/>
    </row>
    <row r="651" spans="5:5" ht="21" customHeight="1">
      <c r="E651" s="2980"/>
    </row>
    <row r="652" spans="5:5" ht="21" customHeight="1">
      <c r="E652" s="2980"/>
    </row>
    <row r="653" spans="5:5" ht="21" customHeight="1">
      <c r="E653" s="2980"/>
    </row>
    <row r="654" spans="5:5" ht="21" customHeight="1">
      <c r="E654" s="2980"/>
    </row>
    <row r="655" spans="5:5" ht="21" customHeight="1">
      <c r="E655" s="2980"/>
    </row>
    <row r="656" spans="5:5" ht="21" customHeight="1">
      <c r="E656" s="2980"/>
    </row>
    <row r="657" spans="5:5" ht="21" customHeight="1">
      <c r="E657" s="2980"/>
    </row>
    <row r="658" spans="5:5" ht="21" customHeight="1">
      <c r="E658" s="2980"/>
    </row>
    <row r="659" spans="5:5" ht="21" customHeight="1">
      <c r="E659" s="2980"/>
    </row>
    <row r="660" spans="5:5" ht="21" customHeight="1">
      <c r="E660" s="2980"/>
    </row>
    <row r="661" spans="5:5" ht="21" customHeight="1">
      <c r="E661" s="2980"/>
    </row>
    <row r="662" spans="5:5" ht="21" customHeight="1">
      <c r="E662" s="2980"/>
    </row>
    <row r="663" spans="5:5" ht="21" customHeight="1">
      <c r="E663" s="2980"/>
    </row>
    <row r="664" spans="5:5" ht="21" customHeight="1">
      <c r="E664" s="2980"/>
    </row>
    <row r="665" spans="5:5" ht="21" customHeight="1">
      <c r="E665" s="2980"/>
    </row>
    <row r="666" spans="5:5" ht="21" customHeight="1">
      <c r="E666" s="2980"/>
    </row>
    <row r="667" spans="5:5" ht="21" customHeight="1">
      <c r="E667" s="2980"/>
    </row>
    <row r="668" spans="5:5" ht="21" customHeight="1">
      <c r="E668" s="2980"/>
    </row>
    <row r="669" spans="5:5" ht="21" customHeight="1">
      <c r="E669" s="2980"/>
    </row>
    <row r="670" spans="5:5" ht="21" customHeight="1">
      <c r="E670" s="2980"/>
    </row>
    <row r="671" spans="5:5" ht="21" customHeight="1">
      <c r="E671" s="2980"/>
    </row>
    <row r="672" spans="5:5" ht="21" customHeight="1">
      <c r="E672" s="2980"/>
    </row>
    <row r="673" spans="5:5" ht="21" customHeight="1">
      <c r="E673" s="2980"/>
    </row>
    <row r="674" spans="5:5" ht="21" customHeight="1">
      <c r="E674" s="2980"/>
    </row>
    <row r="675" spans="5:5" ht="21" customHeight="1">
      <c r="E675" s="2980"/>
    </row>
    <row r="676" spans="5:5" ht="21" customHeight="1">
      <c r="E676" s="2980"/>
    </row>
    <row r="677" spans="5:5" ht="21" customHeight="1">
      <c r="E677" s="2980"/>
    </row>
    <row r="678" spans="5:5" ht="21" customHeight="1">
      <c r="E678" s="2980"/>
    </row>
    <row r="679" spans="5:5" ht="21" customHeight="1">
      <c r="E679" s="2980"/>
    </row>
    <row r="680" spans="5:5" ht="21" customHeight="1">
      <c r="E680" s="2980"/>
    </row>
    <row r="681" spans="5:5" ht="21" customHeight="1">
      <c r="E681" s="2980"/>
    </row>
    <row r="682" spans="5:5" ht="21" customHeight="1">
      <c r="E682" s="2980"/>
    </row>
    <row r="683" spans="5:5" ht="21" customHeight="1">
      <c r="E683" s="2980"/>
    </row>
    <row r="684" spans="5:5" ht="21" customHeight="1">
      <c r="E684" s="2980"/>
    </row>
    <row r="685" spans="5:5" ht="21" customHeight="1">
      <c r="E685" s="2980"/>
    </row>
    <row r="686" spans="5:5" ht="21" customHeight="1">
      <c r="E686" s="2980"/>
    </row>
    <row r="687" spans="5:5" ht="21" customHeight="1">
      <c r="E687" s="2980"/>
    </row>
    <row r="688" spans="5:5" ht="21" customHeight="1">
      <c r="E688" s="2980"/>
    </row>
    <row r="689" spans="5:5" ht="21" customHeight="1">
      <c r="E689" s="2980"/>
    </row>
    <row r="690" spans="5:5" ht="21" customHeight="1">
      <c r="E690" s="2980"/>
    </row>
    <row r="691" spans="5:5" ht="21" customHeight="1">
      <c r="E691" s="2980"/>
    </row>
    <row r="692" spans="5:5" ht="21" customHeight="1">
      <c r="E692" s="2980"/>
    </row>
    <row r="693" spans="5:5" ht="21" customHeight="1">
      <c r="E693" s="2980"/>
    </row>
    <row r="694" spans="5:5" ht="21" customHeight="1">
      <c r="E694" s="2980"/>
    </row>
    <row r="695" spans="5:5" ht="21" customHeight="1">
      <c r="E695" s="2980"/>
    </row>
    <row r="696" spans="5:5" ht="21" customHeight="1">
      <c r="E696" s="2980"/>
    </row>
    <row r="697" spans="5:5" ht="21" customHeight="1">
      <c r="E697" s="2980"/>
    </row>
    <row r="698" spans="5:5" ht="21" customHeight="1">
      <c r="E698" s="2980"/>
    </row>
    <row r="699" spans="5:5" ht="21" customHeight="1">
      <c r="E699" s="2980"/>
    </row>
    <row r="700" spans="5:5" ht="21" customHeight="1">
      <c r="E700" s="2980"/>
    </row>
    <row r="701" spans="5:5" ht="21" customHeight="1">
      <c r="E701" s="2980"/>
    </row>
    <row r="702" spans="5:5" ht="21" customHeight="1">
      <c r="E702" s="2980"/>
    </row>
    <row r="703" spans="5:5" ht="21" customHeight="1">
      <c r="E703" s="2980"/>
    </row>
    <row r="704" spans="5:5" ht="21" customHeight="1">
      <c r="E704" s="2980"/>
    </row>
    <row r="705" spans="5:5" ht="21" customHeight="1">
      <c r="E705" s="2980"/>
    </row>
    <row r="706" spans="5:5" ht="21" customHeight="1">
      <c r="E706" s="2980"/>
    </row>
    <row r="707" spans="5:5" ht="21" customHeight="1">
      <c r="E707" s="2980"/>
    </row>
    <row r="708" spans="5:5" ht="21" customHeight="1">
      <c r="E708" s="2980"/>
    </row>
    <row r="709" spans="5:5" ht="21" customHeight="1">
      <c r="E709" s="2980"/>
    </row>
    <row r="710" spans="5:5" ht="21" customHeight="1">
      <c r="E710" s="2980"/>
    </row>
    <row r="711" spans="5:5" ht="21" customHeight="1">
      <c r="E711" s="2980"/>
    </row>
    <row r="712" spans="5:5" ht="21" customHeight="1">
      <c r="E712" s="2980"/>
    </row>
    <row r="713" spans="5:5" ht="21" customHeight="1">
      <c r="E713" s="2980"/>
    </row>
    <row r="714" spans="5:5" ht="21" customHeight="1">
      <c r="E714" s="2980"/>
    </row>
    <row r="715" spans="5:5" ht="21" customHeight="1">
      <c r="E715" s="2980"/>
    </row>
    <row r="716" spans="5:5" ht="21" customHeight="1">
      <c r="E716" s="2980"/>
    </row>
    <row r="717" spans="5:5" ht="21" customHeight="1">
      <c r="E717" s="2980"/>
    </row>
    <row r="718" spans="5:5" ht="21" customHeight="1">
      <c r="E718" s="2980"/>
    </row>
    <row r="719" spans="5:5" ht="21" customHeight="1">
      <c r="E719" s="2980"/>
    </row>
    <row r="720" spans="5:5" ht="21" customHeight="1">
      <c r="E720" s="2980"/>
    </row>
    <row r="721" spans="5:25" ht="21" customHeight="1">
      <c r="E721" s="2980"/>
    </row>
    <row r="722" spans="5:25" ht="21" customHeight="1">
      <c r="E722" s="2980"/>
    </row>
    <row r="723" spans="5:25" ht="21" customHeight="1">
      <c r="E723" s="2980"/>
    </row>
    <row r="724" spans="5:25" ht="21" customHeight="1">
      <c r="E724" s="2980"/>
    </row>
    <row r="725" spans="5:25" ht="21" customHeight="1">
      <c r="E725" s="2980"/>
      <c r="Y725" s="2977" t="s">
        <v>3295</v>
      </c>
    </row>
    <row r="726" spans="5:25" ht="21" customHeight="1">
      <c r="E726" s="2980"/>
      <c r="Y726" s="2977" t="s">
        <v>3294</v>
      </c>
    </row>
    <row r="727" spans="5:25" ht="21" customHeight="1">
      <c r="E727" s="2980"/>
      <c r="Y727" s="2977" t="s">
        <v>3293</v>
      </c>
    </row>
    <row r="728" spans="5:25" ht="21" customHeight="1">
      <c r="E728" s="2980"/>
      <c r="Y728" s="2977" t="s">
        <v>3289</v>
      </c>
    </row>
    <row r="729" spans="5:25" ht="21" customHeight="1">
      <c r="E729" s="2980"/>
    </row>
    <row r="730" spans="5:25" ht="21" customHeight="1">
      <c r="E730" s="2980"/>
    </row>
    <row r="731" spans="5:25" ht="21" customHeight="1">
      <c r="E731" s="2980" t="s">
        <v>3292</v>
      </c>
    </row>
    <row r="732" spans="5:25" ht="21" customHeight="1">
      <c r="E732" s="2977" t="s">
        <v>3291</v>
      </c>
    </row>
    <row r="733" spans="5:25" ht="21" customHeight="1">
      <c r="E733" s="2977" t="s">
        <v>3290</v>
      </c>
    </row>
    <row r="734" spans="5:25" ht="21" customHeight="1">
      <c r="E734" s="2977" t="s">
        <v>3289</v>
      </c>
    </row>
  </sheetData>
  <sheetProtection selectLockedCells="1"/>
  <mergeCells count="21">
    <mergeCell ref="S4:S5"/>
    <mergeCell ref="H4:H5"/>
    <mergeCell ref="I4:I5"/>
    <mergeCell ref="J4:J5"/>
    <mergeCell ref="K4:K5"/>
    <mergeCell ref="M4:M5"/>
    <mergeCell ref="N4:N5"/>
    <mergeCell ref="O4:O5"/>
    <mergeCell ref="P4:P5"/>
    <mergeCell ref="Q4:Q5"/>
    <mergeCell ref="L4:L5"/>
    <mergeCell ref="R4:R5"/>
    <mergeCell ref="B2:R2"/>
    <mergeCell ref="B3:D3"/>
    <mergeCell ref="E3:F3"/>
    <mergeCell ref="B4:B5"/>
    <mergeCell ref="C4:C5"/>
    <mergeCell ref="D4:D5"/>
    <mergeCell ref="E4:E5"/>
    <mergeCell ref="F4:F5"/>
    <mergeCell ref="G4:G5"/>
  </mergeCells>
  <phoneticPr fontId="144" type="noConversion"/>
  <conditionalFormatting sqref="E44">
    <cfRule type="duplicateValues" dxfId="39" priority="5"/>
    <cfRule type="duplicateValues" dxfId="38" priority="6"/>
    <cfRule type="duplicateValues" dxfId="37" priority="7"/>
    <cfRule type="duplicateValues" dxfId="36" priority="8"/>
  </conditionalFormatting>
  <conditionalFormatting sqref="E124">
    <cfRule type="duplicateValues" dxfId="35" priority="19"/>
    <cfRule type="duplicateValues" dxfId="34" priority="20"/>
    <cfRule type="duplicateValues" dxfId="33" priority="21"/>
    <cfRule type="duplicateValues" dxfId="32" priority="22"/>
  </conditionalFormatting>
  <conditionalFormatting sqref="E125">
    <cfRule type="duplicateValues" dxfId="31" priority="15"/>
    <cfRule type="duplicateValues" dxfId="30" priority="16"/>
    <cfRule type="duplicateValues" dxfId="29" priority="17"/>
    <cfRule type="duplicateValues" dxfId="28" priority="18"/>
  </conditionalFormatting>
  <conditionalFormatting sqref="E6:E10">
    <cfRule type="duplicateValues" dxfId="27" priority="13"/>
    <cfRule type="duplicateValues" dxfId="26" priority="14"/>
  </conditionalFormatting>
  <conditionalFormatting sqref="E117:E118">
    <cfRule type="duplicateValues" dxfId="25" priority="9"/>
    <cfRule type="duplicateValues" dxfId="24" priority="10"/>
    <cfRule type="duplicateValues" dxfId="23" priority="11"/>
    <cfRule type="duplicateValues" dxfId="22" priority="12"/>
  </conditionalFormatting>
  <conditionalFormatting sqref="E208:E212">
    <cfRule type="duplicateValues" dxfId="21" priority="29"/>
    <cfRule type="duplicateValues" dxfId="20" priority="30"/>
  </conditionalFormatting>
  <conditionalFormatting sqref="E209:E212">
    <cfRule type="duplicateValues" dxfId="19" priority="33"/>
    <cfRule type="duplicateValues" dxfId="18" priority="34"/>
  </conditionalFormatting>
  <conditionalFormatting sqref="E212:E215">
    <cfRule type="duplicateValues" dxfId="17" priority="27"/>
    <cfRule type="duplicateValues" dxfId="16" priority="28"/>
  </conditionalFormatting>
  <conditionalFormatting sqref="E213:E215">
    <cfRule type="duplicateValues" dxfId="15" priority="31"/>
    <cfRule type="duplicateValues" dxfId="14" priority="32"/>
  </conditionalFormatting>
  <conditionalFormatting sqref="E67:E116 E11:E43 E45:E63 E65 E170:E180 E119:E123 E126:E167">
    <cfRule type="duplicateValues" dxfId="13" priority="23"/>
    <cfRule type="duplicateValues" dxfId="12" priority="26"/>
  </conditionalFormatting>
  <conditionalFormatting sqref="E67:E116 E27:E43 E45:E63 E65 E170:E180 E119:E123 E126:E167">
    <cfRule type="duplicateValues" dxfId="11" priority="24"/>
    <cfRule type="duplicateValues" dxfId="10" priority="25"/>
  </conditionalFormatting>
  <conditionalFormatting sqref="E64 E66">
    <cfRule type="duplicateValues" dxfId="9" priority="1"/>
    <cfRule type="duplicateValues" dxfId="8" priority="2"/>
    <cfRule type="duplicateValues" dxfId="7" priority="3"/>
    <cfRule type="duplicateValues" dxfId="6" priority="4"/>
  </conditionalFormatting>
  <conditionalFormatting sqref="G212:H215">
    <cfRule type="duplicateValues" dxfId="5" priority="35"/>
  </conditionalFormatting>
  <conditionalFormatting sqref="G213:H215">
    <cfRule type="duplicateValues" dxfId="4" priority="36"/>
  </conditionalFormatting>
  <conditionalFormatting sqref="E181:E215">
    <cfRule type="duplicateValues" dxfId="3" priority="37"/>
  </conditionalFormatting>
  <conditionalFormatting sqref="E181:E608">
    <cfRule type="duplicateValues" dxfId="2" priority="38"/>
  </conditionalFormatting>
  <conditionalFormatting sqref="E181:E208">
    <cfRule type="duplicateValues" dxfId="1" priority="39"/>
    <cfRule type="duplicateValues" dxfId="0" priority="40"/>
  </conditionalFormatting>
  <dataValidations count="10">
    <dataValidation type="custom" allowBlank="1" showInputMessage="1" showErrorMessage="1" sqref="M1:M4 M609:M1048576 L4" xr:uid="{00000000-0002-0000-2700-000000000000}">
      <formula1>IF(H:H="抽成租金",0,-1)</formula1>
    </dataValidation>
    <dataValidation type="list" allowBlank="1" showInputMessage="1" showErrorMessage="1" sqref="D6:D608" xr:uid="{00000000-0002-0000-2700-000001000000}">
      <formula1>"BF,1F,2F,3F,4F,5F,6F"</formula1>
    </dataValidation>
    <dataValidation type="list" allowBlank="1" showInputMessage="1" showErrorMessage="1" sqref="H1:H1048576" xr:uid="{00000000-0002-0000-2700-000002000000}">
      <formula1>"是,否"</formula1>
    </dataValidation>
    <dataValidation type="list" allowBlank="1" showInputMessage="1" showErrorMessage="1" sqref="I6:I180" xr:uid="{00000000-0002-0000-2700-000003000000}">
      <formula1>$E$755:$E$758</formula1>
    </dataValidation>
    <dataValidation type="custom" allowBlank="1" showInputMessage="1" showErrorMessage="1" sqref="M6:M608" xr:uid="{00000000-0002-0000-2700-000004000000}">
      <formula1>IF(I6:I6="抽成租金",0,-1)</formula1>
    </dataValidation>
    <dataValidation type="list" allowBlank="1" showInputMessage="1" showErrorMessage="1" sqref="F106 F101:F103 F58 F54:F56 F6 F145:F147 C6:C608" xr:uid="{00000000-0002-0000-2700-000005000000}">
      <formula1>首行</formula1>
    </dataValidation>
    <dataValidation type="list" allowBlank="1" showInputMessage="1" showErrorMessage="1" sqref="I181:I608" xr:uid="{00000000-0002-0000-2700-000006000000}">
      <formula1>$E$731:$E$734</formula1>
    </dataValidation>
    <dataValidation type="list" allowBlank="1" showInputMessage="1" showErrorMessage="1" sqref="F8:F53 F59:F100 F104:F105 F107:F144 F148:F608 F57" xr:uid="{00000000-0002-0000-2700-000007000000}">
      <formula1>INDIRECT($C8)</formula1>
    </dataValidation>
    <dataValidation type="list" allowBlank="1" showInputMessage="1" showErrorMessage="1" sqref="F7" xr:uid="{00000000-0002-0000-2700-000008000000}">
      <formula1>INDIRECT($C6)</formula1>
    </dataValidation>
    <dataValidation type="list" allowBlank="1" showInputMessage="1" showErrorMessage="1" sqref="C609:C1048576" xr:uid="{00000000-0002-0000-2700-000009000000}">
      <formula1>"主力店,次主力店,一般商铺"</formula1>
    </dataValidation>
  </dataValidations>
  <pageMargins left="0.7" right="0.7" top="0.75" bottom="0.75" header="0.3" footer="0.3"/>
  <pageSetup paperSize="9" orientation="portrait" verticalDpi="12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9"/>
  <dimension ref="B2:L13"/>
  <sheetViews>
    <sheetView tabSelected="1" workbookViewId="0">
      <selection activeCell="L8" sqref="L8"/>
    </sheetView>
  </sheetViews>
  <sheetFormatPr defaultColWidth="9" defaultRowHeight="14.4"/>
  <cols>
    <col min="1" max="2" width="9" style="2972"/>
    <col min="3" max="3" width="11.6640625" style="2972" bestFit="1" customWidth="1"/>
    <col min="4" max="4" width="15.6640625" style="2972" customWidth="1"/>
    <col min="5" max="5" width="11.88671875" style="2972" customWidth="1"/>
    <col min="6" max="6" width="12.6640625" style="2972" customWidth="1"/>
    <col min="7" max="7" width="10.21875" style="2972" customWidth="1"/>
    <col min="8" max="16384" width="9" style="2972"/>
  </cols>
  <sheetData>
    <row r="2" spans="2:12" ht="31.2" customHeight="1">
      <c r="D2" s="2972" t="s">
        <v>3283</v>
      </c>
      <c r="E2" s="3041" t="s">
        <v>3756</v>
      </c>
      <c r="F2" s="3041" t="s">
        <v>3755</v>
      </c>
      <c r="G2" s="2972" t="s">
        <v>3754</v>
      </c>
      <c r="H2" s="2972" t="s">
        <v>3753</v>
      </c>
      <c r="I2" s="2972" t="s">
        <v>3752</v>
      </c>
      <c r="L2" s="2972" t="s">
        <v>3758</v>
      </c>
    </row>
    <row r="3" spans="2:12">
      <c r="C3" s="2972" t="s">
        <v>3281</v>
      </c>
      <c r="D3" s="2972">
        <f>租赁情况汇总!G5</f>
        <v>8454.5700000000015</v>
      </c>
      <c r="E3" s="3040">
        <f>ROUND(租赁商户明细!L56,2)</f>
        <v>6.2</v>
      </c>
      <c r="F3" s="3039">
        <f>ROUND(租赁商户明细!N56/10000,0)</f>
        <v>1469</v>
      </c>
      <c r="G3" s="2972">
        <f>ROUND(租赁商户明细!P56/10000,0)</f>
        <v>430</v>
      </c>
      <c r="H3" s="2972">
        <v>2834</v>
      </c>
      <c r="I3" s="2972">
        <v>489</v>
      </c>
      <c r="K3" s="2972" t="s">
        <v>3281</v>
      </c>
      <c r="L3" s="2972">
        <f>ROUND((73003.73-L8-L7)/4,2)</f>
        <v>16188.57</v>
      </c>
    </row>
    <row r="4" spans="2:12">
      <c r="C4" s="2972" t="s">
        <v>3280</v>
      </c>
      <c r="D4" s="2972">
        <f>租赁情况汇总!G10</f>
        <v>8915.7800000000007</v>
      </c>
      <c r="E4" s="2972">
        <f>ROUND(租赁商户明细!L102,2)</f>
        <v>5.98</v>
      </c>
      <c r="F4" s="3039">
        <f>ROUND(租赁商户明细!N102/10000,0)</f>
        <v>1332</v>
      </c>
      <c r="G4" s="2972">
        <f>ROUND(租赁商户明细!P102/10000,0)</f>
        <v>433</v>
      </c>
      <c r="K4" s="2972" t="s">
        <v>3280</v>
      </c>
      <c r="L4" s="2972">
        <f>ROUND((73003.73-L8-L7)/4,2)</f>
        <v>16188.57</v>
      </c>
    </row>
    <row r="5" spans="2:12">
      <c r="C5" s="2972" t="s">
        <v>3277</v>
      </c>
      <c r="D5" s="2972">
        <f>租赁情况汇总!G16</f>
        <v>11832.51</v>
      </c>
      <c r="E5" s="2972">
        <f>ROUND(租赁商户明细!L146,2)</f>
        <v>4.3899999999999997</v>
      </c>
      <c r="F5" s="3039">
        <f>ROUND(租赁商户明细!N146/10000,0)</f>
        <v>1162</v>
      </c>
      <c r="G5" s="2972">
        <f>ROUND(租赁商户明细!P146/10000,0)</f>
        <v>470</v>
      </c>
      <c r="K5" s="2972" t="s">
        <v>3277</v>
      </c>
      <c r="L5" s="2972">
        <f>ROUND((73003.73-L8-L7)/4,2)</f>
        <v>16188.57</v>
      </c>
    </row>
    <row r="6" spans="2:12">
      <c r="C6" s="2972" t="s">
        <v>3274</v>
      </c>
      <c r="D6" s="2972">
        <f>租赁情况汇总!G22</f>
        <v>11642.040000000003</v>
      </c>
      <c r="E6" s="2972">
        <f>ROUND(租赁商户明细!L183,2)</f>
        <v>4.5599999999999996</v>
      </c>
      <c r="F6" s="3039">
        <f>ROUND(租赁商户明细!N183/10000,0)</f>
        <v>1067</v>
      </c>
      <c r="G6" s="2972">
        <f>ROUND(租赁商户明细!P183/10000,0)</f>
        <v>462</v>
      </c>
      <c r="K6" s="2972" t="s">
        <v>3274</v>
      </c>
      <c r="L6" s="2972">
        <f>ROUND((73003.73-L8-L7)/4,2)</f>
        <v>16188.57</v>
      </c>
    </row>
    <row r="7" spans="2:12">
      <c r="C7" s="2972" t="s">
        <v>3757</v>
      </c>
      <c r="D7" s="2972">
        <v>900</v>
      </c>
      <c r="E7" s="3040">
        <v>4</v>
      </c>
      <c r="F7" s="3039">
        <f>ROUND(D7*E7*365/10000,0)</f>
        <v>131</v>
      </c>
      <c r="K7" s="2972" t="s">
        <v>3757</v>
      </c>
      <c r="L7" s="2972">
        <v>900</v>
      </c>
    </row>
    <row r="8" spans="2:12">
      <c r="C8" s="2972" t="s">
        <v>3270</v>
      </c>
      <c r="D8" s="2972">
        <f>租赁情况汇总!G25</f>
        <v>2635.6600000000003</v>
      </c>
      <c r="E8" s="2972">
        <f>ROUND(租赁商户明细!L218,2)</f>
        <v>2.78</v>
      </c>
      <c r="F8" s="3039">
        <f>ROUND(租赁商户明细!N218/10000,0)</f>
        <v>150</v>
      </c>
      <c r="G8" s="2972">
        <f>ROUND(租赁商户明细!P218/10000,0)</f>
        <v>45</v>
      </c>
      <c r="K8" s="2972" t="s">
        <v>3270</v>
      </c>
      <c r="L8" s="2972">
        <v>7349.44</v>
      </c>
    </row>
    <row r="9" spans="2:12">
      <c r="E9" s="3040">
        <f>AVERAGE(E3:E6)</f>
        <v>5.2824999999999998</v>
      </c>
      <c r="F9" s="2972">
        <f>SUM(F3:F8)</f>
        <v>5311</v>
      </c>
      <c r="G9" s="2972">
        <f>SUM(G3:G8)</f>
        <v>1840</v>
      </c>
      <c r="L9" s="2972">
        <f>L3+L4+L5+L6+L7+L8</f>
        <v>73003.72</v>
      </c>
    </row>
    <row r="10" spans="2:12">
      <c r="G10" s="2972">
        <f>F9+G9</f>
        <v>7151</v>
      </c>
    </row>
    <row r="11" spans="2:12">
      <c r="C11" s="2972" t="s">
        <v>3751</v>
      </c>
      <c r="D11" s="2972" t="s">
        <v>3750</v>
      </c>
      <c r="F11" s="2972" t="s">
        <v>3749</v>
      </c>
      <c r="G11" s="2972">
        <f>G10-H3-I3</f>
        <v>3828</v>
      </c>
    </row>
    <row r="12" spans="2:12">
      <c r="B12" s="2972" t="s">
        <v>3748</v>
      </c>
      <c r="C12" s="3039">
        <f>SUM(F3:G7)</f>
        <v>6956</v>
      </c>
      <c r="D12" s="3038">
        <f>ROUND(C12*10000/(73003.73-7349.44)/365,2)</f>
        <v>2.9</v>
      </c>
    </row>
    <row r="13" spans="2:12">
      <c r="B13" s="2972" t="s">
        <v>3747</v>
      </c>
      <c r="C13" s="3039">
        <f>F8+G8</f>
        <v>195</v>
      </c>
      <c r="D13" s="3038">
        <f>ROUND(C13*10000/(7349.44)/365,2)</f>
        <v>0.73</v>
      </c>
    </row>
  </sheetData>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tabColor rgb="FF92D050"/>
  </sheetPr>
  <dimension ref="A1:AH112"/>
  <sheetViews>
    <sheetView zoomScale="80" zoomScaleNormal="80" workbookViewId="0">
      <selection activeCell="L7" sqref="L7"/>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371" t="s">
        <v>1145</v>
      </c>
      <c r="C1" s="3371"/>
      <c r="D1" s="3371"/>
      <c r="E1" s="3371"/>
      <c r="F1" s="3371"/>
      <c r="G1" s="3367" t="s">
        <v>1146</v>
      </c>
      <c r="H1" s="3367"/>
      <c r="I1" s="3367"/>
      <c r="J1" s="3367"/>
      <c r="K1" s="3367"/>
      <c r="L1" s="3367"/>
      <c r="N1" s="3367" t="s">
        <v>1147</v>
      </c>
      <c r="O1" s="3367"/>
      <c r="P1" s="3367"/>
      <c r="Q1" s="3367"/>
      <c r="R1" s="1446"/>
      <c r="S1" s="3367" t="s">
        <v>1148</v>
      </c>
      <c r="T1" s="3367"/>
      <c r="U1" s="3367"/>
      <c r="V1" s="3367"/>
      <c r="X1" s="3366" t="s">
        <v>1149</v>
      </c>
      <c r="Y1" s="3367"/>
      <c r="Z1" s="3367"/>
      <c r="AA1" s="3367"/>
      <c r="AB1" s="3367"/>
      <c r="AD1" s="3366" t="s">
        <v>1150</v>
      </c>
      <c r="AE1" s="3367"/>
      <c r="AF1" s="3367"/>
      <c r="AG1" s="3367"/>
      <c r="AH1" s="3367"/>
    </row>
    <row r="2" spans="1:34" s="1447" customFormat="1" ht="1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9" customFormat="1" ht="14.4">
      <c r="A3" s="2928" t="s">
        <v>3034</v>
      </c>
      <c r="B3" s="2920"/>
      <c r="C3" s="2920"/>
      <c r="D3" s="2921"/>
      <c r="E3" s="2921"/>
      <c r="F3" s="2920"/>
      <c r="G3" s="2922"/>
      <c r="H3" s="2923"/>
      <c r="I3" s="2924">
        <f>ROUND(AVERAGE($I4:$I29),2)</f>
        <v>1.92</v>
      </c>
      <c r="J3" s="2924">
        <f>ROUND(AVERAGE($J4:$J29),2)</f>
        <v>1.34</v>
      </c>
      <c r="K3" s="2924">
        <f>ROUND(AVERAGE($K4:$K29),2)</f>
        <v>2.1</v>
      </c>
      <c r="L3" s="2924">
        <f>ROUND(AVERAGE($L4:$L29),2)</f>
        <v>1.35</v>
      </c>
      <c r="N3" s="2922"/>
      <c r="O3" s="2925"/>
      <c r="P3" s="2925"/>
      <c r="Q3" s="2925"/>
      <c r="R3" s="2925"/>
      <c r="S3" s="2922"/>
      <c r="T3" s="2925"/>
      <c r="U3" s="2925"/>
      <c r="V3" s="2925"/>
      <c r="W3" s="2917"/>
      <c r="X3" s="2926">
        <f>ROUND(SUMPRODUCT(PRODUCT(1+N3:N$28)),4)</f>
        <v>1.5586</v>
      </c>
      <c r="Y3" s="2926">
        <f>ROUND(SUMPRODUCT(PRODUCT(1+O3:O$28)),4)</f>
        <v>1.3633</v>
      </c>
      <c r="Z3" s="2926">
        <f t="shared" ref="Z3:Z26" si="0">Y3</f>
        <v>1.3633</v>
      </c>
      <c r="AA3" s="2926">
        <f>ROUND(SUMPRODUCT(PRODUCT(1+P3:P$28)),4)</f>
        <v>1.6221000000000001</v>
      </c>
      <c r="AB3" s="2926">
        <f>ROUND(SUMPRODUCT(PRODUCT(1+Q3:Q$28)),4)</f>
        <v>1.3777999999999999</v>
      </c>
      <c r="AD3" s="2927">
        <f>ROUND(AVERAGE(I3:I$29)/100,4)</f>
        <v>1.9199999999999998E-2</v>
      </c>
      <c r="AE3" s="2927">
        <f>ROUND(AVERAGE(J3:J$29)/100,4)</f>
        <v>1.34E-2</v>
      </c>
      <c r="AF3" s="2927">
        <f t="shared" ref="AF3:AF27" si="1">AE3</f>
        <v>1.34E-2</v>
      </c>
      <c r="AG3" s="2927">
        <f>ROUND(AVERAGE(K3:K$29)/100,4)</f>
        <v>2.1000000000000001E-2</v>
      </c>
      <c r="AH3" s="2927">
        <f>ROUND(AVERAGE(L3:L$29)/100,4)</f>
        <v>1.35E-2</v>
      </c>
    </row>
    <row r="4" spans="1:34" s="1453" customFormat="1" ht="14.4">
      <c r="B4" s="1454"/>
      <c r="C4" s="1454"/>
      <c r="D4" s="1455"/>
      <c r="E4" s="1455"/>
      <c r="F4" s="1454"/>
      <c r="G4" s="1456"/>
      <c r="H4" s="1457"/>
      <c r="I4" s="2914"/>
      <c r="J4" s="2914"/>
      <c r="K4" s="2914"/>
      <c r="L4" s="2914"/>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3053</v>
      </c>
      <c r="B5" s="1790">
        <f t="shared" ref="B5" si="2">B6*(1+N5)</f>
        <v>479.34737379023579</v>
      </c>
      <c r="C5" s="1790">
        <f t="shared" ref="C5" si="3">C6*(1+O5)</f>
        <v>351.4265287986122</v>
      </c>
      <c r="D5" s="1790">
        <f t="shared" ref="D5" si="4">C5</f>
        <v>351.4265287986122</v>
      </c>
      <c r="E5" s="1790">
        <f t="shared" ref="E5" si="5">E6*(1+P5)</f>
        <v>685.98209703803116</v>
      </c>
      <c r="F5" s="1790">
        <f t="shared" ref="F5" si="6">F6*(1+Q5)</f>
        <v>316.78315206651001</v>
      </c>
      <c r="G5" s="2953">
        <v>2020</v>
      </c>
      <c r="H5" s="1729">
        <v>1</v>
      </c>
      <c r="I5" s="2915">
        <v>0</v>
      </c>
      <c r="J5" s="2915">
        <v>0</v>
      </c>
      <c r="K5" s="2915">
        <v>0</v>
      </c>
      <c r="L5" s="2915">
        <v>0</v>
      </c>
      <c r="N5" s="1467">
        <f t="shared" ref="N5" si="7">I5/100</f>
        <v>0</v>
      </c>
      <c r="O5" s="1467">
        <f t="shared" ref="O5" si="8">J5/100</f>
        <v>0</v>
      </c>
      <c r="P5" s="1467">
        <f t="shared" ref="P5" si="9">K5/100</f>
        <v>0</v>
      </c>
      <c r="Q5" s="1467">
        <f t="shared" ref="Q5" si="10">L5/100</f>
        <v>0</v>
      </c>
      <c r="R5" s="1731"/>
      <c r="S5" s="1732"/>
      <c r="T5" s="1731"/>
      <c r="U5" s="1731"/>
      <c r="V5" s="1731"/>
      <c r="W5" s="2918" t="s">
        <v>3035</v>
      </c>
      <c r="X5" s="1725">
        <f>ROUND(IF(项目基本情况!B8="出让",SUMPRODUCT(PRODUCT(1+N5:N$29)),SUMPRODUCT(PRODUCT(1+N5:N$28))),4)</f>
        <v>1.5586</v>
      </c>
      <c r="Y5" s="1725">
        <f>ROUND(IF(项目基本情况!B8="出让",SUMPRODUCT(PRODUCT(1+O5:O$29)),SUMPRODUCT(PRODUCT(1+O5:O$28))),4)</f>
        <v>1.3633</v>
      </c>
      <c r="Z5" s="1725">
        <f t="shared" ref="Z5" si="11">Y5</f>
        <v>1.3633</v>
      </c>
      <c r="AA5" s="1725">
        <f>ROUND(IF(项目基本情况!B8="出让",SUMPRODUCT(PRODUCT(1+P5:P$29)),SUMPRODUCT(PRODUCT(1+P5:P$28))),4)</f>
        <v>1.6221000000000001</v>
      </c>
      <c r="AB5" s="1725">
        <f>ROUND(IF(项目基本情况!B8="出让",SUMPRODUCT(PRODUCT(1+Q5:Q$29)),SUMPRODUCT(PRODUCT(1+Q5:Q$28))),4)</f>
        <v>1.3777999999999999</v>
      </c>
      <c r="AD5" s="1468">
        <f>ROUND(AVERAGE(I5:I$29)/100,4)</f>
        <v>1.9199999999999998E-2</v>
      </c>
      <c r="AE5" s="1468">
        <f>ROUND(AVERAGE(J5:J$29)/100,4)</f>
        <v>1.34E-2</v>
      </c>
      <c r="AF5" s="1468">
        <f t="shared" ref="AF5" si="12">AE5</f>
        <v>1.34E-2</v>
      </c>
      <c r="AG5" s="1468">
        <f>ROUND(AVERAGE(K5:K$29)/100,4)</f>
        <v>2.1000000000000001E-2</v>
      </c>
      <c r="AH5" s="1468">
        <f>ROUND(AVERAGE(L5:L$29)/100,4)</f>
        <v>1.35E-2</v>
      </c>
    </row>
    <row r="6" spans="1:34" s="1466" customFormat="1">
      <c r="A6" s="1461" t="s">
        <v>3052</v>
      </c>
      <c r="B6" s="1477">
        <f t="shared" ref="B6" si="13">B7*(1+N6)</f>
        <v>479.34737379023579</v>
      </c>
      <c r="C6" s="1477">
        <f t="shared" ref="C6" si="14">C7*(1+O6)</f>
        <v>351.4265287986122</v>
      </c>
      <c r="D6" s="1477">
        <f t="shared" ref="D6" si="15">C6</f>
        <v>351.4265287986122</v>
      </c>
      <c r="E6" s="1477">
        <f t="shared" ref="E6" si="16">E7*(1+P6)</f>
        <v>685.98209703803116</v>
      </c>
      <c r="F6" s="1477">
        <f t="shared" ref="F6" si="17">F7*(1+Q6)</f>
        <v>316.78315206651001</v>
      </c>
      <c r="G6" s="2953">
        <v>2019</v>
      </c>
      <c r="H6" s="1464">
        <v>4</v>
      </c>
      <c r="I6" s="1464">
        <v>0.45</v>
      </c>
      <c r="J6" s="1464">
        <v>-0.12</v>
      </c>
      <c r="K6" s="1464">
        <v>0.54</v>
      </c>
      <c r="L6" s="1478">
        <v>0.48</v>
      </c>
      <c r="M6" s="1471"/>
      <c r="N6" s="1472">
        <f t="shared" ref="N6:N11" si="18">I6/100</f>
        <v>4.5000000000000005E-3</v>
      </c>
      <c r="O6" s="1473">
        <f t="shared" ref="O6" si="19">J6/100</f>
        <v>-1.1999999999999999E-3</v>
      </c>
      <c r="P6" s="1473">
        <f t="shared" ref="P6" si="20">K6/100</f>
        <v>5.4000000000000003E-3</v>
      </c>
      <c r="Q6" s="1473">
        <f t="shared" ref="Q6" si="21">L6/100</f>
        <v>4.7999999999999996E-3</v>
      </c>
      <c r="R6" s="1474"/>
      <c r="S6" s="1472"/>
      <c r="T6" s="1473"/>
      <c r="U6" s="1473"/>
      <c r="V6" s="1473"/>
      <c r="W6" s="1789"/>
      <c r="X6" s="1787">
        <f>ROUND(IF(项目基本情况!B8="出让",SUMPRODUCT(PRODUCT(1+N6:N$29)),SUMPRODUCT(PRODUCT(1+N6:N$28))),4)</f>
        <v>1.5586</v>
      </c>
      <c r="Y6" s="1787">
        <f>ROUND(IF(项目基本情况!B8="出让",SUMPRODUCT(PRODUCT(1+O6:O$29)),SUMPRODUCT(PRODUCT(1+O6:O$28))),4)</f>
        <v>1.3633</v>
      </c>
      <c r="Z6" s="1787">
        <f t="shared" ref="Z6" si="22">Y6</f>
        <v>1.3633</v>
      </c>
      <c r="AA6" s="1787">
        <f>ROUND(IF(项目基本情况!B8="出让",SUMPRODUCT(PRODUCT(1+P6:P$29)),SUMPRODUCT(PRODUCT(1+P6:P$28))),4)</f>
        <v>1.6221000000000001</v>
      </c>
      <c r="AB6" s="1787">
        <f>ROUND(IF(项目基本情况!B8="出让",SUMPRODUCT(PRODUCT(1+Q6:Q$29)),SUMPRODUCT(PRODUCT(1+Q6:Q$28))),4)</f>
        <v>1.3777999999999999</v>
      </c>
      <c r="AC6" s="1789"/>
      <c r="AD6" s="1788">
        <f>ROUND(AVERAGE(I6:I$29)/100,4)</f>
        <v>0.02</v>
      </c>
      <c r="AE6" s="1788">
        <f>ROUND(AVERAGE(J6:J$29)/100,4)</f>
        <v>1.4E-2</v>
      </c>
      <c r="AF6" s="1788">
        <f t="shared" ref="AF6" si="23">AE6</f>
        <v>1.4E-2</v>
      </c>
      <c r="AG6" s="1788">
        <f>ROUND(AVERAGE(K6:K$29)/100,4)</f>
        <v>2.1899999999999999E-2</v>
      </c>
      <c r="AH6" s="1788">
        <f>ROUND(AVERAGE(L6:L$29)/100,4)</f>
        <v>1.4E-2</v>
      </c>
    </row>
    <row r="7" spans="1:34" s="1466" customFormat="1" ht="13.8" thickBot="1">
      <c r="A7" s="1461" t="s">
        <v>3048</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2">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6" customFormat="1">
      <c r="A8" s="1461" t="s">
        <v>3046</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8">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6" customFormat="1" ht="13.8" thickBot="1">
      <c r="A9" s="1461" t="s">
        <v>3044</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2">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6" customFormat="1">
      <c r="A10" s="1461" t="s">
        <v>3047</v>
      </c>
      <c r="B10" s="2949">
        <f t="shared" ref="B10" si="57">B11*(1+N10)</f>
        <v>464.37293017158942</v>
      </c>
      <c r="C10" s="2949">
        <f t="shared" ref="C10" si="58">C11*(1+O10)</f>
        <v>344.73679941385956</v>
      </c>
      <c r="D10" s="2949">
        <f t="shared" ref="D10" si="59">C10</f>
        <v>344.73679941385956</v>
      </c>
      <c r="E10" s="2949">
        <f t="shared" ref="E10" si="60">E11*(1+P10)</f>
        <v>663.2377795103107</v>
      </c>
      <c r="F10" s="2950">
        <f t="shared" ref="F10" si="61">F11*(1+Q10)</f>
        <v>304.75936311478398</v>
      </c>
      <c r="G10" s="3369">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6" customFormat="1" ht="14.4" customHeight="1">
      <c r="A11" s="1461" t="s">
        <v>3041</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369"/>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6" customFormat="1" ht="14.4" customHeight="1">
      <c r="A12" s="1461" t="s">
        <v>3040</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369"/>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6" customFormat="1" ht="15" customHeight="1" thickBot="1">
      <c r="A13" s="1461" t="s">
        <v>3033</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376"/>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1" t="s">
        <v>3030</v>
      </c>
      <c r="B14" s="1469">
        <v>439</v>
      </c>
      <c r="C14" s="1469">
        <v>327</v>
      </c>
      <c r="D14" s="1469">
        <f>C14</f>
        <v>327</v>
      </c>
      <c r="E14" s="1469">
        <v>627</v>
      </c>
      <c r="F14" s="1470">
        <v>283</v>
      </c>
      <c r="G14" s="3372">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 customHeight="1">
      <c r="A15" s="1461" t="s">
        <v>3031</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369"/>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369"/>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3"/>
      <c r="AD16" s="1788">
        <f>ROUND(AVERAGE(I16:I$29)/100,4)</f>
        <v>2.46E-2</v>
      </c>
      <c r="AE16" s="1788">
        <f>ROUND(AVERAGE(J16:J$29)/100,4)</f>
        <v>1.6E-2</v>
      </c>
      <c r="AF16" s="1788">
        <f t="shared" si="1"/>
        <v>1.6E-2</v>
      </c>
      <c r="AG16" s="1788">
        <f>ROUND(AVERAGE(K16:K$29)/100,4)</f>
        <v>2.75E-2</v>
      </c>
      <c r="AH16" s="1788">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376"/>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1" t="s">
        <v>154</v>
      </c>
      <c r="B18" s="1469">
        <v>392</v>
      </c>
      <c r="C18" s="1469">
        <v>302</v>
      </c>
      <c r="D18" s="1469">
        <f>C18</f>
        <v>302</v>
      </c>
      <c r="E18" s="1469">
        <v>553</v>
      </c>
      <c r="F18" s="1470">
        <v>266</v>
      </c>
      <c r="G18" s="3372">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369"/>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369"/>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8"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370"/>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8" thickBot="1">
      <c r="A22" s="1461" t="s">
        <v>151</v>
      </c>
      <c r="B22" s="1469">
        <v>333</v>
      </c>
      <c r="C22" s="1469">
        <v>277</v>
      </c>
      <c r="D22" s="1469">
        <f t="shared" si="119"/>
        <v>277</v>
      </c>
      <c r="E22" s="1469">
        <v>459</v>
      </c>
      <c r="F22" s="1470">
        <v>249</v>
      </c>
      <c r="G22" s="3368">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369"/>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369"/>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370"/>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8" thickBot="1">
      <c r="A26" s="1461" t="s">
        <v>147</v>
      </c>
      <c r="B26" s="1490">
        <v>318</v>
      </c>
      <c r="C26" s="1490">
        <v>268</v>
      </c>
      <c r="D26" s="1490">
        <f t="shared" si="119"/>
        <v>268</v>
      </c>
      <c r="E26" s="1490">
        <v>437</v>
      </c>
      <c r="F26" s="1491">
        <v>237</v>
      </c>
      <c r="G26" s="3368">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369"/>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8"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369"/>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8"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370"/>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6">
        <f>I29/100</f>
        <v>2.9700000000000001E-2</v>
      </c>
      <c r="AE29" s="1726">
        <f>J29/100</f>
        <v>2.3399999999999997E-2</v>
      </c>
      <c r="AF29" s="1726">
        <f>AE29</f>
        <v>2.3399999999999997E-2</v>
      </c>
      <c r="AG29" s="1726">
        <f>K29/100</f>
        <v>3.2799999999999996E-2</v>
      </c>
      <c r="AH29" s="1726">
        <f>L29/100</f>
        <v>1.3600000000000001E-2</v>
      </c>
    </row>
    <row r="30" spans="1:34" ht="13.8" thickBot="1">
      <c r="A30" s="1461" t="s">
        <v>1158</v>
      </c>
      <c r="B30" s="1469">
        <v>299</v>
      </c>
      <c r="C30" s="1469">
        <v>252</v>
      </c>
      <c r="D30" s="1469">
        <f t="shared" si="119"/>
        <v>252</v>
      </c>
      <c r="E30" s="1469">
        <v>409</v>
      </c>
      <c r="F30" s="1470">
        <v>227</v>
      </c>
      <c r="G30" s="3373">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374"/>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374"/>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375"/>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8" thickBot="1">
      <c r="A34" s="1461" t="s">
        <v>1162</v>
      </c>
      <c r="B34" s="1511">
        <v>278</v>
      </c>
      <c r="C34" s="1511">
        <v>234</v>
      </c>
      <c r="D34" s="1511">
        <f t="shared" si="119"/>
        <v>234</v>
      </c>
      <c r="E34" s="1511">
        <v>379</v>
      </c>
      <c r="F34" s="1512">
        <v>220</v>
      </c>
      <c r="G34" s="3368">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369"/>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369"/>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8" thickBot="1">
      <c r="A37" s="1461" t="s">
        <v>1165</v>
      </c>
      <c r="B37" s="1477">
        <f>B36/(1+N36)</f>
        <v>275.19025476197027</v>
      </c>
      <c r="C37" s="1513">
        <v>232</v>
      </c>
      <c r="D37" s="1513">
        <f t="shared" si="119"/>
        <v>232</v>
      </c>
      <c r="E37" s="1477">
        <f t="shared" si="130"/>
        <v>375.65990977608692</v>
      </c>
      <c r="F37" s="1477">
        <f t="shared" si="130"/>
        <v>214.12518283971252</v>
      </c>
      <c r="G37" s="3370"/>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8" thickBot="1">
      <c r="A38" s="1461" t="s">
        <v>1166</v>
      </c>
      <c r="B38" s="1469">
        <v>275</v>
      </c>
      <c r="C38" s="1469">
        <v>232</v>
      </c>
      <c r="D38" s="1469">
        <f t="shared" si="119"/>
        <v>232</v>
      </c>
      <c r="E38" s="1469">
        <v>376</v>
      </c>
      <c r="F38" s="1470">
        <v>213</v>
      </c>
      <c r="G38" s="3368">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369">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369">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8"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370">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8" thickBot="1">
      <c r="A42" s="1461" t="s">
        <v>1170</v>
      </c>
      <c r="B42" s="1469">
        <v>269</v>
      </c>
      <c r="C42" s="1469">
        <v>221</v>
      </c>
      <c r="D42" s="1469">
        <f t="shared" si="119"/>
        <v>221</v>
      </c>
      <c r="E42" s="1469">
        <v>373</v>
      </c>
      <c r="F42" s="1470">
        <v>196</v>
      </c>
      <c r="G42" s="3368">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369">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369">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8"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370">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8" thickBot="1">
      <c r="A46" s="1461" t="s">
        <v>1174</v>
      </c>
      <c r="B46" s="1469">
        <v>220</v>
      </c>
      <c r="C46" s="1469">
        <v>187</v>
      </c>
      <c r="D46" s="1469">
        <f t="shared" si="119"/>
        <v>187</v>
      </c>
      <c r="E46" s="1469">
        <v>301</v>
      </c>
      <c r="F46" s="1470">
        <v>168</v>
      </c>
      <c r="G46" s="3368">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369">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369">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370">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8" thickBot="1">
      <c r="A50" s="1461" t="s">
        <v>1178</v>
      </c>
      <c r="B50" s="1511">
        <v>214</v>
      </c>
      <c r="C50" s="1511">
        <v>188</v>
      </c>
      <c r="D50" s="1511">
        <f t="shared" si="119"/>
        <v>188</v>
      </c>
      <c r="E50" s="1511">
        <v>289</v>
      </c>
      <c r="F50" s="1512">
        <v>166</v>
      </c>
      <c r="G50" s="3368">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369">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369">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8"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370">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8" thickBot="1">
      <c r="A54" s="1461" t="s">
        <v>1182</v>
      </c>
      <c r="B54" s="1469">
        <v>188</v>
      </c>
      <c r="C54" s="1469">
        <v>165</v>
      </c>
      <c r="D54" s="1469">
        <f t="shared" si="119"/>
        <v>165</v>
      </c>
      <c r="E54" s="1469">
        <v>254</v>
      </c>
      <c r="F54" s="1470">
        <v>148</v>
      </c>
      <c r="G54" s="3368">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369">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369">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370">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8" thickBot="1">
      <c r="A58" s="1461" t="s">
        <v>1186</v>
      </c>
      <c r="B58" s="1490">
        <v>159</v>
      </c>
      <c r="C58" s="1490">
        <v>141</v>
      </c>
      <c r="D58" s="1490">
        <f t="shared" si="119"/>
        <v>141</v>
      </c>
      <c r="E58" s="1490">
        <v>195</v>
      </c>
      <c r="F58" s="1491">
        <v>122</v>
      </c>
      <c r="G58" s="3368">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369">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369">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370">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8" thickBot="1">
      <c r="A62" s="1461" t="s">
        <v>1190</v>
      </c>
      <c r="B62" s="1490">
        <v>138</v>
      </c>
      <c r="C62" s="1490">
        <v>131</v>
      </c>
      <c r="D62" s="1490">
        <f t="shared" si="119"/>
        <v>131</v>
      </c>
      <c r="E62" s="1490">
        <v>155</v>
      </c>
      <c r="F62" s="1491">
        <v>114</v>
      </c>
      <c r="G62" s="3368">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369">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369">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370">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8" thickBot="1">
      <c r="A66" s="1461" t="s">
        <v>1194</v>
      </c>
      <c r="B66" s="1511">
        <v>121</v>
      </c>
      <c r="C66" s="1511">
        <v>122</v>
      </c>
      <c r="D66" s="1511">
        <f t="shared" si="119"/>
        <v>122</v>
      </c>
      <c r="E66" s="1511">
        <v>124</v>
      </c>
      <c r="F66" s="1512">
        <v>107</v>
      </c>
      <c r="G66" s="3368">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369">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369">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8"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370">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8" thickBot="1">
      <c r="A70" s="1461" t="s">
        <v>1198</v>
      </c>
      <c r="B70" s="1532">
        <v>111</v>
      </c>
      <c r="C70" s="1532">
        <v>114</v>
      </c>
      <c r="D70" s="1532">
        <f t="shared" si="119"/>
        <v>114</v>
      </c>
      <c r="E70" s="1532">
        <v>108</v>
      </c>
      <c r="F70" s="1533">
        <v>104</v>
      </c>
      <c r="G70" s="3368">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369">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369">
        <v>2003</v>
      </c>
      <c r="H72" s="1465">
        <v>2</v>
      </c>
      <c r="I72" s="1534"/>
      <c r="J72" s="1534"/>
      <c r="K72" s="1534"/>
      <c r="L72" s="1534"/>
      <c r="X72" s="1526"/>
      <c r="Y72" s="1526"/>
      <c r="Z72" s="1526"/>
    </row>
    <row r="73" spans="1:26" ht="13.8" thickBot="1">
      <c r="A73" s="1461" t="s">
        <v>1201</v>
      </c>
      <c r="B73" s="1536">
        <f t="shared" si="155"/>
        <v>107.25</v>
      </c>
      <c r="C73" s="1536">
        <f t="shared" si="155"/>
        <v>108.75</v>
      </c>
      <c r="D73" s="1536">
        <f t="shared" si="119"/>
        <v>108.75</v>
      </c>
      <c r="E73" s="1536">
        <f t="shared" si="156"/>
        <v>105.75</v>
      </c>
      <c r="F73" s="1536">
        <f t="shared" si="156"/>
        <v>102.5</v>
      </c>
      <c r="G73" s="3370">
        <v>2003</v>
      </c>
      <c r="H73" s="1537">
        <v>1</v>
      </c>
      <c r="I73" s="1534"/>
      <c r="J73" s="1534"/>
      <c r="K73" s="1534"/>
      <c r="L73" s="1534"/>
      <c r="S73" s="1472"/>
      <c r="T73" s="1473"/>
      <c r="U73" s="1473"/>
      <c r="X73" s="1526"/>
      <c r="Y73" s="1526"/>
      <c r="Z73" s="1526"/>
    </row>
    <row r="74" spans="1:26" ht="13.8" thickBot="1">
      <c r="A74" s="1461" t="s">
        <v>1202</v>
      </c>
      <c r="B74" s="1538">
        <v>106</v>
      </c>
      <c r="C74" s="1538">
        <v>107</v>
      </c>
      <c r="D74" s="1538">
        <f t="shared" si="119"/>
        <v>107</v>
      </c>
      <c r="E74" s="1538">
        <v>105</v>
      </c>
      <c r="F74" s="1539">
        <v>102</v>
      </c>
      <c r="G74" s="3368">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369">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369">
        <v>2002</v>
      </c>
      <c r="H76" s="1465">
        <v>2</v>
      </c>
      <c r="I76" s="1534"/>
      <c r="J76" s="1534"/>
      <c r="K76" s="1534"/>
      <c r="L76" s="1534"/>
      <c r="X76" s="1526"/>
      <c r="Y76" s="1526"/>
      <c r="Z76" s="1526"/>
    </row>
    <row r="77" spans="1:26" s="1498" customFormat="1" ht="13.8" thickBot="1">
      <c r="A77" s="1494" t="s">
        <v>1205</v>
      </c>
      <c r="B77" s="1540">
        <f t="shared" si="157"/>
        <v>103</v>
      </c>
      <c r="C77" s="1540">
        <f t="shared" si="157"/>
        <v>104</v>
      </c>
      <c r="D77" s="1540">
        <f t="shared" si="119"/>
        <v>104</v>
      </c>
      <c r="E77" s="1540">
        <f t="shared" si="158"/>
        <v>103.5</v>
      </c>
      <c r="F77" s="1540">
        <f t="shared" si="158"/>
        <v>100.5</v>
      </c>
      <c r="G77" s="3370">
        <v>2002</v>
      </c>
      <c r="H77" s="1541">
        <v>1</v>
      </c>
      <c r="I77" s="1542"/>
      <c r="J77" s="1542"/>
      <c r="K77" s="1542"/>
      <c r="L77" s="1542"/>
      <c r="N77" s="1543"/>
      <c r="S77" s="1543"/>
      <c r="X77" s="1544"/>
      <c r="Y77" s="1544"/>
      <c r="Z77" s="1544"/>
    </row>
    <row r="78" spans="1:26" ht="13.8"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8"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8"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1"/>
  <sheetViews>
    <sheetView workbookViewId="0">
      <selection activeCell="N13" sqref="N13"/>
    </sheetView>
  </sheetViews>
  <sheetFormatPr defaultRowHeight="14.4"/>
  <sheetData/>
  <phoneticPr fontId="14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524"/>
  <sheetViews>
    <sheetView zoomScale="90" zoomScaleNormal="90" workbookViewId="0">
      <pane ySplit="24" topLeftCell="A25" activePane="bottomLeft" state="frozen"/>
      <selection activeCell="F7" sqref="F7"/>
      <selection pane="bottomLeft" activeCell="F7" sqref="F7"/>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378" t="s">
        <v>3002</v>
      </c>
      <c r="D1" s="3379"/>
      <c r="E1" s="3379"/>
      <c r="F1" s="3379"/>
      <c r="G1" s="3379"/>
      <c r="H1" s="3379"/>
      <c r="I1" s="3379"/>
      <c r="J1" s="3379"/>
      <c r="K1" s="3379"/>
      <c r="L1" s="3379"/>
      <c r="M1" s="3379"/>
      <c r="N1" s="3379"/>
      <c r="O1" s="3379"/>
      <c r="P1" s="3379"/>
      <c r="Q1" s="3379"/>
      <c r="R1" s="3379"/>
      <c r="S1" s="3380"/>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3005</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3006</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3007</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3011</v>
      </c>
      <c r="B17" s="2910"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1" t="s">
        <v>3013</v>
      </c>
      <c r="E19" s="1791"/>
      <c r="F19" s="1791"/>
      <c r="G19" s="1791"/>
      <c r="H19" s="1280"/>
      <c r="I19" s="168"/>
      <c r="J19" s="168"/>
      <c r="K19" s="168"/>
      <c r="L19" s="168"/>
      <c r="M19" s="168"/>
      <c r="N19" s="168"/>
      <c r="O19" s="168"/>
      <c r="P19" s="168"/>
      <c r="Q19" s="168"/>
      <c r="R19" s="788"/>
      <c r="S19" s="138"/>
    </row>
    <row r="20" spans="1:45" ht="16.2" thickBot="1">
      <c r="A20" s="715" t="s">
        <v>3014</v>
      </c>
      <c r="B20" s="338" t="e">
        <f ca="1">IF(D20="——",S22,S22-F20)</f>
        <v>#REF!</v>
      </c>
      <c r="C20" s="168"/>
      <c r="D20" s="2912" t="s">
        <v>3015</v>
      </c>
      <c r="E20" s="1792"/>
      <c r="F20" s="1204" t="e">
        <f ca="1">SUMIF(INDIRECT("'"&amp;H20&amp;"'"&amp;"!A:A"),"承租人权益价值",INDIRECT("'"&amp;H20&amp;"'"&amp;"!c:c"))</f>
        <v>#REF!</v>
      </c>
      <c r="G20" s="1204" t="s">
        <v>3016</v>
      </c>
      <c r="H20" s="2913"/>
      <c r="I20" s="168"/>
      <c r="J20" s="168"/>
      <c r="K20" s="168"/>
      <c r="L20" s="168"/>
      <c r="M20" s="168"/>
      <c r="N20" s="168"/>
      <c r="O20" s="168"/>
      <c r="P20" s="168"/>
      <c r="Q20" s="168"/>
      <c r="R20" s="788"/>
      <c r="S20" s="138"/>
    </row>
    <row r="21" spans="1:45" ht="15.6">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43" t="s">
        <v>33</v>
      </c>
      <c r="D22" s="3144"/>
      <c r="E22" s="3144"/>
      <c r="F22" s="3144"/>
      <c r="G22" s="3144"/>
      <c r="H22" s="3144"/>
      <c r="I22" s="3144"/>
      <c r="J22" s="3144"/>
      <c r="K22" s="3144"/>
      <c r="L22" s="3144"/>
      <c r="M22" s="3144"/>
      <c r="N22" s="3144"/>
      <c r="O22" s="3144"/>
      <c r="P22" s="3144"/>
      <c r="Q22" s="3377"/>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D20" xr:uid="{00000000-0002-0000-2B00-000007000000}">
      <formula1>"需扣减承租人权益,——"</formula1>
    </dataValidation>
    <dataValidation type="list" allowBlank="1" showInputMessage="1" showErrorMessage="1" sqref="H20" xr:uid="{00000000-0002-0000-2B00-00000800000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69642</v>
      </c>
      <c r="C2" s="2" t="s">
        <v>133</v>
      </c>
      <c r="D2" s="243"/>
      <c r="E2" s="243"/>
      <c r="F2" s="243"/>
      <c r="G2" s="243"/>
    </row>
    <row r="3" spans="1:7" s="244" customFormat="1" ht="18" customHeight="1" thickBot="1">
      <c r="A3" s="247" t="s">
        <v>85</v>
      </c>
      <c r="B3" s="248">
        <f ca="1">ROUND(B2*10000/'数据-汇总表'!E3,0)</f>
        <v>9540</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90</v>
      </c>
      <c r="F9" s="265"/>
      <c r="G9" s="270"/>
    </row>
    <row r="10" spans="1:7" s="258" customFormat="1" ht="13.5" customHeight="1">
      <c r="A10" s="950" t="s">
        <v>801</v>
      </c>
      <c r="B10" s="268" t="s">
        <v>94</v>
      </c>
      <c r="C10" s="269">
        <f>ROUND(D10*E10/10000,0)</f>
        <v>657</v>
      </c>
      <c r="D10" s="1032">
        <f>'数据-汇总表'!E6</f>
        <v>73003.73</v>
      </c>
      <c r="E10" s="269">
        <f>'数据-取费表'!B28</f>
        <v>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1460</v>
      </c>
      <c r="D19" s="1036">
        <f>'数据-汇总表'!E3</f>
        <v>73003.73</v>
      </c>
      <c r="E19" s="255">
        <f>'数据-取费表'!B31</f>
        <v>200</v>
      </c>
      <c r="F19" s="275"/>
      <c r="G19" s="1" t="s">
        <v>1070</v>
      </c>
    </row>
    <row r="20" spans="1:7" s="258" customFormat="1" ht="13.5" customHeight="1">
      <c r="A20" s="948" t="s">
        <v>1053</v>
      </c>
      <c r="B20" s="254" t="s">
        <v>104</v>
      </c>
      <c r="C20" s="276">
        <f>ROUND((C5+C19)*F20,0)</f>
        <v>441</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2167</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142</v>
      </c>
      <c r="D24" s="282"/>
      <c r="E24" s="282"/>
      <c r="F24" s="283"/>
      <c r="G24" s="284" t="s">
        <v>109</v>
      </c>
    </row>
    <row r="25" spans="1:7" s="258" customFormat="1" ht="24">
      <c r="A25" s="951" t="s">
        <v>793</v>
      </c>
      <c r="B25" s="259" t="s">
        <v>1054</v>
      </c>
      <c r="C25" s="1355">
        <f ca="1">ROUND(IF('数据-取费表'!B22&lt;=1,C20*F22*'数据-取费表'!B23/2,C20*(POWER((1+F22),'数据-取费表'!B23/2)-1)),0)</f>
        <v>21</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6.4">
      <c r="A27" s="948" t="s">
        <v>787</v>
      </c>
      <c r="B27" s="288" t="s">
        <v>112</v>
      </c>
      <c r="C27" s="289">
        <f>C28</f>
        <v>4502</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4502</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31627</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28416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25551</v>
      </c>
      <c r="D34" s="261"/>
      <c r="E34" s="264"/>
      <c r="F34" s="301">
        <f>IF('数据-取费表'!B24=0,1,'数据-取费表'!N16)</f>
        <v>1</v>
      </c>
      <c r="G34" s="263" t="s">
        <v>116</v>
      </c>
    </row>
    <row r="35" spans="1:7" ht="13.5" customHeight="1">
      <c r="A35" s="951" t="s">
        <v>796</v>
      </c>
      <c r="B35" s="259" t="s">
        <v>60</v>
      </c>
      <c r="C35" s="264">
        <f>ROUND(C34*F35,0)</f>
        <v>1022</v>
      </c>
      <c r="D35" s="264"/>
      <c r="E35" s="264"/>
      <c r="F35" s="303">
        <f>'数据-取费表'!B33</f>
        <v>0.04</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1460</v>
      </c>
      <c r="D37" s="261">
        <f>'数据-汇总表'!E3</f>
        <v>73003.73</v>
      </c>
      <c r="E37" s="293">
        <f>'数据-取费表'!B35</f>
        <v>200</v>
      </c>
      <c r="F37" s="303"/>
      <c r="G37" s="305" t="s">
        <v>119</v>
      </c>
    </row>
    <row r="38" spans="1:7" ht="13.5" customHeight="1">
      <c r="A38" s="951" t="s">
        <v>799</v>
      </c>
      <c r="B38" s="259" t="s">
        <v>63</v>
      </c>
      <c r="C38" s="264">
        <f>ROUND(C34*F38,0)</f>
        <v>383</v>
      </c>
      <c r="D38" s="264"/>
      <c r="E38" s="264"/>
      <c r="F38" s="303">
        <f>'数据-取费表'!B36</f>
        <v>1.4999999999999999E-2</v>
      </c>
      <c r="G38" s="263" t="s">
        <v>117</v>
      </c>
    </row>
    <row r="39" spans="1:7" s="258" customFormat="1" ht="13.5" customHeight="1">
      <c r="A39" s="948" t="s">
        <v>783</v>
      </c>
      <c r="B39" s="254" t="s">
        <v>104</v>
      </c>
      <c r="C39" s="276">
        <f>ROUND(C33*F20,0)</f>
        <v>568</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1377</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1350</v>
      </c>
      <c r="D42" s="282"/>
      <c r="E42" s="282"/>
      <c r="F42" s="283"/>
      <c r="G42" s="3228" t="s">
        <v>121</v>
      </c>
    </row>
    <row r="43" spans="1:7" ht="13.5" customHeight="1">
      <c r="A43" s="951" t="s">
        <v>792</v>
      </c>
      <c r="B43" s="259" t="s">
        <v>1060</v>
      </c>
      <c r="C43" s="282">
        <f ca="1">ROUND(IF('数据-取费表'!B22&lt;=1,C39*F22*'数据-取费表'!B21/2,C39*(POWER((1+F22),'数据-取费表'!B21/2)-1)),0)</f>
        <v>27</v>
      </c>
      <c r="D43" s="282"/>
      <c r="E43" s="282"/>
      <c r="F43" s="283"/>
      <c r="G43" s="3229"/>
    </row>
    <row r="44" spans="1:7" ht="13.5" customHeight="1">
      <c r="A44" s="951" t="s">
        <v>793</v>
      </c>
      <c r="B44" s="259" t="s">
        <v>1062</v>
      </c>
      <c r="C44" s="282">
        <f ca="1">ROUND(IF('数据-取费表'!B22&lt;=1,C40*F22*'数据-取费表'!B21/2,C40*(POWER((1+F22),'数据-取费表'!B21/2)-1)),4)</f>
        <v>1E-3</v>
      </c>
      <c r="D44" s="282"/>
      <c r="E44" s="282"/>
      <c r="F44" s="283"/>
      <c r="G44" s="3230"/>
    </row>
    <row r="45" spans="1:7" s="258" customFormat="1" ht="13.5" customHeight="1">
      <c r="A45" s="948" t="s">
        <v>786</v>
      </c>
      <c r="B45" s="288" t="s">
        <v>112</v>
      </c>
      <c r="C45" s="289">
        <f>C46</f>
        <v>5797</v>
      </c>
      <c r="D45" s="279">
        <f>C47</f>
        <v>4.0000000000000001E-3</v>
      </c>
      <c r="E45" s="280" t="s">
        <v>129</v>
      </c>
      <c r="F45" s="290"/>
      <c r="G45" s="291" t="s">
        <v>1068</v>
      </c>
    </row>
    <row r="46" spans="1:7" s="258" customFormat="1" ht="13.5" customHeight="1">
      <c r="A46" s="951" t="s">
        <v>794</v>
      </c>
      <c r="B46" s="292" t="s">
        <v>1061</v>
      </c>
      <c r="C46" s="293">
        <f>ROUND((C33+C39)*F27,0)</f>
        <v>5797</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39191</v>
      </c>
      <c r="D49" s="276"/>
      <c r="E49" s="276"/>
      <c r="F49" s="308"/>
      <c r="G49" s="278" t="s">
        <v>1069</v>
      </c>
    </row>
    <row r="50" spans="1:7" s="302" customFormat="1" ht="24">
      <c r="A50" s="948" t="s">
        <v>789</v>
      </c>
      <c r="B50" s="254" t="s">
        <v>124</v>
      </c>
      <c r="C50" s="276"/>
      <c r="D50" s="276"/>
      <c r="E50" s="276"/>
      <c r="F50" s="308">
        <f>IF('数据-取费表'!B24=0,'数据-取费表'!N16,1)</f>
        <v>0.97</v>
      </c>
      <c r="G50" s="291" t="s">
        <v>125</v>
      </c>
    </row>
    <row r="51" spans="1:7" ht="16.5" customHeight="1">
      <c r="A51" s="948" t="s">
        <v>790</v>
      </c>
      <c r="B51" s="254" t="s">
        <v>132</v>
      </c>
      <c r="C51" s="276">
        <f ca="1">ROUND(C49*F50,0)</f>
        <v>38015</v>
      </c>
      <c r="D51" s="276"/>
      <c r="E51" s="276"/>
      <c r="F51" s="308"/>
      <c r="G51" s="278" t="s">
        <v>64</v>
      </c>
    </row>
    <row r="52" spans="1:7" s="252" customFormat="1" ht="16.8" thickBot="1">
      <c r="A52" s="309" t="s">
        <v>65</v>
      </c>
      <c r="B52" s="310"/>
      <c r="C52" s="311">
        <f ca="1">C31+C51</f>
        <v>69642</v>
      </c>
      <c r="D52" s="310"/>
      <c r="E52" s="310"/>
      <c r="F52" s="310"/>
      <c r="G52" s="312"/>
    </row>
    <row r="55" spans="1:7" ht="15">
      <c r="B55" s="314" t="s">
        <v>66</v>
      </c>
      <c r="C55" s="315"/>
    </row>
    <row r="56" spans="1:7">
      <c r="B56" s="317" t="s">
        <v>67</v>
      </c>
      <c r="C56" s="318">
        <f ca="1">ROUND(C51/C52,3)</f>
        <v>0.54600000000000004</v>
      </c>
    </row>
    <row r="57" spans="1:7">
      <c r="B57" s="317" t="s">
        <v>68</v>
      </c>
      <c r="C57" s="319">
        <f ca="1">1-C56</f>
        <v>0.45399999999999996</v>
      </c>
    </row>
  </sheetData>
  <mergeCells count="1">
    <mergeCell ref="G42:G44"/>
  </mergeCells>
  <phoneticPr fontId="19" type="noConversion"/>
  <dataValidations count="2">
    <dataValidation type="list" allowBlank="1" showInputMessage="1" showErrorMessage="1" sqref="G19" xr:uid="{00000000-0002-0000-2C00-000000000000}">
      <formula1>"已包含在土地取得成本中,未包含在土地取得成本中"</formula1>
    </dataValidation>
    <dataValidation type="list" allowBlank="1" showInputMessage="1" showErrorMessage="1" sqref="G8" xr:uid="{00000000-0002-0000-2C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81" t="s">
        <v>156</v>
      </c>
      <c r="B1" s="3381"/>
      <c r="C1" s="3381"/>
      <c r="D1" s="3381"/>
      <c r="E1" s="3381"/>
      <c r="F1" s="33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82" t="s">
        <v>169</v>
      </c>
      <c r="B2" s="3382"/>
      <c r="C2" s="3382"/>
      <c r="D2" s="3382"/>
      <c r="E2" s="3382"/>
      <c r="F2" s="33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81" t="s">
        <v>867</v>
      </c>
      <c r="B1" s="3381"/>
    </row>
    <row r="2" spans="1:6" ht="15" thickBot="1">
      <c r="A2" s="1057"/>
      <c r="B2" s="1057"/>
    </row>
    <row r="3" spans="1:6" ht="15" thickBot="1">
      <c r="A3" s="1057"/>
      <c r="B3" s="1057"/>
      <c r="C3" s="1061" t="s">
        <v>870</v>
      </c>
      <c r="D3" s="1061" t="s">
        <v>871</v>
      </c>
      <c r="E3" s="1061" t="s">
        <v>872</v>
      </c>
      <c r="F3" s="1061" t="s">
        <v>873</v>
      </c>
    </row>
    <row r="4" spans="1:6" ht="15" thickBot="1">
      <c r="A4" s="1059" t="s">
        <v>868</v>
      </c>
      <c r="B4" s="1060" t="s">
        <v>869</v>
      </c>
      <c r="C4" s="1061"/>
      <c r="D4" s="1061"/>
      <c r="E4" s="1061"/>
      <c r="F4" s="1061"/>
    </row>
    <row r="5" spans="1:6" ht="15" thickBot="1">
      <c r="A5" s="840" t="s">
        <v>874</v>
      </c>
      <c r="B5" s="841" t="s">
        <v>875</v>
      </c>
      <c r="C5" s="1062">
        <v>8.8999999999999996E-2</v>
      </c>
      <c r="D5" s="1062">
        <v>7.3999999999999996E-2</v>
      </c>
      <c r="E5" s="1062">
        <v>7.4999999999999997E-2</v>
      </c>
      <c r="F5" s="1063">
        <v>0.1</v>
      </c>
    </row>
    <row r="6" spans="1:6" ht="15" thickBot="1">
      <c r="A6" s="840" t="s">
        <v>212</v>
      </c>
      <c r="B6" s="834" t="s">
        <v>876</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877</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878</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879</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880</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881</v>
      </c>
      <c r="C72" s="1077"/>
      <c r="D72" s="1077"/>
      <c r="E72" s="1077"/>
      <c r="F72" s="1065">
        <v>0.05</v>
      </c>
    </row>
    <row r="73" spans="1:6" ht="24.6" thickBot="1">
      <c r="A73" s="840" t="s">
        <v>137</v>
      </c>
      <c r="B73" s="834" t="s">
        <v>882</v>
      </c>
      <c r="C73" s="1077"/>
      <c r="D73" s="1077"/>
      <c r="E73" s="1077"/>
      <c r="F73" s="1065">
        <v>0.05</v>
      </c>
    </row>
    <row r="74" spans="1:6" ht="24.6" thickBot="1">
      <c r="A74" s="840" t="s">
        <v>137</v>
      </c>
      <c r="B74" s="834" t="s">
        <v>883</v>
      </c>
      <c r="C74" s="1077"/>
      <c r="D74" s="1077"/>
      <c r="E74" s="1077"/>
      <c r="F74" s="1065">
        <v>0.05</v>
      </c>
    </row>
    <row r="75" spans="1:6" ht="24.6" thickBot="1">
      <c r="A75" s="850" t="s">
        <v>137</v>
      </c>
      <c r="B75" s="846" t="s">
        <v>884</v>
      </c>
      <c r="C75" s="1074"/>
      <c r="D75" s="1074"/>
      <c r="E75" s="1074"/>
      <c r="F75" s="1067">
        <v>0.05</v>
      </c>
    </row>
    <row r="76" spans="1:6" ht="15" thickBot="1">
      <c r="A76" s="840" t="s">
        <v>523</v>
      </c>
      <c r="B76" s="841" t="s">
        <v>885</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886</v>
      </c>
      <c r="C102" s="1077"/>
      <c r="D102" s="1077"/>
      <c r="E102" s="1077"/>
      <c r="F102" s="1065">
        <v>0.05</v>
      </c>
    </row>
    <row r="103" spans="1:6" ht="24.6" thickBot="1">
      <c r="A103" s="840" t="s">
        <v>523</v>
      </c>
      <c r="B103" s="834" t="s">
        <v>887</v>
      </c>
      <c r="C103" s="1077"/>
      <c r="D103" s="1077"/>
      <c r="E103" s="1077"/>
      <c r="F103" s="1065">
        <v>0.05</v>
      </c>
    </row>
    <row r="104" spans="1:6" ht="15" thickBot="1">
      <c r="A104" s="840" t="s">
        <v>523</v>
      </c>
      <c r="B104" s="834" t="s">
        <v>888</v>
      </c>
      <c r="C104" s="1077"/>
      <c r="D104" s="1077"/>
      <c r="E104" s="1077"/>
      <c r="F104" s="1065">
        <v>0.05</v>
      </c>
    </row>
    <row r="105" spans="1:6" ht="24.6" thickBot="1">
      <c r="A105" s="840" t="s">
        <v>523</v>
      </c>
      <c r="B105" s="834" t="s">
        <v>889</v>
      </c>
      <c r="C105" s="1077"/>
      <c r="D105" s="1077"/>
      <c r="E105" s="1077"/>
      <c r="F105" s="1065">
        <v>0.05</v>
      </c>
    </row>
    <row r="106" spans="1:6" ht="24.6" thickBot="1">
      <c r="A106" s="840" t="s">
        <v>523</v>
      </c>
      <c r="B106" s="834" t="s">
        <v>890</v>
      </c>
      <c r="C106" s="1077"/>
      <c r="D106" s="1077"/>
      <c r="E106" s="1077"/>
      <c r="F106" s="1065">
        <v>0.05</v>
      </c>
    </row>
    <row r="107" spans="1:6" ht="24.6" thickBot="1">
      <c r="A107" s="840" t="s">
        <v>523</v>
      </c>
      <c r="B107" s="834" t="s">
        <v>891</v>
      </c>
      <c r="C107" s="1077"/>
      <c r="D107" s="1077"/>
      <c r="E107" s="1077"/>
      <c r="F107" s="1065">
        <v>0.05</v>
      </c>
    </row>
    <row r="108" spans="1:6" ht="24.6" thickBot="1">
      <c r="A108" s="840" t="s">
        <v>523</v>
      </c>
      <c r="B108" s="834" t="s">
        <v>892</v>
      </c>
      <c r="C108" s="1077"/>
      <c r="D108" s="1077"/>
      <c r="E108" s="1077"/>
      <c r="F108" s="1065">
        <v>0.05</v>
      </c>
    </row>
    <row r="109" spans="1:6" ht="24.6" thickBot="1">
      <c r="A109" s="850" t="s">
        <v>523</v>
      </c>
      <c r="B109" s="846" t="s">
        <v>893</v>
      </c>
      <c r="C109" s="1074"/>
      <c r="D109" s="1074"/>
      <c r="E109" s="1074"/>
      <c r="F109" s="1067">
        <v>0.05</v>
      </c>
    </row>
    <row r="110" spans="1:6" ht="15" thickBot="1">
      <c r="A110" s="840" t="s">
        <v>56</v>
      </c>
      <c r="B110" s="841" t="s">
        <v>894</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895</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896</v>
      </c>
      <c r="C138" s="1064">
        <v>0.105</v>
      </c>
      <c r="D138" s="1064">
        <v>0.125</v>
      </c>
      <c r="E138" s="1064">
        <v>0.112</v>
      </c>
      <c r="F138" s="1076"/>
    </row>
    <row r="139" spans="1:6" ht="15" thickBot="1">
      <c r="A139" s="840" t="s">
        <v>56</v>
      </c>
      <c r="B139" s="834" t="s">
        <v>897</v>
      </c>
      <c r="C139" s="1064">
        <v>0.127</v>
      </c>
      <c r="D139" s="1064">
        <v>0.127</v>
      </c>
      <c r="E139" s="1064">
        <v>0.122</v>
      </c>
      <c r="F139" s="1065">
        <v>0.13</v>
      </c>
    </row>
    <row r="140" spans="1:6" ht="15" thickBot="1">
      <c r="A140" s="840" t="s">
        <v>56</v>
      </c>
      <c r="B140" s="834" t="s">
        <v>898</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899</v>
      </c>
      <c r="C144" s="1069">
        <v>0.126</v>
      </c>
      <c r="D144" s="1069">
        <v>0.126</v>
      </c>
      <c r="E144" s="1069">
        <v>0.121</v>
      </c>
      <c r="F144" s="1076"/>
    </row>
    <row r="145" spans="1:6" ht="15" thickBot="1">
      <c r="A145" s="850" t="s">
        <v>56</v>
      </c>
      <c r="B145" s="1070" t="s">
        <v>900</v>
      </c>
      <c r="C145" s="1078"/>
      <c r="D145" s="1078"/>
      <c r="E145" s="1078"/>
      <c r="F145" s="1071">
        <v>0.05</v>
      </c>
    </row>
    <row r="146" spans="1:6" ht="24.6" thickBot="1">
      <c r="A146" s="1072" t="s">
        <v>56</v>
      </c>
      <c r="B146" s="844" t="s">
        <v>901</v>
      </c>
      <c r="C146" s="1077"/>
      <c r="D146" s="1077"/>
      <c r="E146" s="1077"/>
      <c r="F146" s="1073">
        <v>0.05</v>
      </c>
    </row>
    <row r="147" spans="1:6" ht="24.6" thickBot="1">
      <c r="A147" s="840" t="s">
        <v>56</v>
      </c>
      <c r="B147" s="834" t="s">
        <v>902</v>
      </c>
      <c r="C147" s="1077"/>
      <c r="D147" s="1077"/>
      <c r="E147" s="1077"/>
      <c r="F147" s="1065">
        <v>0.05</v>
      </c>
    </row>
    <row r="148" spans="1:6" ht="24.6" thickBot="1">
      <c r="A148" s="840" t="s">
        <v>56</v>
      </c>
      <c r="B148" s="834" t="s">
        <v>903</v>
      </c>
      <c r="C148" s="1077"/>
      <c r="D148" s="1077"/>
      <c r="E148" s="1077"/>
      <c r="F148" s="1065">
        <v>0.05</v>
      </c>
    </row>
    <row r="149" spans="1:6" ht="24.6" thickBot="1">
      <c r="A149" s="840" t="s">
        <v>56</v>
      </c>
      <c r="B149" s="834" t="s">
        <v>904</v>
      </c>
      <c r="C149" s="1077"/>
      <c r="D149" s="1077"/>
      <c r="E149" s="1077"/>
      <c r="F149" s="1065">
        <v>0.05</v>
      </c>
    </row>
    <row r="150" spans="1:6" ht="24.6" thickBot="1">
      <c r="A150" s="840" t="s">
        <v>56</v>
      </c>
      <c r="B150" s="834" t="s">
        <v>905</v>
      </c>
      <c r="C150" s="1077"/>
      <c r="D150" s="1077"/>
      <c r="E150" s="1077"/>
      <c r="F150" s="1065">
        <v>0.05</v>
      </c>
    </row>
    <row r="151" spans="1:6" ht="24.6" thickBot="1">
      <c r="A151" s="840" t="s">
        <v>56</v>
      </c>
      <c r="B151" s="834" t="s">
        <v>906</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907</v>
      </c>
      <c r="C153" s="1077"/>
      <c r="D153" s="1077"/>
      <c r="E153" s="1077"/>
      <c r="F153" s="1065">
        <v>0.05</v>
      </c>
    </row>
    <row r="154" spans="1:6" ht="15" thickBot="1">
      <c r="A154" s="840" t="s">
        <v>56</v>
      </c>
      <c r="B154" s="834" t="s">
        <v>908</v>
      </c>
      <c r="C154" s="1077"/>
      <c r="D154" s="1077"/>
      <c r="E154" s="1077"/>
      <c r="F154" s="1065">
        <v>0.05</v>
      </c>
    </row>
    <row r="155" spans="1:6" ht="24.6" thickBot="1">
      <c r="A155" s="840" t="s">
        <v>56</v>
      </c>
      <c r="B155" s="834" t="s">
        <v>909</v>
      </c>
      <c r="C155" s="1077"/>
      <c r="D155" s="1077"/>
      <c r="E155" s="1077"/>
      <c r="F155" s="1065">
        <v>0.05</v>
      </c>
    </row>
    <row r="156" spans="1:6" ht="24.6" thickBot="1">
      <c r="A156" s="840" t="s">
        <v>56</v>
      </c>
      <c r="B156" s="834" t="s">
        <v>910</v>
      </c>
      <c r="C156" s="1077"/>
      <c r="D156" s="1077"/>
      <c r="E156" s="1077"/>
      <c r="F156" s="1065">
        <v>0.05</v>
      </c>
    </row>
    <row r="157" spans="1:6" ht="24.6" thickBot="1">
      <c r="A157" s="850" t="s">
        <v>56</v>
      </c>
      <c r="B157" s="846" t="s">
        <v>911</v>
      </c>
      <c r="C157" s="1074"/>
      <c r="D157" s="1074"/>
      <c r="E157" s="1074"/>
      <c r="F157" s="1067">
        <v>0.05</v>
      </c>
    </row>
    <row r="158" spans="1:6" ht="15" thickBot="1">
      <c r="A158" s="840" t="s">
        <v>526</v>
      </c>
      <c r="B158" s="841" t="s">
        <v>912</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913</v>
      </c>
      <c r="C171" s="1064">
        <v>0.127</v>
      </c>
      <c r="D171" s="1064">
        <v>0.126</v>
      </c>
      <c r="E171" s="1064">
        <v>0.126</v>
      </c>
      <c r="F171" s="1065">
        <v>0.11799999999999999</v>
      </c>
    </row>
    <row r="172" spans="1:6" ht="15" thickBot="1">
      <c r="A172" s="840" t="s">
        <v>526</v>
      </c>
      <c r="B172" s="834" t="s">
        <v>914</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915</v>
      </c>
      <c r="C174" s="1064">
        <v>0.13</v>
      </c>
      <c r="D174" s="1064">
        <v>0.13</v>
      </c>
      <c r="E174" s="1064">
        <v>0.13</v>
      </c>
      <c r="F174" s="1065">
        <v>0.13</v>
      </c>
    </row>
    <row r="175" spans="1:6" ht="15" thickBot="1">
      <c r="A175" s="840" t="s">
        <v>526</v>
      </c>
      <c r="B175" s="834" t="s">
        <v>916</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917</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918</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919</v>
      </c>
      <c r="C185" s="1064">
        <v>0.127</v>
      </c>
      <c r="D185" s="1064">
        <v>0.127</v>
      </c>
      <c r="E185" s="1064">
        <v>0.128</v>
      </c>
      <c r="F185" s="1065">
        <v>0.13</v>
      </c>
    </row>
    <row r="186" spans="1:6" ht="24.6" thickBot="1">
      <c r="A186" s="840" t="s">
        <v>526</v>
      </c>
      <c r="B186" s="834" t="s">
        <v>920</v>
      </c>
      <c r="C186" s="1077"/>
      <c r="D186" s="1077"/>
      <c r="E186" s="1077"/>
      <c r="F186" s="1065">
        <v>0.05</v>
      </c>
    </row>
    <row r="187" spans="1:6" ht="15" thickBot="1">
      <c r="A187" s="840" t="s">
        <v>526</v>
      </c>
      <c r="B187" s="834" t="s">
        <v>921</v>
      </c>
      <c r="C187" s="1077"/>
      <c r="D187" s="1077"/>
      <c r="E187" s="1077"/>
      <c r="F187" s="1065">
        <v>0.05</v>
      </c>
    </row>
    <row r="188" spans="1:6" ht="24.6" thickBot="1">
      <c r="A188" s="840" t="s">
        <v>526</v>
      </c>
      <c r="B188" s="834" t="s">
        <v>922</v>
      </c>
      <c r="C188" s="1077"/>
      <c r="D188" s="1077"/>
      <c r="E188" s="1077"/>
      <c r="F188" s="1065">
        <v>0.05</v>
      </c>
    </row>
    <row r="189" spans="1:6" ht="24.6" thickBot="1">
      <c r="A189" s="840" t="s">
        <v>526</v>
      </c>
      <c r="B189" s="834" t="s">
        <v>923</v>
      </c>
      <c r="C189" s="1077"/>
      <c r="D189" s="1077"/>
      <c r="E189" s="1077"/>
      <c r="F189" s="1065">
        <v>0.05</v>
      </c>
    </row>
    <row r="190" spans="1:6" ht="24.6" thickBot="1">
      <c r="A190" s="840" t="s">
        <v>526</v>
      </c>
      <c r="B190" s="834" t="s">
        <v>924</v>
      </c>
      <c r="C190" s="1077"/>
      <c r="D190" s="1077"/>
      <c r="E190" s="1077"/>
      <c r="F190" s="1065">
        <v>0.05</v>
      </c>
    </row>
    <row r="191" spans="1:6" ht="24.6" thickBot="1">
      <c r="A191" s="840" t="s">
        <v>526</v>
      </c>
      <c r="B191" s="834" t="s">
        <v>925</v>
      </c>
      <c r="C191" s="1077"/>
      <c r="D191" s="1077"/>
      <c r="E191" s="1077"/>
      <c r="F191" s="1065">
        <v>0.05</v>
      </c>
    </row>
    <row r="192" spans="1:6" ht="24.6" thickBot="1">
      <c r="A192" s="840" t="s">
        <v>526</v>
      </c>
      <c r="B192" s="834" t="s">
        <v>926</v>
      </c>
      <c r="C192" s="1077"/>
      <c r="D192" s="1077"/>
      <c r="E192" s="1077"/>
      <c r="F192" s="1065">
        <v>0.05</v>
      </c>
    </row>
    <row r="193" spans="1:6" ht="24.6" thickBot="1">
      <c r="A193" s="840" t="s">
        <v>526</v>
      </c>
      <c r="B193" s="834" t="s">
        <v>927</v>
      </c>
      <c r="C193" s="1077"/>
      <c r="D193" s="1077"/>
      <c r="E193" s="1077"/>
      <c r="F193" s="1065">
        <v>0.05</v>
      </c>
    </row>
    <row r="194" spans="1:6" ht="24.6" thickBot="1">
      <c r="A194" s="840" t="s">
        <v>526</v>
      </c>
      <c r="B194" s="834" t="s">
        <v>928</v>
      </c>
      <c r="C194" s="1077"/>
      <c r="D194" s="1077"/>
      <c r="E194" s="1077"/>
      <c r="F194" s="1065">
        <v>0.05</v>
      </c>
    </row>
    <row r="195" spans="1:6" ht="15" thickBot="1">
      <c r="A195" s="840" t="s">
        <v>526</v>
      </c>
      <c r="B195" s="834" t="s">
        <v>929</v>
      </c>
      <c r="C195" s="1077"/>
      <c r="D195" s="1077"/>
      <c r="E195" s="1077"/>
      <c r="F195" s="1065">
        <v>0.05</v>
      </c>
    </row>
    <row r="196" spans="1:6" ht="24.6" thickBot="1">
      <c r="A196" s="840" t="s">
        <v>526</v>
      </c>
      <c r="B196" s="834" t="s">
        <v>930</v>
      </c>
      <c r="C196" s="1077"/>
      <c r="D196" s="1077"/>
      <c r="E196" s="1077"/>
      <c r="F196" s="1065">
        <v>0.05</v>
      </c>
    </row>
    <row r="197" spans="1:6" ht="24.6" thickBot="1">
      <c r="A197" s="840" t="s">
        <v>526</v>
      </c>
      <c r="B197" s="834" t="s">
        <v>931</v>
      </c>
      <c r="C197" s="1077"/>
      <c r="D197" s="1077"/>
      <c r="E197" s="1077"/>
      <c r="F197" s="1065">
        <v>0.05</v>
      </c>
    </row>
    <row r="198" spans="1:6" ht="24.6" thickBot="1">
      <c r="A198" s="840" t="s">
        <v>526</v>
      </c>
      <c r="B198" s="834" t="s">
        <v>932</v>
      </c>
      <c r="C198" s="1077"/>
      <c r="D198" s="1077"/>
      <c r="E198" s="1077"/>
      <c r="F198" s="1065">
        <v>0.05</v>
      </c>
    </row>
    <row r="199" spans="1:6" ht="24.6" thickBot="1">
      <c r="A199" s="840" t="s">
        <v>526</v>
      </c>
      <c r="B199" s="834" t="s">
        <v>933</v>
      </c>
      <c r="C199" s="1077"/>
      <c r="D199" s="1077"/>
      <c r="E199" s="1077"/>
      <c r="F199" s="1065">
        <v>0.05</v>
      </c>
    </row>
    <row r="200" spans="1:6" ht="24.6" thickBot="1">
      <c r="A200" s="840" t="s">
        <v>526</v>
      </c>
      <c r="B200" s="834" t="s">
        <v>934</v>
      </c>
      <c r="C200" s="1077"/>
      <c r="D200" s="1077"/>
      <c r="E200" s="1077"/>
      <c r="F200" s="1065">
        <v>0.05</v>
      </c>
    </row>
    <row r="201" spans="1:6" ht="24.6" thickBot="1">
      <c r="A201" s="840" t="s">
        <v>526</v>
      </c>
      <c r="B201" s="834" t="s">
        <v>935</v>
      </c>
      <c r="C201" s="1077"/>
      <c r="D201" s="1077"/>
      <c r="E201" s="1077"/>
      <c r="F201" s="1065">
        <v>0.05</v>
      </c>
    </row>
    <row r="202" spans="1:6" ht="24.6" thickBot="1">
      <c r="A202" s="840" t="s">
        <v>526</v>
      </c>
      <c r="B202" s="834" t="s">
        <v>936</v>
      </c>
      <c r="C202" s="1077"/>
      <c r="D202" s="1077"/>
      <c r="E202" s="1077"/>
      <c r="F202" s="1065">
        <v>0.05</v>
      </c>
    </row>
    <row r="203" spans="1:6" ht="24.6" thickBot="1">
      <c r="A203" s="840" t="s">
        <v>526</v>
      </c>
      <c r="B203" s="834" t="s">
        <v>937</v>
      </c>
      <c r="C203" s="1077"/>
      <c r="D203" s="1077"/>
      <c r="E203" s="1077"/>
      <c r="F203" s="1065">
        <v>0.05</v>
      </c>
    </row>
    <row r="204" spans="1:6" ht="15" thickBot="1">
      <c r="A204" s="840" t="s">
        <v>526</v>
      </c>
      <c r="B204" s="834" t="s">
        <v>938</v>
      </c>
      <c r="C204" s="1077"/>
      <c r="D204" s="1077"/>
      <c r="E204" s="1077"/>
      <c r="F204" s="1065">
        <v>0.05</v>
      </c>
    </row>
    <row r="205" spans="1:6" ht="15" thickBot="1">
      <c r="A205" s="850" t="s">
        <v>526</v>
      </c>
      <c r="B205" s="846" t="s">
        <v>939</v>
      </c>
      <c r="C205" s="1074"/>
      <c r="D205" s="1074"/>
      <c r="E205" s="1074"/>
      <c r="F205" s="1067">
        <v>0.05</v>
      </c>
    </row>
    <row r="206" spans="1:6" ht="15" thickBot="1">
      <c r="A206" s="840" t="s">
        <v>528</v>
      </c>
      <c r="B206" s="841" t="s">
        <v>940</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941</v>
      </c>
      <c r="C210" s="1064">
        <v>0.15</v>
      </c>
      <c r="D210" s="1064">
        <v>0.15</v>
      </c>
      <c r="E210" s="1064">
        <v>0.15</v>
      </c>
      <c r="F210" s="1065">
        <v>0.13800000000000001</v>
      </c>
    </row>
    <row r="211" spans="1:6" ht="15" thickBot="1">
      <c r="A211" s="840" t="s">
        <v>528</v>
      </c>
      <c r="B211" s="834" t="s">
        <v>942</v>
      </c>
      <c r="C211" s="1064">
        <v>0.13700000000000001</v>
      </c>
      <c r="D211" s="1064">
        <v>0.13500000000000001</v>
      </c>
      <c r="E211" s="1064">
        <v>0.13600000000000001</v>
      </c>
      <c r="F211" s="1065">
        <v>0.1</v>
      </c>
    </row>
    <row r="212" spans="1:6" ht="15" thickBot="1">
      <c r="A212" s="840" t="s">
        <v>528</v>
      </c>
      <c r="B212" s="834" t="s">
        <v>943</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944</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945</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946</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947</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948</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949</v>
      </c>
      <c r="C231" s="1064">
        <v>0.128</v>
      </c>
      <c r="D231" s="1064">
        <v>0.125</v>
      </c>
      <c r="E231" s="1064">
        <v>0.13200000000000001</v>
      </c>
      <c r="F231" s="1076"/>
    </row>
    <row r="232" spans="1:6" ht="15" thickBot="1">
      <c r="A232" s="840" t="s">
        <v>528</v>
      </c>
      <c r="B232" s="834" t="s">
        <v>950</v>
      </c>
      <c r="C232" s="1064">
        <v>0.14499999999999999</v>
      </c>
      <c r="D232" s="1064">
        <v>0.14399999999999999</v>
      </c>
      <c r="E232" s="1064">
        <v>0.14599999999999999</v>
      </c>
      <c r="F232" s="1065">
        <v>0.13800000000000001</v>
      </c>
    </row>
    <row r="233" spans="1:6" ht="15" thickBot="1">
      <c r="A233" s="840" t="s">
        <v>528</v>
      </c>
      <c r="B233" s="834" t="s">
        <v>951</v>
      </c>
      <c r="C233" s="1064">
        <v>0.14499999999999999</v>
      </c>
      <c r="D233" s="1064">
        <v>0.14299999999999999</v>
      </c>
      <c r="E233" s="1064">
        <v>0.14199999999999999</v>
      </c>
      <c r="F233" s="1076"/>
    </row>
    <row r="234" spans="1:6" ht="15" thickBot="1">
      <c r="A234" s="840" t="s">
        <v>528</v>
      </c>
      <c r="B234" s="834" t="s">
        <v>952</v>
      </c>
      <c r="C234" s="1064">
        <v>0.14000000000000001</v>
      </c>
      <c r="D234" s="1064">
        <v>0.14000000000000001</v>
      </c>
      <c r="E234" s="1064">
        <v>0.14399999999999999</v>
      </c>
      <c r="F234" s="1076"/>
    </row>
    <row r="235" spans="1:6" ht="15" thickBot="1">
      <c r="A235" s="840" t="s">
        <v>528</v>
      </c>
      <c r="B235" s="834" t="s">
        <v>953</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954</v>
      </c>
      <c r="C237" s="1077"/>
      <c r="D237" s="1077"/>
      <c r="E237" s="1077"/>
      <c r="F237" s="1065">
        <v>0.05</v>
      </c>
    </row>
    <row r="238" spans="1:6" ht="24.6" thickBot="1">
      <c r="A238" s="840" t="s">
        <v>528</v>
      </c>
      <c r="B238" s="834" t="s">
        <v>955</v>
      </c>
      <c r="C238" s="1077"/>
      <c r="D238" s="1077"/>
      <c r="E238" s="1077"/>
      <c r="F238" s="1065">
        <v>0.05</v>
      </c>
    </row>
    <row r="239" spans="1:6" ht="24.6" thickBot="1">
      <c r="A239" s="840" t="s">
        <v>528</v>
      </c>
      <c r="B239" s="834" t="s">
        <v>956</v>
      </c>
      <c r="C239" s="1077"/>
      <c r="D239" s="1077"/>
      <c r="E239" s="1077"/>
      <c r="F239" s="1065">
        <v>0.05</v>
      </c>
    </row>
    <row r="240" spans="1:6" ht="24.6" thickBot="1">
      <c r="A240" s="840" t="s">
        <v>528</v>
      </c>
      <c r="B240" s="834" t="s">
        <v>957</v>
      </c>
      <c r="C240" s="1077"/>
      <c r="D240" s="1077"/>
      <c r="E240" s="1077"/>
      <c r="F240" s="1065">
        <v>0.05</v>
      </c>
    </row>
    <row r="241" spans="1:6" ht="24.6" thickBot="1">
      <c r="A241" s="840" t="s">
        <v>528</v>
      </c>
      <c r="B241" s="834" t="s">
        <v>958</v>
      </c>
      <c r="C241" s="1077"/>
      <c r="D241" s="1077"/>
      <c r="E241" s="1077"/>
      <c r="F241" s="1065">
        <v>0.05</v>
      </c>
    </row>
    <row r="242" spans="1:6" ht="24.6" thickBot="1">
      <c r="A242" s="840" t="s">
        <v>528</v>
      </c>
      <c r="B242" s="834" t="s">
        <v>959</v>
      </c>
      <c r="C242" s="1077"/>
      <c r="D242" s="1077"/>
      <c r="E242" s="1077"/>
      <c r="F242" s="1065">
        <v>0.05</v>
      </c>
    </row>
    <row r="243" spans="1:6" ht="24.6" thickBot="1">
      <c r="A243" s="840" t="s">
        <v>528</v>
      </c>
      <c r="B243" s="834" t="s">
        <v>960</v>
      </c>
      <c r="C243" s="1077"/>
      <c r="D243" s="1077"/>
      <c r="E243" s="1077"/>
      <c r="F243" s="1065">
        <v>0.05</v>
      </c>
    </row>
    <row r="244" spans="1:6" ht="24.6" thickBot="1">
      <c r="A244" s="850" t="s">
        <v>528</v>
      </c>
      <c r="B244" s="846" t="s">
        <v>961</v>
      </c>
      <c r="C244" s="1074"/>
      <c r="D244" s="1074"/>
      <c r="E244" s="1074"/>
      <c r="F244" s="1067">
        <v>0.05</v>
      </c>
    </row>
    <row r="245" spans="1:6" ht="15" thickBot="1">
      <c r="A245" s="840" t="s">
        <v>530</v>
      </c>
      <c r="B245" s="841" t="s">
        <v>962</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963</v>
      </c>
      <c r="C247" s="1064">
        <v>0.15</v>
      </c>
      <c r="D247" s="1064">
        <v>0.15</v>
      </c>
      <c r="E247" s="1064">
        <v>0.15</v>
      </c>
      <c r="F247" s="1065">
        <v>0.15</v>
      </c>
    </row>
    <row r="248" spans="1:6" ht="15" thickBot="1">
      <c r="A248" s="840" t="s">
        <v>530</v>
      </c>
      <c r="B248" s="834" t="s">
        <v>964</v>
      </c>
      <c r="C248" s="1064">
        <v>0.15</v>
      </c>
      <c r="D248" s="1064">
        <v>0.15</v>
      </c>
      <c r="E248" s="1064">
        <v>0.15</v>
      </c>
      <c r="F248" s="1065">
        <v>0.14000000000000001</v>
      </c>
    </row>
    <row r="249" spans="1:6" ht="15" thickBot="1">
      <c r="A249" s="840" t="s">
        <v>530</v>
      </c>
      <c r="B249" s="834" t="s">
        <v>965</v>
      </c>
      <c r="C249" s="1064">
        <v>0.15</v>
      </c>
      <c r="D249" s="1064">
        <v>0.14899999999999999</v>
      </c>
      <c r="E249" s="1064">
        <v>0.15</v>
      </c>
      <c r="F249" s="1065">
        <v>0.1</v>
      </c>
    </row>
    <row r="250" spans="1:6" ht="15" thickBot="1">
      <c r="A250" s="840" t="s">
        <v>530</v>
      </c>
      <c r="B250" s="834" t="s">
        <v>966</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967</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968</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969</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970</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971</v>
      </c>
      <c r="C273" s="1064">
        <v>0.14199999999999999</v>
      </c>
      <c r="D273" s="1064">
        <v>0.14299999999999999</v>
      </c>
      <c r="E273" s="1064">
        <v>0.15</v>
      </c>
      <c r="F273" s="1065">
        <v>0.1</v>
      </c>
    </row>
    <row r="274" spans="1:6" ht="15" thickBot="1">
      <c r="A274" s="840" t="s">
        <v>530</v>
      </c>
      <c r="B274" s="834" t="s">
        <v>972</v>
      </c>
      <c r="C274" s="1064">
        <v>0.14799999999999999</v>
      </c>
      <c r="D274" s="1064">
        <v>0.14799999999999999</v>
      </c>
      <c r="E274" s="1064">
        <v>0.15</v>
      </c>
      <c r="F274" s="1065">
        <v>6.7000000000000004E-2</v>
      </c>
    </row>
    <row r="275" spans="1:6" ht="15" thickBot="1">
      <c r="A275" s="840" t="s">
        <v>530</v>
      </c>
      <c r="B275" s="834" t="s">
        <v>973</v>
      </c>
      <c r="C275" s="1064">
        <v>0.15</v>
      </c>
      <c r="D275" s="1064">
        <v>0.15</v>
      </c>
      <c r="E275" s="1064">
        <v>0.15</v>
      </c>
      <c r="F275" s="1065">
        <v>0.15</v>
      </c>
    </row>
    <row r="276" spans="1:6" ht="15" thickBot="1">
      <c r="A276" s="840" t="s">
        <v>530</v>
      </c>
      <c r="B276" s="834" t="s">
        <v>974</v>
      </c>
      <c r="C276" s="1064">
        <v>0.14499999999999999</v>
      </c>
      <c r="D276" s="1064">
        <v>0.14299999999999999</v>
      </c>
      <c r="E276" s="1064">
        <v>0.15</v>
      </c>
      <c r="F276" s="1065">
        <v>5.8999999999999997E-2</v>
      </c>
    </row>
    <row r="277" spans="1:6" ht="15" thickBot="1">
      <c r="A277" s="840" t="s">
        <v>530</v>
      </c>
      <c r="B277" s="834" t="s">
        <v>975</v>
      </c>
      <c r="C277" s="1064">
        <v>0.15</v>
      </c>
      <c r="D277" s="1064">
        <v>0.15</v>
      </c>
      <c r="E277" s="1064">
        <v>0.15</v>
      </c>
      <c r="F277" s="1065">
        <v>0.121</v>
      </c>
    </row>
    <row r="278" spans="1:6" ht="15" thickBot="1">
      <c r="A278" s="840" t="s">
        <v>530</v>
      </c>
      <c r="B278" s="834" t="s">
        <v>976</v>
      </c>
      <c r="C278" s="1064">
        <v>0.15</v>
      </c>
      <c r="D278" s="1064">
        <v>0.15</v>
      </c>
      <c r="E278" s="1064">
        <v>0.15</v>
      </c>
      <c r="F278" s="1065">
        <v>0.13800000000000001</v>
      </c>
    </row>
    <row r="279" spans="1:6" ht="24.6" thickBot="1">
      <c r="A279" s="840" t="s">
        <v>530</v>
      </c>
      <c r="B279" s="834" t="s">
        <v>977</v>
      </c>
      <c r="C279" s="1077"/>
      <c r="D279" s="1077"/>
      <c r="E279" s="1077"/>
      <c r="F279" s="1065">
        <v>0.05</v>
      </c>
    </row>
    <row r="280" spans="1:6" ht="24.6" thickBot="1">
      <c r="A280" s="840" t="s">
        <v>530</v>
      </c>
      <c r="B280" s="834" t="s">
        <v>978</v>
      </c>
      <c r="C280" s="1077"/>
      <c r="D280" s="1077"/>
      <c r="E280" s="1077"/>
      <c r="F280" s="1065">
        <v>0.05</v>
      </c>
    </row>
    <row r="281" spans="1:6" ht="24.6" thickBot="1">
      <c r="A281" s="840" t="s">
        <v>530</v>
      </c>
      <c r="B281" s="834" t="s">
        <v>979</v>
      </c>
      <c r="C281" s="1077"/>
      <c r="D281" s="1077"/>
      <c r="E281" s="1077"/>
      <c r="F281" s="1065">
        <v>0.05</v>
      </c>
    </row>
    <row r="282" spans="1:6" ht="24.6" thickBot="1">
      <c r="A282" s="840" t="s">
        <v>530</v>
      </c>
      <c r="B282" s="834" t="s">
        <v>980</v>
      </c>
      <c r="C282" s="1077"/>
      <c r="D282" s="1077"/>
      <c r="E282" s="1077"/>
      <c r="F282" s="1065">
        <v>0.05</v>
      </c>
    </row>
    <row r="283" spans="1:6" ht="24.6" thickBot="1">
      <c r="A283" s="840" t="s">
        <v>530</v>
      </c>
      <c r="B283" s="834" t="s">
        <v>981</v>
      </c>
      <c r="C283" s="1077"/>
      <c r="D283" s="1077"/>
      <c r="E283" s="1077"/>
      <c r="F283" s="1065">
        <v>0.05</v>
      </c>
    </row>
    <row r="284" spans="1:6" ht="24.6" thickBot="1">
      <c r="A284" s="840" t="s">
        <v>530</v>
      </c>
      <c r="B284" s="834" t="s">
        <v>982</v>
      </c>
      <c r="C284" s="1077"/>
      <c r="D284" s="1077"/>
      <c r="E284" s="1077"/>
      <c r="F284" s="1065">
        <v>0.05</v>
      </c>
    </row>
    <row r="285" spans="1:6" ht="24.6" thickBot="1">
      <c r="A285" s="840" t="s">
        <v>530</v>
      </c>
      <c r="B285" s="834" t="s">
        <v>983</v>
      </c>
      <c r="C285" s="1077"/>
      <c r="D285" s="1077"/>
      <c r="E285" s="1077"/>
      <c r="F285" s="1065">
        <v>0.05</v>
      </c>
    </row>
    <row r="286" spans="1:6" ht="24.6" thickBot="1">
      <c r="A286" s="840" t="s">
        <v>530</v>
      </c>
      <c r="B286" s="834" t="s">
        <v>984</v>
      </c>
      <c r="C286" s="1077"/>
      <c r="D286" s="1077"/>
      <c r="E286" s="1077"/>
      <c r="F286" s="1065">
        <v>0.05</v>
      </c>
    </row>
    <row r="287" spans="1:6" ht="24.6" thickBot="1">
      <c r="A287" s="840" t="s">
        <v>530</v>
      </c>
      <c r="B287" s="834" t="s">
        <v>985</v>
      </c>
      <c r="C287" s="1077"/>
      <c r="D287" s="1077"/>
      <c r="E287" s="1077"/>
      <c r="F287" s="1065">
        <v>0.05</v>
      </c>
    </row>
    <row r="288" spans="1:6" ht="24.6" thickBot="1">
      <c r="A288" s="840" t="s">
        <v>530</v>
      </c>
      <c r="B288" s="834" t="s">
        <v>986</v>
      </c>
      <c r="C288" s="1077"/>
      <c r="D288" s="1077"/>
      <c r="E288" s="1077"/>
      <c r="F288" s="1065">
        <v>0.05</v>
      </c>
    </row>
    <row r="289" spans="1:6" ht="24.6" thickBot="1">
      <c r="A289" s="850" t="s">
        <v>530</v>
      </c>
      <c r="B289" s="846" t="s">
        <v>987</v>
      </c>
      <c r="C289" s="1074"/>
      <c r="D289" s="1074"/>
      <c r="E289" s="1074"/>
      <c r="F289" s="1067">
        <v>0.05</v>
      </c>
    </row>
    <row r="290" spans="1:6" ht="15" thickBot="1">
      <c r="A290" s="840" t="s">
        <v>534</v>
      </c>
      <c r="B290" s="841" t="s">
        <v>988</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989</v>
      </c>
      <c r="C292" s="1064">
        <v>0.15</v>
      </c>
      <c r="D292" s="1064">
        <v>0.15</v>
      </c>
      <c r="E292" s="1064">
        <v>0.15</v>
      </c>
      <c r="F292" s="1065">
        <v>0.14699999999999999</v>
      </c>
    </row>
    <row r="293" spans="1:6" ht="15" thickBot="1">
      <c r="A293" s="840" t="s">
        <v>534</v>
      </c>
      <c r="B293" s="834" t="s">
        <v>990</v>
      </c>
      <c r="C293" s="1077"/>
      <c r="D293" s="1077"/>
      <c r="E293" s="1077"/>
      <c r="F293" s="1065">
        <v>0.1</v>
      </c>
    </row>
    <row r="294" spans="1:6" ht="15" thickBot="1">
      <c r="A294" s="840" t="s">
        <v>534</v>
      </c>
      <c r="B294" s="834" t="s">
        <v>991</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992</v>
      </c>
      <c r="C296" s="1064">
        <v>0.15</v>
      </c>
      <c r="D296" s="1064">
        <v>0.15</v>
      </c>
      <c r="E296" s="1064">
        <v>0.15</v>
      </c>
      <c r="F296" s="1065">
        <v>0.15</v>
      </c>
    </row>
    <row r="297" spans="1:6" ht="15" thickBot="1">
      <c r="A297" s="840" t="s">
        <v>534</v>
      </c>
      <c r="B297" s="834" t="s">
        <v>993</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994</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995</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996</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997</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998</v>
      </c>
      <c r="C310" s="1064">
        <v>0.15</v>
      </c>
      <c r="D310" s="1064">
        <v>0.15</v>
      </c>
      <c r="E310" s="1064">
        <v>0.15</v>
      </c>
      <c r="F310" s="1065">
        <v>0.13700000000000001</v>
      </c>
    </row>
    <row r="311" spans="1:6" ht="15" thickBot="1">
      <c r="A311" s="840" t="s">
        <v>534</v>
      </c>
      <c r="B311" s="834" t="s">
        <v>999</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1000</v>
      </c>
      <c r="C313" s="1064">
        <v>0.15</v>
      </c>
      <c r="D313" s="1064">
        <v>0.15</v>
      </c>
      <c r="E313" s="1064">
        <v>0.15</v>
      </c>
      <c r="F313" s="1065">
        <v>0.15</v>
      </c>
    </row>
    <row r="314" spans="1:6" ht="24.6" thickBot="1">
      <c r="A314" s="840" t="s">
        <v>534</v>
      </c>
      <c r="B314" s="834" t="s">
        <v>1001</v>
      </c>
      <c r="C314" s="1077"/>
      <c r="D314" s="1077"/>
      <c r="E314" s="1077"/>
      <c r="F314" s="1065">
        <v>0.05</v>
      </c>
    </row>
    <row r="315" spans="1:6" ht="24.6" thickBot="1">
      <c r="A315" s="840" t="s">
        <v>534</v>
      </c>
      <c r="B315" s="834" t="s">
        <v>1002</v>
      </c>
      <c r="C315" s="1077"/>
      <c r="D315" s="1077"/>
      <c r="E315" s="1077"/>
      <c r="F315" s="1065">
        <v>0.05</v>
      </c>
    </row>
    <row r="316" spans="1:6" ht="24.6" thickBot="1">
      <c r="A316" s="850" t="s">
        <v>534</v>
      </c>
      <c r="B316" s="846" t="s">
        <v>1003</v>
      </c>
      <c r="C316" s="1074"/>
      <c r="D316" s="1074"/>
      <c r="E316" s="1074"/>
      <c r="F316" s="1067">
        <v>0.05</v>
      </c>
    </row>
    <row r="317" spans="1:6" ht="15" thickBot="1">
      <c r="A317" s="840" t="s">
        <v>1004</v>
      </c>
      <c r="B317" s="841" t="s">
        <v>1005</v>
      </c>
      <c r="C317" s="1062">
        <v>0.15</v>
      </c>
      <c r="D317" s="1062">
        <v>0.15</v>
      </c>
      <c r="E317" s="1062">
        <v>0.15</v>
      </c>
      <c r="F317" s="1063">
        <v>0.15</v>
      </c>
    </row>
    <row r="318" spans="1:6" ht="15" thickBot="1">
      <c r="A318" s="840" t="s">
        <v>1004</v>
      </c>
      <c r="B318" s="834" t="s">
        <v>1006</v>
      </c>
      <c r="C318" s="1064">
        <v>0.107</v>
      </c>
      <c r="D318" s="1064">
        <v>0.11</v>
      </c>
      <c r="E318" s="1064">
        <v>0.112</v>
      </c>
      <c r="F318" s="1076"/>
    </row>
    <row r="319" spans="1:6" ht="15" thickBot="1">
      <c r="A319" s="840" t="s">
        <v>1004</v>
      </c>
      <c r="B319" s="834" t="s">
        <v>1007</v>
      </c>
      <c r="C319" s="1064">
        <v>0.15</v>
      </c>
      <c r="D319" s="1064">
        <v>0.15</v>
      </c>
      <c r="E319" s="1064">
        <v>0.15</v>
      </c>
      <c r="F319" s="1065">
        <v>0.15</v>
      </c>
    </row>
    <row r="320" spans="1:6" ht="15" thickBot="1">
      <c r="A320" s="840" t="s">
        <v>1004</v>
      </c>
      <c r="B320" s="834" t="s">
        <v>223</v>
      </c>
      <c r="C320" s="1064">
        <v>0.15</v>
      </c>
      <c r="D320" s="1064">
        <v>0.15</v>
      </c>
      <c r="E320" s="1064">
        <v>0.15</v>
      </c>
      <c r="F320" s="1076"/>
    </row>
    <row r="321" spans="1:6" ht="15" thickBot="1">
      <c r="A321" s="840" t="s">
        <v>1004</v>
      </c>
      <c r="B321" s="834" t="s">
        <v>1008</v>
      </c>
      <c r="C321" s="1064">
        <v>0.15</v>
      </c>
      <c r="D321" s="1064">
        <v>0.15</v>
      </c>
      <c r="E321" s="1064">
        <v>0.15</v>
      </c>
      <c r="F321" s="1076"/>
    </row>
    <row r="322" spans="1:6" ht="15" thickBot="1">
      <c r="A322" s="840" t="s">
        <v>1004</v>
      </c>
      <c r="B322" s="834" t="s">
        <v>1009</v>
      </c>
      <c r="C322" s="1064">
        <v>0.15</v>
      </c>
      <c r="D322" s="1064">
        <v>0.15</v>
      </c>
      <c r="E322" s="1064">
        <v>0.15</v>
      </c>
      <c r="F322" s="1065">
        <v>0.15</v>
      </c>
    </row>
    <row r="323" spans="1:6" ht="15" thickBot="1">
      <c r="A323" s="840" t="s">
        <v>1004</v>
      </c>
      <c r="B323" s="834" t="s">
        <v>1010</v>
      </c>
      <c r="C323" s="1064">
        <v>0.15</v>
      </c>
      <c r="D323" s="1064">
        <v>0.15</v>
      </c>
      <c r="E323" s="1064">
        <v>0.15</v>
      </c>
      <c r="F323" s="1076"/>
    </row>
    <row r="324" spans="1:6" ht="15" thickBot="1">
      <c r="A324" s="840" t="s">
        <v>1004</v>
      </c>
      <c r="B324" s="834" t="s">
        <v>1011</v>
      </c>
      <c r="C324" s="1064">
        <v>0.15</v>
      </c>
      <c r="D324" s="1064">
        <v>0.15</v>
      </c>
      <c r="E324" s="1064">
        <v>0.15</v>
      </c>
      <c r="F324" s="1076"/>
    </row>
    <row r="325" spans="1:6" ht="15" thickBot="1">
      <c r="A325" s="840" t="s">
        <v>1004</v>
      </c>
      <c r="B325" s="834" t="s">
        <v>1012</v>
      </c>
      <c r="C325" s="1064">
        <v>0.15</v>
      </c>
      <c r="D325" s="1064">
        <v>0.15</v>
      </c>
      <c r="E325" s="1064">
        <v>0.15</v>
      </c>
      <c r="F325" s="1065">
        <v>0.14699999999999999</v>
      </c>
    </row>
    <row r="326" spans="1:6" ht="15" thickBot="1">
      <c r="A326" s="840" t="s">
        <v>1004</v>
      </c>
      <c r="B326" s="834" t="s">
        <v>290</v>
      </c>
      <c r="C326" s="1064">
        <v>0.15</v>
      </c>
      <c r="D326" s="1064">
        <v>0.15</v>
      </c>
      <c r="E326" s="1064">
        <v>0.15</v>
      </c>
      <c r="F326" s="1076"/>
    </row>
    <row r="327" spans="1:6" ht="15" thickBot="1">
      <c r="A327" s="840" t="s">
        <v>1004</v>
      </c>
      <c r="B327" s="834" t="s">
        <v>1013</v>
      </c>
      <c r="C327" s="1064">
        <v>0.15</v>
      </c>
      <c r="D327" s="1064">
        <v>0.15</v>
      </c>
      <c r="E327" s="1064">
        <v>0.15</v>
      </c>
      <c r="F327" s="1065">
        <v>0.15</v>
      </c>
    </row>
    <row r="328" spans="1:6" ht="15" thickBot="1">
      <c r="A328" s="840" t="s">
        <v>1004</v>
      </c>
      <c r="B328" s="834" t="s">
        <v>310</v>
      </c>
      <c r="C328" s="1064">
        <v>0.15</v>
      </c>
      <c r="D328" s="1064">
        <v>0.15</v>
      </c>
      <c r="E328" s="1064">
        <v>0.15</v>
      </c>
      <c r="F328" s="1065">
        <v>0.14099999999999999</v>
      </c>
    </row>
    <row r="329" spans="1:6" ht="15" thickBot="1">
      <c r="A329" s="840" t="s">
        <v>1004</v>
      </c>
      <c r="B329" s="834" t="s">
        <v>320</v>
      </c>
      <c r="C329" s="1064">
        <v>0.15</v>
      </c>
      <c r="D329" s="1064">
        <v>0.15</v>
      </c>
      <c r="E329" s="1064">
        <v>0.15</v>
      </c>
      <c r="F329" s="1065">
        <v>0.15</v>
      </c>
    </row>
    <row r="330" spans="1:6" ht="15" thickBot="1">
      <c r="A330" s="840" t="s">
        <v>1004</v>
      </c>
      <c r="B330" s="834" t="s">
        <v>331</v>
      </c>
      <c r="C330" s="1064">
        <v>0.15</v>
      </c>
      <c r="D330" s="1064">
        <v>0.15</v>
      </c>
      <c r="E330" s="1064">
        <v>0.15</v>
      </c>
      <c r="F330" s="1076"/>
    </row>
    <row r="331" spans="1:6" ht="15" thickBot="1">
      <c r="A331" s="840" t="s">
        <v>1004</v>
      </c>
      <c r="B331" s="834" t="s">
        <v>1014</v>
      </c>
      <c r="C331" s="1064">
        <v>0.15</v>
      </c>
      <c r="D331" s="1064">
        <v>0.15</v>
      </c>
      <c r="E331" s="1064">
        <v>0.15</v>
      </c>
      <c r="F331" s="1065">
        <v>0.15</v>
      </c>
    </row>
    <row r="332" spans="1:6" ht="15" thickBot="1">
      <c r="A332" s="840" t="s">
        <v>1004</v>
      </c>
      <c r="B332" s="834" t="s">
        <v>352</v>
      </c>
      <c r="C332" s="1064">
        <v>0.15</v>
      </c>
      <c r="D332" s="1064">
        <v>0.15</v>
      </c>
      <c r="E332" s="1064">
        <v>0.15</v>
      </c>
      <c r="F332" s="1065">
        <v>0.15</v>
      </c>
    </row>
    <row r="333" spans="1:6" ht="15" thickBot="1">
      <c r="A333" s="840" t="s">
        <v>1004</v>
      </c>
      <c r="B333" s="834" t="s">
        <v>1015</v>
      </c>
      <c r="C333" s="1064">
        <v>0.15</v>
      </c>
      <c r="D333" s="1064">
        <v>0.15</v>
      </c>
      <c r="E333" s="1064">
        <v>0.15</v>
      </c>
      <c r="F333" s="1065">
        <v>0.14099999999999999</v>
      </c>
    </row>
    <row r="334" spans="1:6" ht="15" thickBot="1">
      <c r="A334" s="840" t="s">
        <v>1004</v>
      </c>
      <c r="B334" s="834" t="s">
        <v>372</v>
      </c>
      <c r="C334" s="1064">
        <v>0.15</v>
      </c>
      <c r="D334" s="1064">
        <v>0.15</v>
      </c>
      <c r="E334" s="1064">
        <v>0.15</v>
      </c>
      <c r="F334" s="1065">
        <v>0.15</v>
      </c>
    </row>
    <row r="335" spans="1:6" ht="15" thickBot="1">
      <c r="A335" s="840" t="s">
        <v>1004</v>
      </c>
      <c r="B335" s="834" t="s">
        <v>382</v>
      </c>
      <c r="C335" s="1064">
        <v>0.15</v>
      </c>
      <c r="D335" s="1064">
        <v>0.15</v>
      </c>
      <c r="E335" s="1064">
        <v>0.15</v>
      </c>
      <c r="F335" s="1076"/>
    </row>
    <row r="336" spans="1:6" ht="15" thickBot="1">
      <c r="A336" s="840" t="s">
        <v>1004</v>
      </c>
      <c r="B336" s="834" t="s">
        <v>1016</v>
      </c>
      <c r="C336" s="1064">
        <v>0.15</v>
      </c>
      <c r="D336" s="1064">
        <v>0.15</v>
      </c>
      <c r="E336" s="1064">
        <v>0.15</v>
      </c>
      <c r="F336" s="1065">
        <v>0.11799999999999999</v>
      </c>
    </row>
    <row r="337" spans="1:6" ht="15" thickBot="1">
      <c r="A337" s="850" t="s">
        <v>1004</v>
      </c>
      <c r="B337" s="846" t="s">
        <v>400</v>
      </c>
      <c r="C337" s="1074"/>
      <c r="D337" s="1074"/>
      <c r="E337" s="1074"/>
      <c r="F337" s="1067">
        <v>0.14299999999999999</v>
      </c>
    </row>
    <row r="338" spans="1:6" ht="15" thickBot="1">
      <c r="A338" s="840" t="s">
        <v>1017</v>
      </c>
      <c r="B338" s="841" t="s">
        <v>1018</v>
      </c>
      <c r="C338" s="1062">
        <v>0.15</v>
      </c>
      <c r="D338" s="1062">
        <v>0.15</v>
      </c>
      <c r="E338" s="1062">
        <v>0.15</v>
      </c>
      <c r="F338" s="1079"/>
    </row>
    <row r="339" spans="1:6" ht="15" thickBot="1">
      <c r="A339" s="840" t="s">
        <v>1017</v>
      </c>
      <c r="B339" s="834" t="s">
        <v>1019</v>
      </c>
      <c r="C339" s="1064">
        <v>0.15</v>
      </c>
      <c r="D339" s="1064">
        <v>0.15</v>
      </c>
      <c r="E339" s="1064">
        <v>0.15</v>
      </c>
      <c r="F339" s="1076"/>
    </row>
    <row r="340" spans="1:6" ht="15" thickBot="1">
      <c r="A340" s="840" t="s">
        <v>1017</v>
      </c>
      <c r="B340" s="834" t="s">
        <v>1020</v>
      </c>
      <c r="C340" s="1064">
        <v>0.15</v>
      </c>
      <c r="D340" s="1064">
        <v>0.15</v>
      </c>
      <c r="E340" s="1064">
        <v>0.15</v>
      </c>
      <c r="F340" s="1076"/>
    </row>
    <row r="341" spans="1:6" ht="15" thickBot="1">
      <c r="A341" s="840" t="s">
        <v>1017</v>
      </c>
      <c r="B341" s="834" t="s">
        <v>1021</v>
      </c>
      <c r="C341" s="1064">
        <v>0.15</v>
      </c>
      <c r="D341" s="1064">
        <v>0.15</v>
      </c>
      <c r="E341" s="1064">
        <v>0.15</v>
      </c>
      <c r="F341" s="1065">
        <v>0.15</v>
      </c>
    </row>
    <row r="342" spans="1:6" ht="15" thickBot="1">
      <c r="A342" s="840" t="s">
        <v>1017</v>
      </c>
      <c r="B342" s="834" t="s">
        <v>1022</v>
      </c>
      <c r="C342" s="1064">
        <v>0.15</v>
      </c>
      <c r="D342" s="1064">
        <v>0.15</v>
      </c>
      <c r="E342" s="1064">
        <v>0.15</v>
      </c>
      <c r="F342" s="1065">
        <v>0.15</v>
      </c>
    </row>
    <row r="343" spans="1:6" ht="15" thickBot="1">
      <c r="A343" s="840" t="s">
        <v>1017</v>
      </c>
      <c r="B343" s="834" t="s">
        <v>1023</v>
      </c>
      <c r="C343" s="1064">
        <v>0.15</v>
      </c>
      <c r="D343" s="1064">
        <v>0.15</v>
      </c>
      <c r="E343" s="1064">
        <v>0.15</v>
      </c>
      <c r="F343" s="1065">
        <v>0.15</v>
      </c>
    </row>
    <row r="344" spans="1:6" ht="1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1295</v>
      </c>
      <c r="C1" s="1693">
        <f>项目基本情况!D3</f>
        <v>43921</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dimension ref="A1:M17"/>
  <sheetViews>
    <sheetView workbookViewId="0">
      <selection activeCell="K25" sqref="K25"/>
    </sheetView>
  </sheetViews>
  <sheetFormatPr defaultRowHeight="14.4"/>
  <sheetData>
    <row r="1" spans="1:13" ht="27.6">
      <c r="A1" s="1781" t="s">
        <v>1367</v>
      </c>
      <c r="E1" s="1775" t="s">
        <v>1371</v>
      </c>
      <c r="F1" s="1776" t="s">
        <v>1375</v>
      </c>
    </row>
    <row r="2" spans="1:13" ht="19.8">
      <c r="A2" s="1782" t="s">
        <v>1368</v>
      </c>
    </row>
    <row r="3" spans="1:13" ht="15.6">
      <c r="A3" s="1783" t="s">
        <v>1369</v>
      </c>
    </row>
    <row r="4" spans="1:13">
      <c r="A4" s="1773" t="s">
        <v>1370</v>
      </c>
      <c r="B4" s="1778" t="s">
        <v>1372</v>
      </c>
      <c r="C4" s="1779"/>
      <c r="D4" s="1780"/>
      <c r="E4" s="1778" t="s">
        <v>27</v>
      </c>
      <c r="F4" s="1779"/>
      <c r="G4" s="1780"/>
      <c r="H4" s="1778" t="s">
        <v>1373</v>
      </c>
      <c r="I4" s="1779"/>
      <c r="J4" s="1780"/>
      <c r="K4" s="1778" t="s">
        <v>6</v>
      </c>
      <c r="L4" s="1779"/>
      <c r="M4" s="1780"/>
    </row>
    <row r="5" spans="1:13">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3053" t="str">
        <f>IF(项目基本情况!B9="房地产市场价值","估价结果一览表","结果表-2")</f>
        <v>结果表-2</v>
      </c>
      <c r="B1" s="3053"/>
      <c r="C1" s="3053"/>
      <c r="D1" s="3053"/>
      <c r="E1" s="3053"/>
      <c r="F1" s="3053"/>
      <c r="G1" s="3053"/>
      <c r="H1" s="3053"/>
      <c r="I1" s="3053"/>
    </row>
    <row r="2" spans="1:9" ht="30" customHeight="1" thickTop="1">
      <c r="A2" s="3054" t="s">
        <v>1635</v>
      </c>
      <c r="B2" s="3054" t="s">
        <v>1636</v>
      </c>
      <c r="C2" s="3054" t="s">
        <v>1637</v>
      </c>
      <c r="D2" s="3054" t="str">
        <f>结果表!D116</f>
        <v>出让国有建设用地使用权价值</v>
      </c>
      <c r="E2" s="3054"/>
      <c r="F2" s="3054" t="str">
        <f>结果表!F116</f>
        <v>在建建筑物价值</v>
      </c>
      <c r="G2" s="3054"/>
      <c r="H2" s="3054" t="str">
        <f>IF(项目基本情况!B9="房地产市场价值","房地产市场价值","房地产价值")</f>
        <v>房地产价值</v>
      </c>
      <c r="I2" s="3054"/>
    </row>
    <row r="3" spans="1:9" ht="15.6">
      <c r="A3" s="3055"/>
      <c r="B3" s="3055"/>
      <c r="C3" s="3055"/>
      <c r="D3" s="1044" t="s">
        <v>1632</v>
      </c>
      <c r="E3" s="1044" t="s">
        <v>1638</v>
      </c>
      <c r="F3" s="1044" t="s">
        <v>1632</v>
      </c>
      <c r="G3" s="1044" t="s">
        <v>1633</v>
      </c>
      <c r="H3" s="1044" t="s">
        <v>1632</v>
      </c>
      <c r="I3" s="1044" t="s">
        <v>1633</v>
      </c>
    </row>
    <row r="4" spans="1:9" ht="30">
      <c r="A4" s="1971" t="str">
        <f>项目基本情况!S2</f>
        <v>出让国有建设用地使用权及在建建筑物房地产</v>
      </c>
      <c r="B4" s="1044">
        <f>项目基本情况!C17</f>
        <v>73003.73</v>
      </c>
      <c r="C4" s="1044">
        <f>项目基本情况!C18</f>
        <v>0</v>
      </c>
      <c r="D4" s="1044" t="e">
        <f ca="1">结果表!D118</f>
        <v>#REF!</v>
      </c>
      <c r="E4" s="1044" t="e">
        <f ca="1">结果表!E118</f>
        <v>#REF!</v>
      </c>
      <c r="F4" s="1044" t="e">
        <f ca="1">结果表!F118</f>
        <v>#REF!</v>
      </c>
      <c r="G4" s="1044" t="e">
        <f ca="1">结果表!G118</f>
        <v>#REF!</v>
      </c>
      <c r="H4" s="1044">
        <f ca="1">结果表!H118</f>
        <v>88217</v>
      </c>
      <c r="I4" s="1044">
        <f ca="1">结果表!I118</f>
        <v>12084</v>
      </c>
    </row>
    <row r="5" spans="1:9" ht="30" customHeight="1">
      <c r="A5" s="3055" t="s">
        <v>1634</v>
      </c>
      <c r="B5" s="3055"/>
      <c r="C5" s="3055"/>
      <c r="D5" s="3056" t="e">
        <f ca="1">结果表!D119</f>
        <v>#REF!</v>
      </c>
      <c r="E5" s="3056"/>
      <c r="F5" s="3056" t="e">
        <f ca="1">结果表!F119</f>
        <v>#REF!</v>
      </c>
      <c r="G5" s="3056"/>
      <c r="H5" s="3056" t="str">
        <f ca="1">结果表!H119</f>
        <v>捌亿捌仟贰佰壹拾柒万元整</v>
      </c>
      <c r="I5" s="3056"/>
    </row>
    <row r="6" spans="1:9" ht="15.6">
      <c r="A6" s="3057" t="str">
        <f>结果表!A120</f>
        <v>估价师知悉的法定优先受偿款</v>
      </c>
      <c r="B6" s="3057"/>
      <c r="C6" s="3057"/>
      <c r="D6" s="3057">
        <f>结果表!D120</f>
        <v>0</v>
      </c>
      <c r="E6" s="3057"/>
      <c r="F6" s="3057"/>
      <c r="G6" s="3057"/>
      <c r="H6" s="3057"/>
      <c r="I6" s="3057"/>
    </row>
    <row r="7" spans="1:9" ht="15">
      <c r="A7" s="3055" t="s">
        <v>1634</v>
      </c>
      <c r="B7" s="3055"/>
      <c r="C7" s="3055"/>
      <c r="D7" s="3058" t="str">
        <f>结果表!D121</f>
        <v>零元整</v>
      </c>
      <c r="E7" s="3059"/>
      <c r="F7" s="3059"/>
      <c r="G7" s="3059"/>
      <c r="H7" s="3059"/>
      <c r="I7" s="3060"/>
    </row>
    <row r="8" spans="1:9" ht="15.6">
      <c r="A8" s="3057" t="str">
        <f>结果表!A122</f>
        <v>房地产抵押价值</v>
      </c>
      <c r="B8" s="3057"/>
      <c r="C8" s="3057"/>
      <c r="D8" s="3057">
        <f ca="1">结果表!D122</f>
        <v>88217</v>
      </c>
      <c r="E8" s="3057"/>
      <c r="F8" s="3057"/>
      <c r="G8" s="3057"/>
      <c r="H8" s="3057"/>
      <c r="I8" s="3057"/>
    </row>
    <row r="9" spans="1:9" ht="15">
      <c r="A9" s="3055" t="s">
        <v>1634</v>
      </c>
      <c r="B9" s="3055"/>
      <c r="C9" s="3055"/>
      <c r="D9" s="3056" t="str">
        <f ca="1">结果表!D123</f>
        <v>捌亿捌仟贰佰壹拾柒万元整</v>
      </c>
      <c r="E9" s="3056"/>
      <c r="F9" s="3056"/>
      <c r="G9" s="3056"/>
      <c r="H9" s="3056"/>
      <c r="I9" s="3056"/>
    </row>
    <row r="10" spans="1:9" ht="15.6">
      <c r="A10" s="3057" t="str">
        <f>结果表!A124</f>
        <v/>
      </c>
      <c r="B10" s="3057"/>
      <c r="C10" s="3057"/>
      <c r="D10" s="3057" t="str">
        <f>结果表!D124</f>
        <v>——</v>
      </c>
      <c r="E10" s="3057"/>
      <c r="F10" s="3057"/>
      <c r="G10" s="3057"/>
      <c r="H10" s="3057"/>
      <c r="I10" s="3057"/>
    </row>
    <row r="11" spans="1:9" ht="15">
      <c r="A11" s="3055" t="s">
        <v>1634</v>
      </c>
      <c r="B11" s="3055"/>
      <c r="C11" s="3055"/>
      <c r="D11" s="3056" t="e">
        <f>结果表!D125</f>
        <v>#VALUE!</v>
      </c>
      <c r="E11" s="3056"/>
      <c r="F11" s="3056"/>
      <c r="G11" s="3056"/>
      <c r="H11" s="3056"/>
      <c r="I11" s="3056"/>
    </row>
    <row r="12" spans="1:9" ht="15.6">
      <c r="A12" s="3057" t="str">
        <f>结果表!A126</f>
        <v/>
      </c>
      <c r="B12" s="3057"/>
      <c r="C12" s="3057"/>
      <c r="D12" s="3057" t="str">
        <f>结果表!D126</f>
        <v>——</v>
      </c>
      <c r="E12" s="3057"/>
      <c r="F12" s="3057"/>
      <c r="G12" s="3057"/>
      <c r="H12" s="3057"/>
      <c r="I12" s="3057"/>
    </row>
    <row r="13" spans="1:9" ht="15.6" thickBot="1">
      <c r="A13" s="3061" t="s">
        <v>1634</v>
      </c>
      <c r="B13" s="3061"/>
      <c r="C13" s="3061"/>
      <c r="D13" s="3062" t="e">
        <f>结果表!D127</f>
        <v>#VALUE!</v>
      </c>
      <c r="E13" s="3062"/>
      <c r="F13" s="3062"/>
      <c r="G13" s="3062"/>
      <c r="H13" s="3062"/>
      <c r="I13" s="3062"/>
    </row>
    <row r="14" spans="1:9" ht="14.4" thickTop="1">
      <c r="A14" s="3063" t="s">
        <v>1639</v>
      </c>
      <c r="B14" s="3063"/>
      <c r="C14" s="3063"/>
      <c r="D14" s="3063"/>
      <c r="E14" s="3063"/>
      <c r="F14" s="3063"/>
      <c r="G14" s="3063"/>
      <c r="H14" s="3063"/>
      <c r="I14" s="3063"/>
    </row>
    <row r="16" spans="1:9" ht="17.399999999999999">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Q54"/>
  <sheetViews>
    <sheetView topLeftCell="F1" zoomScaleNormal="100" workbookViewId="0">
      <selection activeCell="E12" sqref="E12"/>
    </sheetView>
  </sheetViews>
  <sheetFormatPr defaultRowHeight="14.4"/>
  <cols>
    <col min="1" max="1" width="21.109375" style="2967" customWidth="1"/>
    <col min="2" max="2" width="6.21875" style="2967" customWidth="1"/>
    <col min="3" max="3" width="11.77734375" style="2967" customWidth="1"/>
    <col min="4" max="4" width="21.109375" style="2967" customWidth="1"/>
    <col min="5" max="5" width="7.88671875" style="2967" customWidth="1"/>
    <col min="6" max="6" width="11.21875" style="2967" customWidth="1"/>
    <col min="7" max="8" width="13.88671875" style="2967" customWidth="1"/>
    <col min="9" max="9" width="25.77734375" style="2967" customWidth="1"/>
    <col min="10" max="10" width="9" style="2967" customWidth="1"/>
    <col min="11" max="11" width="19.109375" style="2967" customWidth="1"/>
    <col min="12" max="13" width="10.6640625" style="2967" customWidth="1"/>
    <col min="14" max="14" width="14.33203125" style="2967" customWidth="1"/>
    <col min="15" max="15" width="6.21875" style="2967" customWidth="1"/>
    <col min="16" max="17" width="7.88671875" style="2967" customWidth="1"/>
    <col min="18" max="256" width="9" style="2967"/>
    <col min="257" max="257" width="21.109375" style="2967" customWidth="1"/>
    <col min="258" max="258" width="6.21875" style="2967" customWidth="1"/>
    <col min="259" max="259" width="11.77734375" style="2967" customWidth="1"/>
    <col min="260" max="260" width="21.109375" style="2967" customWidth="1"/>
    <col min="261" max="261" width="7.88671875" style="2967" customWidth="1"/>
    <col min="262" max="262" width="11.21875" style="2967" customWidth="1"/>
    <col min="263" max="264" width="13.88671875" style="2967" customWidth="1"/>
    <col min="265" max="265" width="25.77734375" style="2967" customWidth="1"/>
    <col min="266" max="266" width="9" style="2967" customWidth="1"/>
    <col min="267" max="267" width="19.109375" style="2967" customWidth="1"/>
    <col min="268" max="269" width="10.6640625" style="2967" customWidth="1"/>
    <col min="270" max="270" width="14.33203125" style="2967" customWidth="1"/>
    <col min="271" max="271" width="6.21875" style="2967" customWidth="1"/>
    <col min="272" max="273" width="7.88671875" style="2967" customWidth="1"/>
    <col min="274" max="512" width="9" style="2967"/>
    <col min="513" max="513" width="21.109375" style="2967" customWidth="1"/>
    <col min="514" max="514" width="6.21875" style="2967" customWidth="1"/>
    <col min="515" max="515" width="11.77734375" style="2967" customWidth="1"/>
    <col min="516" max="516" width="21.109375" style="2967" customWidth="1"/>
    <col min="517" max="517" width="7.88671875" style="2967" customWidth="1"/>
    <col min="518" max="518" width="11.21875" style="2967" customWidth="1"/>
    <col min="519" max="520" width="13.88671875" style="2967" customWidth="1"/>
    <col min="521" max="521" width="25.77734375" style="2967" customWidth="1"/>
    <col min="522" max="522" width="9" style="2967" customWidth="1"/>
    <col min="523" max="523" width="19.109375" style="2967" customWidth="1"/>
    <col min="524" max="525" width="10.6640625" style="2967" customWidth="1"/>
    <col min="526" max="526" width="14.33203125" style="2967" customWidth="1"/>
    <col min="527" max="527" width="6.21875" style="2967" customWidth="1"/>
    <col min="528" max="529" width="7.88671875" style="2967" customWidth="1"/>
    <col min="530" max="768" width="9" style="2967"/>
    <col min="769" max="769" width="21.109375" style="2967" customWidth="1"/>
    <col min="770" max="770" width="6.21875" style="2967" customWidth="1"/>
    <col min="771" max="771" width="11.77734375" style="2967" customWidth="1"/>
    <col min="772" max="772" width="21.109375" style="2967" customWidth="1"/>
    <col min="773" max="773" width="7.88671875" style="2967" customWidth="1"/>
    <col min="774" max="774" width="11.21875" style="2967" customWidth="1"/>
    <col min="775" max="776" width="13.88671875" style="2967" customWidth="1"/>
    <col min="777" max="777" width="25.77734375" style="2967" customWidth="1"/>
    <col min="778" max="778" width="9" style="2967" customWidth="1"/>
    <col min="779" max="779" width="19.109375" style="2967" customWidth="1"/>
    <col min="780" max="781" width="10.6640625" style="2967" customWidth="1"/>
    <col min="782" max="782" width="14.33203125" style="2967" customWidth="1"/>
    <col min="783" max="783" width="6.21875" style="2967" customWidth="1"/>
    <col min="784" max="785" width="7.88671875" style="2967" customWidth="1"/>
    <col min="786" max="1024" width="9" style="2967"/>
    <col min="1025" max="1025" width="21.109375" style="2967" customWidth="1"/>
    <col min="1026" max="1026" width="6.21875" style="2967" customWidth="1"/>
    <col min="1027" max="1027" width="11.77734375" style="2967" customWidth="1"/>
    <col min="1028" max="1028" width="21.109375" style="2967" customWidth="1"/>
    <col min="1029" max="1029" width="7.88671875" style="2967" customWidth="1"/>
    <col min="1030" max="1030" width="11.21875" style="2967" customWidth="1"/>
    <col min="1031" max="1032" width="13.88671875" style="2967" customWidth="1"/>
    <col min="1033" max="1033" width="25.77734375" style="2967" customWidth="1"/>
    <col min="1034" max="1034" width="9" style="2967" customWidth="1"/>
    <col min="1035" max="1035" width="19.109375" style="2967" customWidth="1"/>
    <col min="1036" max="1037" width="10.6640625" style="2967" customWidth="1"/>
    <col min="1038" max="1038" width="14.33203125" style="2967" customWidth="1"/>
    <col min="1039" max="1039" width="6.21875" style="2967" customWidth="1"/>
    <col min="1040" max="1041" width="7.88671875" style="2967" customWidth="1"/>
    <col min="1042" max="1280" width="9" style="2967"/>
    <col min="1281" max="1281" width="21.109375" style="2967" customWidth="1"/>
    <col min="1282" max="1282" width="6.21875" style="2967" customWidth="1"/>
    <col min="1283" max="1283" width="11.77734375" style="2967" customWidth="1"/>
    <col min="1284" max="1284" width="21.109375" style="2967" customWidth="1"/>
    <col min="1285" max="1285" width="7.88671875" style="2967" customWidth="1"/>
    <col min="1286" max="1286" width="11.21875" style="2967" customWidth="1"/>
    <col min="1287" max="1288" width="13.88671875" style="2967" customWidth="1"/>
    <col min="1289" max="1289" width="25.77734375" style="2967" customWidth="1"/>
    <col min="1290" max="1290" width="9" style="2967" customWidth="1"/>
    <col min="1291" max="1291" width="19.109375" style="2967" customWidth="1"/>
    <col min="1292" max="1293" width="10.6640625" style="2967" customWidth="1"/>
    <col min="1294" max="1294" width="14.33203125" style="2967" customWidth="1"/>
    <col min="1295" max="1295" width="6.21875" style="2967" customWidth="1"/>
    <col min="1296" max="1297" width="7.88671875" style="2967" customWidth="1"/>
    <col min="1298" max="1536" width="9" style="2967"/>
    <col min="1537" max="1537" width="21.109375" style="2967" customWidth="1"/>
    <col min="1538" max="1538" width="6.21875" style="2967" customWidth="1"/>
    <col min="1539" max="1539" width="11.77734375" style="2967" customWidth="1"/>
    <col min="1540" max="1540" width="21.109375" style="2967" customWidth="1"/>
    <col min="1541" max="1541" width="7.88671875" style="2967" customWidth="1"/>
    <col min="1542" max="1542" width="11.21875" style="2967" customWidth="1"/>
    <col min="1543" max="1544" width="13.88671875" style="2967" customWidth="1"/>
    <col min="1545" max="1545" width="25.77734375" style="2967" customWidth="1"/>
    <col min="1546" max="1546" width="9" style="2967" customWidth="1"/>
    <col min="1547" max="1547" width="19.109375" style="2967" customWidth="1"/>
    <col min="1548" max="1549" width="10.6640625" style="2967" customWidth="1"/>
    <col min="1550" max="1550" width="14.33203125" style="2967" customWidth="1"/>
    <col min="1551" max="1551" width="6.21875" style="2967" customWidth="1"/>
    <col min="1552" max="1553" width="7.88671875" style="2967" customWidth="1"/>
    <col min="1554" max="1792" width="9" style="2967"/>
    <col min="1793" max="1793" width="21.109375" style="2967" customWidth="1"/>
    <col min="1794" max="1794" width="6.21875" style="2967" customWidth="1"/>
    <col min="1795" max="1795" width="11.77734375" style="2967" customWidth="1"/>
    <col min="1796" max="1796" width="21.109375" style="2967" customWidth="1"/>
    <col min="1797" max="1797" width="7.88671875" style="2967" customWidth="1"/>
    <col min="1798" max="1798" width="11.21875" style="2967" customWidth="1"/>
    <col min="1799" max="1800" width="13.88671875" style="2967" customWidth="1"/>
    <col min="1801" max="1801" width="25.77734375" style="2967" customWidth="1"/>
    <col min="1802" max="1802" width="9" style="2967" customWidth="1"/>
    <col min="1803" max="1803" width="19.109375" style="2967" customWidth="1"/>
    <col min="1804" max="1805" width="10.6640625" style="2967" customWidth="1"/>
    <col min="1806" max="1806" width="14.33203125" style="2967" customWidth="1"/>
    <col min="1807" max="1807" width="6.21875" style="2967" customWidth="1"/>
    <col min="1808" max="1809" width="7.88671875" style="2967" customWidth="1"/>
    <col min="1810" max="2048" width="9" style="2967"/>
    <col min="2049" max="2049" width="21.109375" style="2967" customWidth="1"/>
    <col min="2050" max="2050" width="6.21875" style="2967" customWidth="1"/>
    <col min="2051" max="2051" width="11.77734375" style="2967" customWidth="1"/>
    <col min="2052" max="2052" width="21.109375" style="2967" customWidth="1"/>
    <col min="2053" max="2053" width="7.88671875" style="2967" customWidth="1"/>
    <col min="2054" max="2054" width="11.21875" style="2967" customWidth="1"/>
    <col min="2055" max="2056" width="13.88671875" style="2967" customWidth="1"/>
    <col min="2057" max="2057" width="25.77734375" style="2967" customWidth="1"/>
    <col min="2058" max="2058" width="9" style="2967" customWidth="1"/>
    <col min="2059" max="2059" width="19.109375" style="2967" customWidth="1"/>
    <col min="2060" max="2061" width="10.6640625" style="2967" customWidth="1"/>
    <col min="2062" max="2062" width="14.33203125" style="2967" customWidth="1"/>
    <col min="2063" max="2063" width="6.21875" style="2967" customWidth="1"/>
    <col min="2064" max="2065" width="7.88671875" style="2967" customWidth="1"/>
    <col min="2066" max="2304" width="9" style="2967"/>
    <col min="2305" max="2305" width="21.109375" style="2967" customWidth="1"/>
    <col min="2306" max="2306" width="6.21875" style="2967" customWidth="1"/>
    <col min="2307" max="2307" width="11.77734375" style="2967" customWidth="1"/>
    <col min="2308" max="2308" width="21.109375" style="2967" customWidth="1"/>
    <col min="2309" max="2309" width="7.88671875" style="2967" customWidth="1"/>
    <col min="2310" max="2310" width="11.21875" style="2967" customWidth="1"/>
    <col min="2311" max="2312" width="13.88671875" style="2967" customWidth="1"/>
    <col min="2313" max="2313" width="25.77734375" style="2967" customWidth="1"/>
    <col min="2314" max="2314" width="9" style="2967" customWidth="1"/>
    <col min="2315" max="2315" width="19.109375" style="2967" customWidth="1"/>
    <col min="2316" max="2317" width="10.6640625" style="2967" customWidth="1"/>
    <col min="2318" max="2318" width="14.33203125" style="2967" customWidth="1"/>
    <col min="2319" max="2319" width="6.21875" style="2967" customWidth="1"/>
    <col min="2320" max="2321" width="7.88671875" style="2967" customWidth="1"/>
    <col min="2322" max="2560" width="9" style="2967"/>
    <col min="2561" max="2561" width="21.109375" style="2967" customWidth="1"/>
    <col min="2562" max="2562" width="6.21875" style="2967" customWidth="1"/>
    <col min="2563" max="2563" width="11.77734375" style="2967" customWidth="1"/>
    <col min="2564" max="2564" width="21.109375" style="2967" customWidth="1"/>
    <col min="2565" max="2565" width="7.88671875" style="2967" customWidth="1"/>
    <col min="2566" max="2566" width="11.21875" style="2967" customWidth="1"/>
    <col min="2567" max="2568" width="13.88671875" style="2967" customWidth="1"/>
    <col min="2569" max="2569" width="25.77734375" style="2967" customWidth="1"/>
    <col min="2570" max="2570" width="9" style="2967" customWidth="1"/>
    <col min="2571" max="2571" width="19.109375" style="2967" customWidth="1"/>
    <col min="2572" max="2573" width="10.6640625" style="2967" customWidth="1"/>
    <col min="2574" max="2574" width="14.33203125" style="2967" customWidth="1"/>
    <col min="2575" max="2575" width="6.21875" style="2967" customWidth="1"/>
    <col min="2576" max="2577" width="7.88671875" style="2967" customWidth="1"/>
    <col min="2578" max="2816" width="9" style="2967"/>
    <col min="2817" max="2817" width="21.109375" style="2967" customWidth="1"/>
    <col min="2818" max="2818" width="6.21875" style="2967" customWidth="1"/>
    <col min="2819" max="2819" width="11.77734375" style="2967" customWidth="1"/>
    <col min="2820" max="2820" width="21.109375" style="2967" customWidth="1"/>
    <col min="2821" max="2821" width="7.88671875" style="2967" customWidth="1"/>
    <col min="2822" max="2822" width="11.21875" style="2967" customWidth="1"/>
    <col min="2823" max="2824" width="13.88671875" style="2967" customWidth="1"/>
    <col min="2825" max="2825" width="25.77734375" style="2967" customWidth="1"/>
    <col min="2826" max="2826" width="9" style="2967" customWidth="1"/>
    <col min="2827" max="2827" width="19.109375" style="2967" customWidth="1"/>
    <col min="2828" max="2829" width="10.6640625" style="2967" customWidth="1"/>
    <col min="2830" max="2830" width="14.33203125" style="2967" customWidth="1"/>
    <col min="2831" max="2831" width="6.21875" style="2967" customWidth="1"/>
    <col min="2832" max="2833" width="7.88671875" style="2967" customWidth="1"/>
    <col min="2834" max="3072" width="9" style="2967"/>
    <col min="3073" max="3073" width="21.109375" style="2967" customWidth="1"/>
    <col min="3074" max="3074" width="6.21875" style="2967" customWidth="1"/>
    <col min="3075" max="3075" width="11.77734375" style="2967" customWidth="1"/>
    <col min="3076" max="3076" width="21.109375" style="2967" customWidth="1"/>
    <col min="3077" max="3077" width="7.88671875" style="2967" customWidth="1"/>
    <col min="3078" max="3078" width="11.21875" style="2967" customWidth="1"/>
    <col min="3079" max="3080" width="13.88671875" style="2967" customWidth="1"/>
    <col min="3081" max="3081" width="25.77734375" style="2967" customWidth="1"/>
    <col min="3082" max="3082" width="9" style="2967" customWidth="1"/>
    <col min="3083" max="3083" width="19.109375" style="2967" customWidth="1"/>
    <col min="3084" max="3085" width="10.6640625" style="2967" customWidth="1"/>
    <col min="3086" max="3086" width="14.33203125" style="2967" customWidth="1"/>
    <col min="3087" max="3087" width="6.21875" style="2967" customWidth="1"/>
    <col min="3088" max="3089" width="7.88671875" style="2967" customWidth="1"/>
    <col min="3090" max="3328" width="9" style="2967"/>
    <col min="3329" max="3329" width="21.109375" style="2967" customWidth="1"/>
    <col min="3330" max="3330" width="6.21875" style="2967" customWidth="1"/>
    <col min="3331" max="3331" width="11.77734375" style="2967" customWidth="1"/>
    <col min="3332" max="3332" width="21.109375" style="2967" customWidth="1"/>
    <col min="3333" max="3333" width="7.88671875" style="2967" customWidth="1"/>
    <col min="3334" max="3334" width="11.21875" style="2967" customWidth="1"/>
    <col min="3335" max="3336" width="13.88671875" style="2967" customWidth="1"/>
    <col min="3337" max="3337" width="25.77734375" style="2967" customWidth="1"/>
    <col min="3338" max="3338" width="9" style="2967" customWidth="1"/>
    <col min="3339" max="3339" width="19.109375" style="2967" customWidth="1"/>
    <col min="3340" max="3341" width="10.6640625" style="2967" customWidth="1"/>
    <col min="3342" max="3342" width="14.33203125" style="2967" customWidth="1"/>
    <col min="3343" max="3343" width="6.21875" style="2967" customWidth="1"/>
    <col min="3344" max="3345" width="7.88671875" style="2967" customWidth="1"/>
    <col min="3346" max="3584" width="9" style="2967"/>
    <col min="3585" max="3585" width="21.109375" style="2967" customWidth="1"/>
    <col min="3586" max="3586" width="6.21875" style="2967" customWidth="1"/>
    <col min="3587" max="3587" width="11.77734375" style="2967" customWidth="1"/>
    <col min="3588" max="3588" width="21.109375" style="2967" customWidth="1"/>
    <col min="3589" max="3589" width="7.88671875" style="2967" customWidth="1"/>
    <col min="3590" max="3590" width="11.21875" style="2967" customWidth="1"/>
    <col min="3591" max="3592" width="13.88671875" style="2967" customWidth="1"/>
    <col min="3593" max="3593" width="25.77734375" style="2967" customWidth="1"/>
    <col min="3594" max="3594" width="9" style="2967" customWidth="1"/>
    <col min="3595" max="3595" width="19.109375" style="2967" customWidth="1"/>
    <col min="3596" max="3597" width="10.6640625" style="2967" customWidth="1"/>
    <col min="3598" max="3598" width="14.33203125" style="2967" customWidth="1"/>
    <col min="3599" max="3599" width="6.21875" style="2967" customWidth="1"/>
    <col min="3600" max="3601" width="7.88671875" style="2967" customWidth="1"/>
    <col min="3602" max="3840" width="9" style="2967"/>
    <col min="3841" max="3841" width="21.109375" style="2967" customWidth="1"/>
    <col min="3842" max="3842" width="6.21875" style="2967" customWidth="1"/>
    <col min="3843" max="3843" width="11.77734375" style="2967" customWidth="1"/>
    <col min="3844" max="3844" width="21.109375" style="2967" customWidth="1"/>
    <col min="3845" max="3845" width="7.88671875" style="2967" customWidth="1"/>
    <col min="3846" max="3846" width="11.21875" style="2967" customWidth="1"/>
    <col min="3847" max="3848" width="13.88671875" style="2967" customWidth="1"/>
    <col min="3849" max="3849" width="25.77734375" style="2967" customWidth="1"/>
    <col min="3850" max="3850" width="9" style="2967" customWidth="1"/>
    <col min="3851" max="3851" width="19.109375" style="2967" customWidth="1"/>
    <col min="3852" max="3853" width="10.6640625" style="2967" customWidth="1"/>
    <col min="3854" max="3854" width="14.33203125" style="2967" customWidth="1"/>
    <col min="3855" max="3855" width="6.21875" style="2967" customWidth="1"/>
    <col min="3856" max="3857" width="7.88671875" style="2967" customWidth="1"/>
    <col min="3858" max="4096" width="9" style="2967"/>
    <col min="4097" max="4097" width="21.109375" style="2967" customWidth="1"/>
    <col min="4098" max="4098" width="6.21875" style="2967" customWidth="1"/>
    <col min="4099" max="4099" width="11.77734375" style="2967" customWidth="1"/>
    <col min="4100" max="4100" width="21.109375" style="2967" customWidth="1"/>
    <col min="4101" max="4101" width="7.88671875" style="2967" customWidth="1"/>
    <col min="4102" max="4102" width="11.21875" style="2967" customWidth="1"/>
    <col min="4103" max="4104" width="13.88671875" style="2967" customWidth="1"/>
    <col min="4105" max="4105" width="25.77734375" style="2967" customWidth="1"/>
    <col min="4106" max="4106" width="9" style="2967" customWidth="1"/>
    <col min="4107" max="4107" width="19.109375" style="2967" customWidth="1"/>
    <col min="4108" max="4109" width="10.6640625" style="2967" customWidth="1"/>
    <col min="4110" max="4110" width="14.33203125" style="2967" customWidth="1"/>
    <col min="4111" max="4111" width="6.21875" style="2967" customWidth="1"/>
    <col min="4112" max="4113" width="7.88671875" style="2967" customWidth="1"/>
    <col min="4114" max="4352" width="9" style="2967"/>
    <col min="4353" max="4353" width="21.109375" style="2967" customWidth="1"/>
    <col min="4354" max="4354" width="6.21875" style="2967" customWidth="1"/>
    <col min="4355" max="4355" width="11.77734375" style="2967" customWidth="1"/>
    <col min="4356" max="4356" width="21.109375" style="2967" customWidth="1"/>
    <col min="4357" max="4357" width="7.88671875" style="2967" customWidth="1"/>
    <col min="4358" max="4358" width="11.21875" style="2967" customWidth="1"/>
    <col min="4359" max="4360" width="13.88671875" style="2967" customWidth="1"/>
    <col min="4361" max="4361" width="25.77734375" style="2967" customWidth="1"/>
    <col min="4362" max="4362" width="9" style="2967" customWidth="1"/>
    <col min="4363" max="4363" width="19.109375" style="2967" customWidth="1"/>
    <col min="4364" max="4365" width="10.6640625" style="2967" customWidth="1"/>
    <col min="4366" max="4366" width="14.33203125" style="2967" customWidth="1"/>
    <col min="4367" max="4367" width="6.21875" style="2967" customWidth="1"/>
    <col min="4368" max="4369" width="7.88671875" style="2967" customWidth="1"/>
    <col min="4370" max="4608" width="9" style="2967"/>
    <col min="4609" max="4609" width="21.109375" style="2967" customWidth="1"/>
    <col min="4610" max="4610" width="6.21875" style="2967" customWidth="1"/>
    <col min="4611" max="4611" width="11.77734375" style="2967" customWidth="1"/>
    <col min="4612" max="4612" width="21.109375" style="2967" customWidth="1"/>
    <col min="4613" max="4613" width="7.88671875" style="2967" customWidth="1"/>
    <col min="4614" max="4614" width="11.21875" style="2967" customWidth="1"/>
    <col min="4615" max="4616" width="13.88671875" style="2967" customWidth="1"/>
    <col min="4617" max="4617" width="25.77734375" style="2967" customWidth="1"/>
    <col min="4618" max="4618" width="9" style="2967" customWidth="1"/>
    <col min="4619" max="4619" width="19.109375" style="2967" customWidth="1"/>
    <col min="4620" max="4621" width="10.6640625" style="2967" customWidth="1"/>
    <col min="4622" max="4622" width="14.33203125" style="2967" customWidth="1"/>
    <col min="4623" max="4623" width="6.21875" style="2967" customWidth="1"/>
    <col min="4624" max="4625" width="7.88671875" style="2967" customWidth="1"/>
    <col min="4626" max="4864" width="9" style="2967"/>
    <col min="4865" max="4865" width="21.109375" style="2967" customWidth="1"/>
    <col min="4866" max="4866" width="6.21875" style="2967" customWidth="1"/>
    <col min="4867" max="4867" width="11.77734375" style="2967" customWidth="1"/>
    <col min="4868" max="4868" width="21.109375" style="2967" customWidth="1"/>
    <col min="4869" max="4869" width="7.88671875" style="2967" customWidth="1"/>
    <col min="4870" max="4870" width="11.21875" style="2967" customWidth="1"/>
    <col min="4871" max="4872" width="13.88671875" style="2967" customWidth="1"/>
    <col min="4873" max="4873" width="25.77734375" style="2967" customWidth="1"/>
    <col min="4874" max="4874" width="9" style="2967" customWidth="1"/>
    <col min="4875" max="4875" width="19.109375" style="2967" customWidth="1"/>
    <col min="4876" max="4877" width="10.6640625" style="2967" customWidth="1"/>
    <col min="4878" max="4878" width="14.33203125" style="2967" customWidth="1"/>
    <col min="4879" max="4879" width="6.21875" style="2967" customWidth="1"/>
    <col min="4880" max="4881" width="7.88671875" style="2967" customWidth="1"/>
    <col min="4882" max="5120" width="9" style="2967"/>
    <col min="5121" max="5121" width="21.109375" style="2967" customWidth="1"/>
    <col min="5122" max="5122" width="6.21875" style="2967" customWidth="1"/>
    <col min="5123" max="5123" width="11.77734375" style="2967" customWidth="1"/>
    <col min="5124" max="5124" width="21.109375" style="2967" customWidth="1"/>
    <col min="5125" max="5125" width="7.88671875" style="2967" customWidth="1"/>
    <col min="5126" max="5126" width="11.21875" style="2967" customWidth="1"/>
    <col min="5127" max="5128" width="13.88671875" style="2967" customWidth="1"/>
    <col min="5129" max="5129" width="25.77734375" style="2967" customWidth="1"/>
    <col min="5130" max="5130" width="9" style="2967" customWidth="1"/>
    <col min="5131" max="5131" width="19.109375" style="2967" customWidth="1"/>
    <col min="5132" max="5133" width="10.6640625" style="2967" customWidth="1"/>
    <col min="5134" max="5134" width="14.33203125" style="2967" customWidth="1"/>
    <col min="5135" max="5135" width="6.21875" style="2967" customWidth="1"/>
    <col min="5136" max="5137" width="7.88671875" style="2967" customWidth="1"/>
    <col min="5138" max="5376" width="9" style="2967"/>
    <col min="5377" max="5377" width="21.109375" style="2967" customWidth="1"/>
    <col min="5378" max="5378" width="6.21875" style="2967" customWidth="1"/>
    <col min="5379" max="5379" width="11.77734375" style="2967" customWidth="1"/>
    <col min="5380" max="5380" width="21.109375" style="2967" customWidth="1"/>
    <col min="5381" max="5381" width="7.88671875" style="2967" customWidth="1"/>
    <col min="5382" max="5382" width="11.21875" style="2967" customWidth="1"/>
    <col min="5383" max="5384" width="13.88671875" style="2967" customWidth="1"/>
    <col min="5385" max="5385" width="25.77734375" style="2967" customWidth="1"/>
    <col min="5386" max="5386" width="9" style="2967" customWidth="1"/>
    <col min="5387" max="5387" width="19.109375" style="2967" customWidth="1"/>
    <col min="5388" max="5389" width="10.6640625" style="2967" customWidth="1"/>
    <col min="5390" max="5390" width="14.33203125" style="2967" customWidth="1"/>
    <col min="5391" max="5391" width="6.21875" style="2967" customWidth="1"/>
    <col min="5392" max="5393" width="7.88671875" style="2967" customWidth="1"/>
    <col min="5394" max="5632" width="9" style="2967"/>
    <col min="5633" max="5633" width="21.109375" style="2967" customWidth="1"/>
    <col min="5634" max="5634" width="6.21875" style="2967" customWidth="1"/>
    <col min="5635" max="5635" width="11.77734375" style="2967" customWidth="1"/>
    <col min="5636" max="5636" width="21.109375" style="2967" customWidth="1"/>
    <col min="5637" max="5637" width="7.88671875" style="2967" customWidth="1"/>
    <col min="5638" max="5638" width="11.21875" style="2967" customWidth="1"/>
    <col min="5639" max="5640" width="13.88671875" style="2967" customWidth="1"/>
    <col min="5641" max="5641" width="25.77734375" style="2967" customWidth="1"/>
    <col min="5642" max="5642" width="9" style="2967" customWidth="1"/>
    <col min="5643" max="5643" width="19.109375" style="2967" customWidth="1"/>
    <col min="5644" max="5645" width="10.6640625" style="2967" customWidth="1"/>
    <col min="5646" max="5646" width="14.33203125" style="2967" customWidth="1"/>
    <col min="5647" max="5647" width="6.21875" style="2967" customWidth="1"/>
    <col min="5648" max="5649" width="7.88671875" style="2967" customWidth="1"/>
    <col min="5650" max="5888" width="9" style="2967"/>
    <col min="5889" max="5889" width="21.109375" style="2967" customWidth="1"/>
    <col min="5890" max="5890" width="6.21875" style="2967" customWidth="1"/>
    <col min="5891" max="5891" width="11.77734375" style="2967" customWidth="1"/>
    <col min="5892" max="5892" width="21.109375" style="2967" customWidth="1"/>
    <col min="5893" max="5893" width="7.88671875" style="2967" customWidth="1"/>
    <col min="5894" max="5894" width="11.21875" style="2967" customWidth="1"/>
    <col min="5895" max="5896" width="13.88671875" style="2967" customWidth="1"/>
    <col min="5897" max="5897" width="25.77734375" style="2967" customWidth="1"/>
    <col min="5898" max="5898" width="9" style="2967" customWidth="1"/>
    <col min="5899" max="5899" width="19.109375" style="2967" customWidth="1"/>
    <col min="5900" max="5901" width="10.6640625" style="2967" customWidth="1"/>
    <col min="5902" max="5902" width="14.33203125" style="2967" customWidth="1"/>
    <col min="5903" max="5903" width="6.21875" style="2967" customWidth="1"/>
    <col min="5904" max="5905" width="7.88671875" style="2967" customWidth="1"/>
    <col min="5906" max="6144" width="9" style="2967"/>
    <col min="6145" max="6145" width="21.109375" style="2967" customWidth="1"/>
    <col min="6146" max="6146" width="6.21875" style="2967" customWidth="1"/>
    <col min="6147" max="6147" width="11.77734375" style="2967" customWidth="1"/>
    <col min="6148" max="6148" width="21.109375" style="2967" customWidth="1"/>
    <col min="6149" max="6149" width="7.88671875" style="2967" customWidth="1"/>
    <col min="6150" max="6150" width="11.21875" style="2967" customWidth="1"/>
    <col min="6151" max="6152" width="13.88671875" style="2967" customWidth="1"/>
    <col min="6153" max="6153" width="25.77734375" style="2967" customWidth="1"/>
    <col min="6154" max="6154" width="9" style="2967" customWidth="1"/>
    <col min="6155" max="6155" width="19.109375" style="2967" customWidth="1"/>
    <col min="6156" max="6157" width="10.6640625" style="2967" customWidth="1"/>
    <col min="6158" max="6158" width="14.33203125" style="2967" customWidth="1"/>
    <col min="6159" max="6159" width="6.21875" style="2967" customWidth="1"/>
    <col min="6160" max="6161" width="7.88671875" style="2967" customWidth="1"/>
    <col min="6162" max="6400" width="9" style="2967"/>
    <col min="6401" max="6401" width="21.109375" style="2967" customWidth="1"/>
    <col min="6402" max="6402" width="6.21875" style="2967" customWidth="1"/>
    <col min="6403" max="6403" width="11.77734375" style="2967" customWidth="1"/>
    <col min="6404" max="6404" width="21.109375" style="2967" customWidth="1"/>
    <col min="6405" max="6405" width="7.88671875" style="2967" customWidth="1"/>
    <col min="6406" max="6406" width="11.21875" style="2967" customWidth="1"/>
    <col min="6407" max="6408" width="13.88671875" style="2967" customWidth="1"/>
    <col min="6409" max="6409" width="25.77734375" style="2967" customWidth="1"/>
    <col min="6410" max="6410" width="9" style="2967" customWidth="1"/>
    <col min="6411" max="6411" width="19.109375" style="2967" customWidth="1"/>
    <col min="6412" max="6413" width="10.6640625" style="2967" customWidth="1"/>
    <col min="6414" max="6414" width="14.33203125" style="2967" customWidth="1"/>
    <col min="6415" max="6415" width="6.21875" style="2967" customWidth="1"/>
    <col min="6416" max="6417" width="7.88671875" style="2967" customWidth="1"/>
    <col min="6418" max="6656" width="9" style="2967"/>
    <col min="6657" max="6657" width="21.109375" style="2967" customWidth="1"/>
    <col min="6658" max="6658" width="6.21875" style="2967" customWidth="1"/>
    <col min="6659" max="6659" width="11.77734375" style="2967" customWidth="1"/>
    <col min="6660" max="6660" width="21.109375" style="2967" customWidth="1"/>
    <col min="6661" max="6661" width="7.88671875" style="2967" customWidth="1"/>
    <col min="6662" max="6662" width="11.21875" style="2967" customWidth="1"/>
    <col min="6663" max="6664" width="13.88671875" style="2967" customWidth="1"/>
    <col min="6665" max="6665" width="25.77734375" style="2967" customWidth="1"/>
    <col min="6666" max="6666" width="9" style="2967" customWidth="1"/>
    <col min="6667" max="6667" width="19.109375" style="2967" customWidth="1"/>
    <col min="6668" max="6669" width="10.6640625" style="2967" customWidth="1"/>
    <col min="6670" max="6670" width="14.33203125" style="2967" customWidth="1"/>
    <col min="6671" max="6671" width="6.21875" style="2967" customWidth="1"/>
    <col min="6672" max="6673" width="7.88671875" style="2967" customWidth="1"/>
    <col min="6674" max="6912" width="9" style="2967"/>
    <col min="6913" max="6913" width="21.109375" style="2967" customWidth="1"/>
    <col min="6914" max="6914" width="6.21875" style="2967" customWidth="1"/>
    <col min="6915" max="6915" width="11.77734375" style="2967" customWidth="1"/>
    <col min="6916" max="6916" width="21.109375" style="2967" customWidth="1"/>
    <col min="6917" max="6917" width="7.88671875" style="2967" customWidth="1"/>
    <col min="6918" max="6918" width="11.21875" style="2967" customWidth="1"/>
    <col min="6919" max="6920" width="13.88671875" style="2967" customWidth="1"/>
    <col min="6921" max="6921" width="25.77734375" style="2967" customWidth="1"/>
    <col min="6922" max="6922" width="9" style="2967" customWidth="1"/>
    <col min="6923" max="6923" width="19.109375" style="2967" customWidth="1"/>
    <col min="6924" max="6925" width="10.6640625" style="2967" customWidth="1"/>
    <col min="6926" max="6926" width="14.33203125" style="2967" customWidth="1"/>
    <col min="6927" max="6927" width="6.21875" style="2967" customWidth="1"/>
    <col min="6928" max="6929" width="7.88671875" style="2967" customWidth="1"/>
    <col min="6930" max="7168" width="9" style="2967"/>
    <col min="7169" max="7169" width="21.109375" style="2967" customWidth="1"/>
    <col min="7170" max="7170" width="6.21875" style="2967" customWidth="1"/>
    <col min="7171" max="7171" width="11.77734375" style="2967" customWidth="1"/>
    <col min="7172" max="7172" width="21.109375" style="2967" customWidth="1"/>
    <col min="7173" max="7173" width="7.88671875" style="2967" customWidth="1"/>
    <col min="7174" max="7174" width="11.21875" style="2967" customWidth="1"/>
    <col min="7175" max="7176" width="13.88671875" style="2967" customWidth="1"/>
    <col min="7177" max="7177" width="25.77734375" style="2967" customWidth="1"/>
    <col min="7178" max="7178" width="9" style="2967" customWidth="1"/>
    <col min="7179" max="7179" width="19.109375" style="2967" customWidth="1"/>
    <col min="7180" max="7181" width="10.6640625" style="2967" customWidth="1"/>
    <col min="7182" max="7182" width="14.33203125" style="2967" customWidth="1"/>
    <col min="7183" max="7183" width="6.21875" style="2967" customWidth="1"/>
    <col min="7184" max="7185" width="7.88671875" style="2967" customWidth="1"/>
    <col min="7186" max="7424" width="9" style="2967"/>
    <col min="7425" max="7425" width="21.109375" style="2967" customWidth="1"/>
    <col min="7426" max="7426" width="6.21875" style="2967" customWidth="1"/>
    <col min="7427" max="7427" width="11.77734375" style="2967" customWidth="1"/>
    <col min="7428" max="7428" width="21.109375" style="2967" customWidth="1"/>
    <col min="7429" max="7429" width="7.88671875" style="2967" customWidth="1"/>
    <col min="7430" max="7430" width="11.21875" style="2967" customWidth="1"/>
    <col min="7431" max="7432" width="13.88671875" style="2967" customWidth="1"/>
    <col min="7433" max="7433" width="25.77734375" style="2967" customWidth="1"/>
    <col min="7434" max="7434" width="9" style="2967" customWidth="1"/>
    <col min="7435" max="7435" width="19.109375" style="2967" customWidth="1"/>
    <col min="7436" max="7437" width="10.6640625" style="2967" customWidth="1"/>
    <col min="7438" max="7438" width="14.33203125" style="2967" customWidth="1"/>
    <col min="7439" max="7439" width="6.21875" style="2967" customWidth="1"/>
    <col min="7440" max="7441" width="7.88671875" style="2967" customWidth="1"/>
    <col min="7442" max="7680" width="9" style="2967"/>
    <col min="7681" max="7681" width="21.109375" style="2967" customWidth="1"/>
    <col min="7682" max="7682" width="6.21875" style="2967" customWidth="1"/>
    <col min="7683" max="7683" width="11.77734375" style="2967" customWidth="1"/>
    <col min="7684" max="7684" width="21.109375" style="2967" customWidth="1"/>
    <col min="7685" max="7685" width="7.88671875" style="2967" customWidth="1"/>
    <col min="7686" max="7686" width="11.21875" style="2967" customWidth="1"/>
    <col min="7687" max="7688" width="13.88671875" style="2967" customWidth="1"/>
    <col min="7689" max="7689" width="25.77734375" style="2967" customWidth="1"/>
    <col min="7690" max="7690" width="9" style="2967" customWidth="1"/>
    <col min="7691" max="7691" width="19.109375" style="2967" customWidth="1"/>
    <col min="7692" max="7693" width="10.6640625" style="2967" customWidth="1"/>
    <col min="7694" max="7694" width="14.33203125" style="2967" customWidth="1"/>
    <col min="7695" max="7695" width="6.21875" style="2967" customWidth="1"/>
    <col min="7696" max="7697" width="7.88671875" style="2967" customWidth="1"/>
    <col min="7698" max="7936" width="9" style="2967"/>
    <col min="7937" max="7937" width="21.109375" style="2967" customWidth="1"/>
    <col min="7938" max="7938" width="6.21875" style="2967" customWidth="1"/>
    <col min="7939" max="7939" width="11.77734375" style="2967" customWidth="1"/>
    <col min="7940" max="7940" width="21.109375" style="2967" customWidth="1"/>
    <col min="7941" max="7941" width="7.88671875" style="2967" customWidth="1"/>
    <col min="7942" max="7942" width="11.21875" style="2967" customWidth="1"/>
    <col min="7943" max="7944" width="13.88671875" style="2967" customWidth="1"/>
    <col min="7945" max="7945" width="25.77734375" style="2967" customWidth="1"/>
    <col min="7946" max="7946" width="9" style="2967" customWidth="1"/>
    <col min="7947" max="7947" width="19.109375" style="2967" customWidth="1"/>
    <col min="7948" max="7949" width="10.6640625" style="2967" customWidth="1"/>
    <col min="7950" max="7950" width="14.33203125" style="2967" customWidth="1"/>
    <col min="7951" max="7951" width="6.21875" style="2967" customWidth="1"/>
    <col min="7952" max="7953" width="7.88671875" style="2967" customWidth="1"/>
    <col min="7954" max="8192" width="9" style="2967"/>
    <col min="8193" max="8193" width="21.109375" style="2967" customWidth="1"/>
    <col min="8194" max="8194" width="6.21875" style="2967" customWidth="1"/>
    <col min="8195" max="8195" width="11.77734375" style="2967" customWidth="1"/>
    <col min="8196" max="8196" width="21.109375" style="2967" customWidth="1"/>
    <col min="8197" max="8197" width="7.88671875" style="2967" customWidth="1"/>
    <col min="8198" max="8198" width="11.21875" style="2967" customWidth="1"/>
    <col min="8199" max="8200" width="13.88671875" style="2967" customWidth="1"/>
    <col min="8201" max="8201" width="25.77734375" style="2967" customWidth="1"/>
    <col min="8202" max="8202" width="9" style="2967" customWidth="1"/>
    <col min="8203" max="8203" width="19.109375" style="2967" customWidth="1"/>
    <col min="8204" max="8205" width="10.6640625" style="2967" customWidth="1"/>
    <col min="8206" max="8206" width="14.33203125" style="2967" customWidth="1"/>
    <col min="8207" max="8207" width="6.21875" style="2967" customWidth="1"/>
    <col min="8208" max="8209" width="7.88671875" style="2967" customWidth="1"/>
    <col min="8210" max="8448" width="9" style="2967"/>
    <col min="8449" max="8449" width="21.109375" style="2967" customWidth="1"/>
    <col min="8450" max="8450" width="6.21875" style="2967" customWidth="1"/>
    <col min="8451" max="8451" width="11.77734375" style="2967" customWidth="1"/>
    <col min="8452" max="8452" width="21.109375" style="2967" customWidth="1"/>
    <col min="8453" max="8453" width="7.88671875" style="2967" customWidth="1"/>
    <col min="8454" max="8454" width="11.21875" style="2967" customWidth="1"/>
    <col min="8455" max="8456" width="13.88671875" style="2967" customWidth="1"/>
    <col min="8457" max="8457" width="25.77734375" style="2967" customWidth="1"/>
    <col min="8458" max="8458" width="9" style="2967" customWidth="1"/>
    <col min="8459" max="8459" width="19.109375" style="2967" customWidth="1"/>
    <col min="8460" max="8461" width="10.6640625" style="2967" customWidth="1"/>
    <col min="8462" max="8462" width="14.33203125" style="2967" customWidth="1"/>
    <col min="8463" max="8463" width="6.21875" style="2967" customWidth="1"/>
    <col min="8464" max="8465" width="7.88671875" style="2967" customWidth="1"/>
    <col min="8466" max="8704" width="9" style="2967"/>
    <col min="8705" max="8705" width="21.109375" style="2967" customWidth="1"/>
    <col min="8706" max="8706" width="6.21875" style="2967" customWidth="1"/>
    <col min="8707" max="8707" width="11.77734375" style="2967" customWidth="1"/>
    <col min="8708" max="8708" width="21.109375" style="2967" customWidth="1"/>
    <col min="8709" max="8709" width="7.88671875" style="2967" customWidth="1"/>
    <col min="8710" max="8710" width="11.21875" style="2967" customWidth="1"/>
    <col min="8711" max="8712" width="13.88671875" style="2967" customWidth="1"/>
    <col min="8713" max="8713" width="25.77734375" style="2967" customWidth="1"/>
    <col min="8714" max="8714" width="9" style="2967" customWidth="1"/>
    <col min="8715" max="8715" width="19.109375" style="2967" customWidth="1"/>
    <col min="8716" max="8717" width="10.6640625" style="2967" customWidth="1"/>
    <col min="8718" max="8718" width="14.33203125" style="2967" customWidth="1"/>
    <col min="8719" max="8719" width="6.21875" style="2967" customWidth="1"/>
    <col min="8720" max="8721" width="7.88671875" style="2967" customWidth="1"/>
    <col min="8722" max="8960" width="9" style="2967"/>
    <col min="8961" max="8961" width="21.109375" style="2967" customWidth="1"/>
    <col min="8962" max="8962" width="6.21875" style="2967" customWidth="1"/>
    <col min="8963" max="8963" width="11.77734375" style="2967" customWidth="1"/>
    <col min="8964" max="8964" width="21.109375" style="2967" customWidth="1"/>
    <col min="8965" max="8965" width="7.88671875" style="2967" customWidth="1"/>
    <col min="8966" max="8966" width="11.21875" style="2967" customWidth="1"/>
    <col min="8967" max="8968" width="13.88671875" style="2967" customWidth="1"/>
    <col min="8969" max="8969" width="25.77734375" style="2967" customWidth="1"/>
    <col min="8970" max="8970" width="9" style="2967" customWidth="1"/>
    <col min="8971" max="8971" width="19.109375" style="2967" customWidth="1"/>
    <col min="8972" max="8973" width="10.6640625" style="2967" customWidth="1"/>
    <col min="8974" max="8974" width="14.33203125" style="2967" customWidth="1"/>
    <col min="8975" max="8975" width="6.21875" style="2967" customWidth="1"/>
    <col min="8976" max="8977" width="7.88671875" style="2967" customWidth="1"/>
    <col min="8978" max="9216" width="9" style="2967"/>
    <col min="9217" max="9217" width="21.109375" style="2967" customWidth="1"/>
    <col min="9218" max="9218" width="6.21875" style="2967" customWidth="1"/>
    <col min="9219" max="9219" width="11.77734375" style="2967" customWidth="1"/>
    <col min="9220" max="9220" width="21.109375" style="2967" customWidth="1"/>
    <col min="9221" max="9221" width="7.88671875" style="2967" customWidth="1"/>
    <col min="9222" max="9222" width="11.21875" style="2967" customWidth="1"/>
    <col min="9223" max="9224" width="13.88671875" style="2967" customWidth="1"/>
    <col min="9225" max="9225" width="25.77734375" style="2967" customWidth="1"/>
    <col min="9226" max="9226" width="9" style="2967" customWidth="1"/>
    <col min="9227" max="9227" width="19.109375" style="2967" customWidth="1"/>
    <col min="9228" max="9229" width="10.6640625" style="2967" customWidth="1"/>
    <col min="9230" max="9230" width="14.33203125" style="2967" customWidth="1"/>
    <col min="9231" max="9231" width="6.21875" style="2967" customWidth="1"/>
    <col min="9232" max="9233" width="7.88671875" style="2967" customWidth="1"/>
    <col min="9234" max="9472" width="9" style="2967"/>
    <col min="9473" max="9473" width="21.109375" style="2967" customWidth="1"/>
    <col min="9474" max="9474" width="6.21875" style="2967" customWidth="1"/>
    <col min="9475" max="9475" width="11.77734375" style="2967" customWidth="1"/>
    <col min="9476" max="9476" width="21.109375" style="2967" customWidth="1"/>
    <col min="9477" max="9477" width="7.88671875" style="2967" customWidth="1"/>
    <col min="9478" max="9478" width="11.21875" style="2967" customWidth="1"/>
    <col min="9479" max="9480" width="13.88671875" style="2967" customWidth="1"/>
    <col min="9481" max="9481" width="25.77734375" style="2967" customWidth="1"/>
    <col min="9482" max="9482" width="9" style="2967" customWidth="1"/>
    <col min="9483" max="9483" width="19.109375" style="2967" customWidth="1"/>
    <col min="9484" max="9485" width="10.6640625" style="2967" customWidth="1"/>
    <col min="9486" max="9486" width="14.33203125" style="2967" customWidth="1"/>
    <col min="9487" max="9487" width="6.21875" style="2967" customWidth="1"/>
    <col min="9488" max="9489" width="7.88671875" style="2967" customWidth="1"/>
    <col min="9490" max="9728" width="9" style="2967"/>
    <col min="9729" max="9729" width="21.109375" style="2967" customWidth="1"/>
    <col min="9730" max="9730" width="6.21875" style="2967" customWidth="1"/>
    <col min="9731" max="9731" width="11.77734375" style="2967" customWidth="1"/>
    <col min="9732" max="9732" width="21.109375" style="2967" customWidth="1"/>
    <col min="9733" max="9733" width="7.88671875" style="2967" customWidth="1"/>
    <col min="9734" max="9734" width="11.21875" style="2967" customWidth="1"/>
    <col min="9735" max="9736" width="13.88671875" style="2967" customWidth="1"/>
    <col min="9737" max="9737" width="25.77734375" style="2967" customWidth="1"/>
    <col min="9738" max="9738" width="9" style="2967" customWidth="1"/>
    <col min="9739" max="9739" width="19.109375" style="2967" customWidth="1"/>
    <col min="9740" max="9741" width="10.6640625" style="2967" customWidth="1"/>
    <col min="9742" max="9742" width="14.33203125" style="2967" customWidth="1"/>
    <col min="9743" max="9743" width="6.21875" style="2967" customWidth="1"/>
    <col min="9744" max="9745" width="7.88671875" style="2967" customWidth="1"/>
    <col min="9746" max="9984" width="9" style="2967"/>
    <col min="9985" max="9985" width="21.109375" style="2967" customWidth="1"/>
    <col min="9986" max="9986" width="6.21875" style="2967" customWidth="1"/>
    <col min="9987" max="9987" width="11.77734375" style="2967" customWidth="1"/>
    <col min="9988" max="9988" width="21.109375" style="2967" customWidth="1"/>
    <col min="9989" max="9989" width="7.88671875" style="2967" customWidth="1"/>
    <col min="9990" max="9990" width="11.21875" style="2967" customWidth="1"/>
    <col min="9991" max="9992" width="13.88671875" style="2967" customWidth="1"/>
    <col min="9993" max="9993" width="25.77734375" style="2967" customWidth="1"/>
    <col min="9994" max="9994" width="9" style="2967" customWidth="1"/>
    <col min="9995" max="9995" width="19.109375" style="2967" customWidth="1"/>
    <col min="9996" max="9997" width="10.6640625" style="2967" customWidth="1"/>
    <col min="9998" max="9998" width="14.33203125" style="2967" customWidth="1"/>
    <col min="9999" max="9999" width="6.21875" style="2967" customWidth="1"/>
    <col min="10000" max="10001" width="7.88671875" style="2967" customWidth="1"/>
    <col min="10002" max="10240" width="9" style="2967"/>
    <col min="10241" max="10241" width="21.109375" style="2967" customWidth="1"/>
    <col min="10242" max="10242" width="6.21875" style="2967" customWidth="1"/>
    <col min="10243" max="10243" width="11.77734375" style="2967" customWidth="1"/>
    <col min="10244" max="10244" width="21.109375" style="2967" customWidth="1"/>
    <col min="10245" max="10245" width="7.88671875" style="2967" customWidth="1"/>
    <col min="10246" max="10246" width="11.21875" style="2967" customWidth="1"/>
    <col min="10247" max="10248" width="13.88671875" style="2967" customWidth="1"/>
    <col min="10249" max="10249" width="25.77734375" style="2967" customWidth="1"/>
    <col min="10250" max="10250" width="9" style="2967" customWidth="1"/>
    <col min="10251" max="10251" width="19.109375" style="2967" customWidth="1"/>
    <col min="10252" max="10253" width="10.6640625" style="2967" customWidth="1"/>
    <col min="10254" max="10254" width="14.33203125" style="2967" customWidth="1"/>
    <col min="10255" max="10255" width="6.21875" style="2967" customWidth="1"/>
    <col min="10256" max="10257" width="7.88671875" style="2967" customWidth="1"/>
    <col min="10258" max="10496" width="9" style="2967"/>
    <col min="10497" max="10497" width="21.109375" style="2967" customWidth="1"/>
    <col min="10498" max="10498" width="6.21875" style="2967" customWidth="1"/>
    <col min="10499" max="10499" width="11.77734375" style="2967" customWidth="1"/>
    <col min="10500" max="10500" width="21.109375" style="2967" customWidth="1"/>
    <col min="10501" max="10501" width="7.88671875" style="2967" customWidth="1"/>
    <col min="10502" max="10502" width="11.21875" style="2967" customWidth="1"/>
    <col min="10503" max="10504" width="13.88671875" style="2967" customWidth="1"/>
    <col min="10505" max="10505" width="25.77734375" style="2967" customWidth="1"/>
    <col min="10506" max="10506" width="9" style="2967" customWidth="1"/>
    <col min="10507" max="10507" width="19.109375" style="2967" customWidth="1"/>
    <col min="10508" max="10509" width="10.6640625" style="2967" customWidth="1"/>
    <col min="10510" max="10510" width="14.33203125" style="2967" customWidth="1"/>
    <col min="10511" max="10511" width="6.21875" style="2967" customWidth="1"/>
    <col min="10512" max="10513" width="7.88671875" style="2967" customWidth="1"/>
    <col min="10514" max="10752" width="9" style="2967"/>
    <col min="10753" max="10753" width="21.109375" style="2967" customWidth="1"/>
    <col min="10754" max="10754" width="6.21875" style="2967" customWidth="1"/>
    <col min="10755" max="10755" width="11.77734375" style="2967" customWidth="1"/>
    <col min="10756" max="10756" width="21.109375" style="2967" customWidth="1"/>
    <col min="10757" max="10757" width="7.88671875" style="2967" customWidth="1"/>
    <col min="10758" max="10758" width="11.21875" style="2967" customWidth="1"/>
    <col min="10759" max="10760" width="13.88671875" style="2967" customWidth="1"/>
    <col min="10761" max="10761" width="25.77734375" style="2967" customWidth="1"/>
    <col min="10762" max="10762" width="9" style="2967" customWidth="1"/>
    <col min="10763" max="10763" width="19.109375" style="2967" customWidth="1"/>
    <col min="10764" max="10765" width="10.6640625" style="2967" customWidth="1"/>
    <col min="10766" max="10766" width="14.33203125" style="2967" customWidth="1"/>
    <col min="10767" max="10767" width="6.21875" style="2967" customWidth="1"/>
    <col min="10768" max="10769" width="7.88671875" style="2967" customWidth="1"/>
    <col min="10770" max="11008" width="9" style="2967"/>
    <col min="11009" max="11009" width="21.109375" style="2967" customWidth="1"/>
    <col min="11010" max="11010" width="6.21875" style="2967" customWidth="1"/>
    <col min="11011" max="11011" width="11.77734375" style="2967" customWidth="1"/>
    <col min="11012" max="11012" width="21.109375" style="2967" customWidth="1"/>
    <col min="11013" max="11013" width="7.88671875" style="2967" customWidth="1"/>
    <col min="11014" max="11014" width="11.21875" style="2967" customWidth="1"/>
    <col min="11015" max="11016" width="13.88671875" style="2967" customWidth="1"/>
    <col min="11017" max="11017" width="25.77734375" style="2967" customWidth="1"/>
    <col min="11018" max="11018" width="9" style="2967" customWidth="1"/>
    <col min="11019" max="11019" width="19.109375" style="2967" customWidth="1"/>
    <col min="11020" max="11021" width="10.6640625" style="2967" customWidth="1"/>
    <col min="11022" max="11022" width="14.33203125" style="2967" customWidth="1"/>
    <col min="11023" max="11023" width="6.21875" style="2967" customWidth="1"/>
    <col min="11024" max="11025" width="7.88671875" style="2967" customWidth="1"/>
    <col min="11026" max="11264" width="9" style="2967"/>
    <col min="11265" max="11265" width="21.109375" style="2967" customWidth="1"/>
    <col min="11266" max="11266" width="6.21875" style="2967" customWidth="1"/>
    <col min="11267" max="11267" width="11.77734375" style="2967" customWidth="1"/>
    <col min="11268" max="11268" width="21.109375" style="2967" customWidth="1"/>
    <col min="11269" max="11269" width="7.88671875" style="2967" customWidth="1"/>
    <col min="11270" max="11270" width="11.21875" style="2967" customWidth="1"/>
    <col min="11271" max="11272" width="13.88671875" style="2967" customWidth="1"/>
    <col min="11273" max="11273" width="25.77734375" style="2967" customWidth="1"/>
    <col min="11274" max="11274" width="9" style="2967" customWidth="1"/>
    <col min="11275" max="11275" width="19.109375" style="2967" customWidth="1"/>
    <col min="11276" max="11277" width="10.6640625" style="2967" customWidth="1"/>
    <col min="11278" max="11278" width="14.33203125" style="2967" customWidth="1"/>
    <col min="11279" max="11279" width="6.21875" style="2967" customWidth="1"/>
    <col min="11280" max="11281" width="7.88671875" style="2967" customWidth="1"/>
    <col min="11282" max="11520" width="9" style="2967"/>
    <col min="11521" max="11521" width="21.109375" style="2967" customWidth="1"/>
    <col min="11522" max="11522" width="6.21875" style="2967" customWidth="1"/>
    <col min="11523" max="11523" width="11.77734375" style="2967" customWidth="1"/>
    <col min="11524" max="11524" width="21.109375" style="2967" customWidth="1"/>
    <col min="11525" max="11525" width="7.88671875" style="2967" customWidth="1"/>
    <col min="11526" max="11526" width="11.21875" style="2967" customWidth="1"/>
    <col min="11527" max="11528" width="13.88671875" style="2967" customWidth="1"/>
    <col min="11529" max="11529" width="25.77734375" style="2967" customWidth="1"/>
    <col min="11530" max="11530" width="9" style="2967" customWidth="1"/>
    <col min="11531" max="11531" width="19.109375" style="2967" customWidth="1"/>
    <col min="11532" max="11533" width="10.6640625" style="2967" customWidth="1"/>
    <col min="11534" max="11534" width="14.33203125" style="2967" customWidth="1"/>
    <col min="11535" max="11535" width="6.21875" style="2967" customWidth="1"/>
    <col min="11536" max="11537" width="7.88671875" style="2967" customWidth="1"/>
    <col min="11538" max="11776" width="9" style="2967"/>
    <col min="11777" max="11777" width="21.109375" style="2967" customWidth="1"/>
    <col min="11778" max="11778" width="6.21875" style="2967" customWidth="1"/>
    <col min="11779" max="11779" width="11.77734375" style="2967" customWidth="1"/>
    <col min="11780" max="11780" width="21.109375" style="2967" customWidth="1"/>
    <col min="11781" max="11781" width="7.88671875" style="2967" customWidth="1"/>
    <col min="11782" max="11782" width="11.21875" style="2967" customWidth="1"/>
    <col min="11783" max="11784" width="13.88671875" style="2967" customWidth="1"/>
    <col min="11785" max="11785" width="25.77734375" style="2967" customWidth="1"/>
    <col min="11786" max="11786" width="9" style="2967" customWidth="1"/>
    <col min="11787" max="11787" width="19.109375" style="2967" customWidth="1"/>
    <col min="11788" max="11789" width="10.6640625" style="2967" customWidth="1"/>
    <col min="11790" max="11790" width="14.33203125" style="2967" customWidth="1"/>
    <col min="11791" max="11791" width="6.21875" style="2967" customWidth="1"/>
    <col min="11792" max="11793" width="7.88671875" style="2967" customWidth="1"/>
    <col min="11794" max="12032" width="9" style="2967"/>
    <col min="12033" max="12033" width="21.109375" style="2967" customWidth="1"/>
    <col min="12034" max="12034" width="6.21875" style="2967" customWidth="1"/>
    <col min="12035" max="12035" width="11.77734375" style="2967" customWidth="1"/>
    <col min="12036" max="12036" width="21.109375" style="2967" customWidth="1"/>
    <col min="12037" max="12037" width="7.88671875" style="2967" customWidth="1"/>
    <col min="12038" max="12038" width="11.21875" style="2967" customWidth="1"/>
    <col min="12039" max="12040" width="13.88671875" style="2967" customWidth="1"/>
    <col min="12041" max="12041" width="25.77734375" style="2967" customWidth="1"/>
    <col min="12042" max="12042" width="9" style="2967" customWidth="1"/>
    <col min="12043" max="12043" width="19.109375" style="2967" customWidth="1"/>
    <col min="12044" max="12045" width="10.6640625" style="2967" customWidth="1"/>
    <col min="12046" max="12046" width="14.33203125" style="2967" customWidth="1"/>
    <col min="12047" max="12047" width="6.21875" style="2967" customWidth="1"/>
    <col min="12048" max="12049" width="7.88671875" style="2967" customWidth="1"/>
    <col min="12050" max="12288" width="9" style="2967"/>
    <col min="12289" max="12289" width="21.109375" style="2967" customWidth="1"/>
    <col min="12290" max="12290" width="6.21875" style="2967" customWidth="1"/>
    <col min="12291" max="12291" width="11.77734375" style="2967" customWidth="1"/>
    <col min="12292" max="12292" width="21.109375" style="2967" customWidth="1"/>
    <col min="12293" max="12293" width="7.88671875" style="2967" customWidth="1"/>
    <col min="12294" max="12294" width="11.21875" style="2967" customWidth="1"/>
    <col min="12295" max="12296" width="13.88671875" style="2967" customWidth="1"/>
    <col min="12297" max="12297" width="25.77734375" style="2967" customWidth="1"/>
    <col min="12298" max="12298" width="9" style="2967" customWidth="1"/>
    <col min="12299" max="12299" width="19.109375" style="2967" customWidth="1"/>
    <col min="12300" max="12301" width="10.6640625" style="2967" customWidth="1"/>
    <col min="12302" max="12302" width="14.33203125" style="2967" customWidth="1"/>
    <col min="12303" max="12303" width="6.21875" style="2967" customWidth="1"/>
    <col min="12304" max="12305" width="7.88671875" style="2967" customWidth="1"/>
    <col min="12306" max="12544" width="9" style="2967"/>
    <col min="12545" max="12545" width="21.109375" style="2967" customWidth="1"/>
    <col min="12546" max="12546" width="6.21875" style="2967" customWidth="1"/>
    <col min="12547" max="12547" width="11.77734375" style="2967" customWidth="1"/>
    <col min="12548" max="12548" width="21.109375" style="2967" customWidth="1"/>
    <col min="12549" max="12549" width="7.88671875" style="2967" customWidth="1"/>
    <col min="12550" max="12550" width="11.21875" style="2967" customWidth="1"/>
    <col min="12551" max="12552" width="13.88671875" style="2967" customWidth="1"/>
    <col min="12553" max="12553" width="25.77734375" style="2967" customWidth="1"/>
    <col min="12554" max="12554" width="9" style="2967" customWidth="1"/>
    <col min="12555" max="12555" width="19.109375" style="2967" customWidth="1"/>
    <col min="12556" max="12557" width="10.6640625" style="2967" customWidth="1"/>
    <col min="12558" max="12558" width="14.33203125" style="2967" customWidth="1"/>
    <col min="12559" max="12559" width="6.21875" style="2967" customWidth="1"/>
    <col min="12560" max="12561" width="7.88671875" style="2967" customWidth="1"/>
    <col min="12562" max="12800" width="9" style="2967"/>
    <col min="12801" max="12801" width="21.109375" style="2967" customWidth="1"/>
    <col min="12802" max="12802" width="6.21875" style="2967" customWidth="1"/>
    <col min="12803" max="12803" width="11.77734375" style="2967" customWidth="1"/>
    <col min="12804" max="12804" width="21.109375" style="2967" customWidth="1"/>
    <col min="12805" max="12805" width="7.88671875" style="2967" customWidth="1"/>
    <col min="12806" max="12806" width="11.21875" style="2967" customWidth="1"/>
    <col min="12807" max="12808" width="13.88671875" style="2967" customWidth="1"/>
    <col min="12809" max="12809" width="25.77734375" style="2967" customWidth="1"/>
    <col min="12810" max="12810" width="9" style="2967" customWidth="1"/>
    <col min="12811" max="12811" width="19.109375" style="2967" customWidth="1"/>
    <col min="12812" max="12813" width="10.6640625" style="2967" customWidth="1"/>
    <col min="12814" max="12814" width="14.33203125" style="2967" customWidth="1"/>
    <col min="12815" max="12815" width="6.21875" style="2967" customWidth="1"/>
    <col min="12816" max="12817" width="7.88671875" style="2967" customWidth="1"/>
    <col min="12818" max="13056" width="9" style="2967"/>
    <col min="13057" max="13057" width="21.109375" style="2967" customWidth="1"/>
    <col min="13058" max="13058" width="6.21875" style="2967" customWidth="1"/>
    <col min="13059" max="13059" width="11.77734375" style="2967" customWidth="1"/>
    <col min="13060" max="13060" width="21.109375" style="2967" customWidth="1"/>
    <col min="13061" max="13061" width="7.88671875" style="2967" customWidth="1"/>
    <col min="13062" max="13062" width="11.21875" style="2967" customWidth="1"/>
    <col min="13063" max="13064" width="13.88671875" style="2967" customWidth="1"/>
    <col min="13065" max="13065" width="25.77734375" style="2967" customWidth="1"/>
    <col min="13066" max="13066" width="9" style="2967" customWidth="1"/>
    <col min="13067" max="13067" width="19.109375" style="2967" customWidth="1"/>
    <col min="13068" max="13069" width="10.6640625" style="2967" customWidth="1"/>
    <col min="13070" max="13070" width="14.33203125" style="2967" customWidth="1"/>
    <col min="13071" max="13071" width="6.21875" style="2967" customWidth="1"/>
    <col min="13072" max="13073" width="7.88671875" style="2967" customWidth="1"/>
    <col min="13074" max="13312" width="9" style="2967"/>
    <col min="13313" max="13313" width="21.109375" style="2967" customWidth="1"/>
    <col min="13314" max="13314" width="6.21875" style="2967" customWidth="1"/>
    <col min="13315" max="13315" width="11.77734375" style="2967" customWidth="1"/>
    <col min="13316" max="13316" width="21.109375" style="2967" customWidth="1"/>
    <col min="13317" max="13317" width="7.88671875" style="2967" customWidth="1"/>
    <col min="13318" max="13318" width="11.21875" style="2967" customWidth="1"/>
    <col min="13319" max="13320" width="13.88671875" style="2967" customWidth="1"/>
    <col min="13321" max="13321" width="25.77734375" style="2967" customWidth="1"/>
    <col min="13322" max="13322" width="9" style="2967" customWidth="1"/>
    <col min="13323" max="13323" width="19.109375" style="2967" customWidth="1"/>
    <col min="13324" max="13325" width="10.6640625" style="2967" customWidth="1"/>
    <col min="13326" max="13326" width="14.33203125" style="2967" customWidth="1"/>
    <col min="13327" max="13327" width="6.21875" style="2967" customWidth="1"/>
    <col min="13328" max="13329" width="7.88671875" style="2967" customWidth="1"/>
    <col min="13330" max="13568" width="9" style="2967"/>
    <col min="13569" max="13569" width="21.109375" style="2967" customWidth="1"/>
    <col min="13570" max="13570" width="6.21875" style="2967" customWidth="1"/>
    <col min="13571" max="13571" width="11.77734375" style="2967" customWidth="1"/>
    <col min="13572" max="13572" width="21.109375" style="2967" customWidth="1"/>
    <col min="13573" max="13573" width="7.88671875" style="2967" customWidth="1"/>
    <col min="13574" max="13574" width="11.21875" style="2967" customWidth="1"/>
    <col min="13575" max="13576" width="13.88671875" style="2967" customWidth="1"/>
    <col min="13577" max="13577" width="25.77734375" style="2967" customWidth="1"/>
    <col min="13578" max="13578" width="9" style="2967" customWidth="1"/>
    <col min="13579" max="13579" width="19.109375" style="2967" customWidth="1"/>
    <col min="13580" max="13581" width="10.6640625" style="2967" customWidth="1"/>
    <col min="13582" max="13582" width="14.33203125" style="2967" customWidth="1"/>
    <col min="13583" max="13583" width="6.21875" style="2967" customWidth="1"/>
    <col min="13584" max="13585" width="7.88671875" style="2967" customWidth="1"/>
    <col min="13586" max="13824" width="9" style="2967"/>
    <col min="13825" max="13825" width="21.109375" style="2967" customWidth="1"/>
    <col min="13826" max="13826" width="6.21875" style="2967" customWidth="1"/>
    <col min="13827" max="13827" width="11.77734375" style="2967" customWidth="1"/>
    <col min="13828" max="13828" width="21.109375" style="2967" customWidth="1"/>
    <col min="13829" max="13829" width="7.88671875" style="2967" customWidth="1"/>
    <col min="13830" max="13830" width="11.21875" style="2967" customWidth="1"/>
    <col min="13831" max="13832" width="13.88671875" style="2967" customWidth="1"/>
    <col min="13833" max="13833" width="25.77734375" style="2967" customWidth="1"/>
    <col min="13834" max="13834" width="9" style="2967" customWidth="1"/>
    <col min="13835" max="13835" width="19.109375" style="2967" customWidth="1"/>
    <col min="13836" max="13837" width="10.6640625" style="2967" customWidth="1"/>
    <col min="13838" max="13838" width="14.33203125" style="2967" customWidth="1"/>
    <col min="13839" max="13839" width="6.21875" style="2967" customWidth="1"/>
    <col min="13840" max="13841" width="7.88671875" style="2967" customWidth="1"/>
    <col min="13842" max="14080" width="9" style="2967"/>
    <col min="14081" max="14081" width="21.109375" style="2967" customWidth="1"/>
    <col min="14082" max="14082" width="6.21875" style="2967" customWidth="1"/>
    <col min="14083" max="14083" width="11.77734375" style="2967" customWidth="1"/>
    <col min="14084" max="14084" width="21.109375" style="2967" customWidth="1"/>
    <col min="14085" max="14085" width="7.88671875" style="2967" customWidth="1"/>
    <col min="14086" max="14086" width="11.21875" style="2967" customWidth="1"/>
    <col min="14087" max="14088" width="13.88671875" style="2967" customWidth="1"/>
    <col min="14089" max="14089" width="25.77734375" style="2967" customWidth="1"/>
    <col min="14090" max="14090" width="9" style="2967" customWidth="1"/>
    <col min="14091" max="14091" width="19.109375" style="2967" customWidth="1"/>
    <col min="14092" max="14093" width="10.6640625" style="2967" customWidth="1"/>
    <col min="14094" max="14094" width="14.33203125" style="2967" customWidth="1"/>
    <col min="14095" max="14095" width="6.21875" style="2967" customWidth="1"/>
    <col min="14096" max="14097" width="7.88671875" style="2967" customWidth="1"/>
    <col min="14098" max="14336" width="9" style="2967"/>
    <col min="14337" max="14337" width="21.109375" style="2967" customWidth="1"/>
    <col min="14338" max="14338" width="6.21875" style="2967" customWidth="1"/>
    <col min="14339" max="14339" width="11.77734375" style="2967" customWidth="1"/>
    <col min="14340" max="14340" width="21.109375" style="2967" customWidth="1"/>
    <col min="14341" max="14341" width="7.88671875" style="2967" customWidth="1"/>
    <col min="14342" max="14342" width="11.21875" style="2967" customWidth="1"/>
    <col min="14343" max="14344" width="13.88671875" style="2967" customWidth="1"/>
    <col min="14345" max="14345" width="25.77734375" style="2967" customWidth="1"/>
    <col min="14346" max="14346" width="9" style="2967" customWidth="1"/>
    <col min="14347" max="14347" width="19.109375" style="2967" customWidth="1"/>
    <col min="14348" max="14349" width="10.6640625" style="2967" customWidth="1"/>
    <col min="14350" max="14350" width="14.33203125" style="2967" customWidth="1"/>
    <col min="14351" max="14351" width="6.21875" style="2967" customWidth="1"/>
    <col min="14352" max="14353" width="7.88671875" style="2967" customWidth="1"/>
    <col min="14354" max="14592" width="9" style="2967"/>
    <col min="14593" max="14593" width="21.109375" style="2967" customWidth="1"/>
    <col min="14594" max="14594" width="6.21875" style="2967" customWidth="1"/>
    <col min="14595" max="14595" width="11.77734375" style="2967" customWidth="1"/>
    <col min="14596" max="14596" width="21.109375" style="2967" customWidth="1"/>
    <col min="14597" max="14597" width="7.88671875" style="2967" customWidth="1"/>
    <col min="14598" max="14598" width="11.21875" style="2967" customWidth="1"/>
    <col min="14599" max="14600" width="13.88671875" style="2967" customWidth="1"/>
    <col min="14601" max="14601" width="25.77734375" style="2967" customWidth="1"/>
    <col min="14602" max="14602" width="9" style="2967" customWidth="1"/>
    <col min="14603" max="14603" width="19.109375" style="2967" customWidth="1"/>
    <col min="14604" max="14605" width="10.6640625" style="2967" customWidth="1"/>
    <col min="14606" max="14606" width="14.33203125" style="2967" customWidth="1"/>
    <col min="14607" max="14607" width="6.21875" style="2967" customWidth="1"/>
    <col min="14608" max="14609" width="7.88671875" style="2967" customWidth="1"/>
    <col min="14610" max="14848" width="9" style="2967"/>
    <col min="14849" max="14849" width="21.109375" style="2967" customWidth="1"/>
    <col min="14850" max="14850" width="6.21875" style="2967" customWidth="1"/>
    <col min="14851" max="14851" width="11.77734375" style="2967" customWidth="1"/>
    <col min="14852" max="14852" width="21.109375" style="2967" customWidth="1"/>
    <col min="14853" max="14853" width="7.88671875" style="2967" customWidth="1"/>
    <col min="14854" max="14854" width="11.21875" style="2967" customWidth="1"/>
    <col min="14855" max="14856" width="13.88671875" style="2967" customWidth="1"/>
    <col min="14857" max="14857" width="25.77734375" style="2967" customWidth="1"/>
    <col min="14858" max="14858" width="9" style="2967" customWidth="1"/>
    <col min="14859" max="14859" width="19.109375" style="2967" customWidth="1"/>
    <col min="14860" max="14861" width="10.6640625" style="2967" customWidth="1"/>
    <col min="14862" max="14862" width="14.33203125" style="2967" customWidth="1"/>
    <col min="14863" max="14863" width="6.21875" style="2967" customWidth="1"/>
    <col min="14864" max="14865" width="7.88671875" style="2967" customWidth="1"/>
    <col min="14866" max="15104" width="9" style="2967"/>
    <col min="15105" max="15105" width="21.109375" style="2967" customWidth="1"/>
    <col min="15106" max="15106" width="6.21875" style="2967" customWidth="1"/>
    <col min="15107" max="15107" width="11.77734375" style="2967" customWidth="1"/>
    <col min="15108" max="15108" width="21.109375" style="2967" customWidth="1"/>
    <col min="15109" max="15109" width="7.88671875" style="2967" customWidth="1"/>
    <col min="15110" max="15110" width="11.21875" style="2967" customWidth="1"/>
    <col min="15111" max="15112" width="13.88671875" style="2967" customWidth="1"/>
    <col min="15113" max="15113" width="25.77734375" style="2967" customWidth="1"/>
    <col min="15114" max="15114" width="9" style="2967" customWidth="1"/>
    <col min="15115" max="15115" width="19.109375" style="2967" customWidth="1"/>
    <col min="15116" max="15117" width="10.6640625" style="2967" customWidth="1"/>
    <col min="15118" max="15118" width="14.33203125" style="2967" customWidth="1"/>
    <col min="15119" max="15119" width="6.21875" style="2967" customWidth="1"/>
    <col min="15120" max="15121" width="7.88671875" style="2967" customWidth="1"/>
    <col min="15122" max="15360" width="9" style="2967"/>
    <col min="15361" max="15361" width="21.109375" style="2967" customWidth="1"/>
    <col min="15362" max="15362" width="6.21875" style="2967" customWidth="1"/>
    <col min="15363" max="15363" width="11.77734375" style="2967" customWidth="1"/>
    <col min="15364" max="15364" width="21.109375" style="2967" customWidth="1"/>
    <col min="15365" max="15365" width="7.88671875" style="2967" customWidth="1"/>
    <col min="15366" max="15366" width="11.21875" style="2967" customWidth="1"/>
    <col min="15367" max="15368" width="13.88671875" style="2967" customWidth="1"/>
    <col min="15369" max="15369" width="25.77734375" style="2967" customWidth="1"/>
    <col min="15370" max="15370" width="9" style="2967" customWidth="1"/>
    <col min="15371" max="15371" width="19.109375" style="2967" customWidth="1"/>
    <col min="15372" max="15373" width="10.6640625" style="2967" customWidth="1"/>
    <col min="15374" max="15374" width="14.33203125" style="2967" customWidth="1"/>
    <col min="15375" max="15375" width="6.21875" style="2967" customWidth="1"/>
    <col min="15376" max="15377" width="7.88671875" style="2967" customWidth="1"/>
    <col min="15378" max="15616" width="9" style="2967"/>
    <col min="15617" max="15617" width="21.109375" style="2967" customWidth="1"/>
    <col min="15618" max="15618" width="6.21875" style="2967" customWidth="1"/>
    <col min="15619" max="15619" width="11.77734375" style="2967" customWidth="1"/>
    <col min="15620" max="15620" width="21.109375" style="2967" customWidth="1"/>
    <col min="15621" max="15621" width="7.88671875" style="2967" customWidth="1"/>
    <col min="15622" max="15622" width="11.21875" style="2967" customWidth="1"/>
    <col min="15623" max="15624" width="13.88671875" style="2967" customWidth="1"/>
    <col min="15625" max="15625" width="25.77734375" style="2967" customWidth="1"/>
    <col min="15626" max="15626" width="9" style="2967" customWidth="1"/>
    <col min="15627" max="15627" width="19.109375" style="2967" customWidth="1"/>
    <col min="15628" max="15629" width="10.6640625" style="2967" customWidth="1"/>
    <col min="15630" max="15630" width="14.33203125" style="2967" customWidth="1"/>
    <col min="15631" max="15631" width="6.21875" style="2967" customWidth="1"/>
    <col min="15632" max="15633" width="7.88671875" style="2967" customWidth="1"/>
    <col min="15634" max="15872" width="9" style="2967"/>
    <col min="15873" max="15873" width="21.109375" style="2967" customWidth="1"/>
    <col min="15874" max="15874" width="6.21875" style="2967" customWidth="1"/>
    <col min="15875" max="15875" width="11.77734375" style="2967" customWidth="1"/>
    <col min="15876" max="15876" width="21.109375" style="2967" customWidth="1"/>
    <col min="15877" max="15877" width="7.88671875" style="2967" customWidth="1"/>
    <col min="15878" max="15878" width="11.21875" style="2967" customWidth="1"/>
    <col min="15879" max="15880" width="13.88671875" style="2967" customWidth="1"/>
    <col min="15881" max="15881" width="25.77734375" style="2967" customWidth="1"/>
    <col min="15882" max="15882" width="9" style="2967" customWidth="1"/>
    <col min="15883" max="15883" width="19.109375" style="2967" customWidth="1"/>
    <col min="15884" max="15885" width="10.6640625" style="2967" customWidth="1"/>
    <col min="15886" max="15886" width="14.33203125" style="2967" customWidth="1"/>
    <col min="15887" max="15887" width="6.21875" style="2967" customWidth="1"/>
    <col min="15888" max="15889" width="7.88671875" style="2967" customWidth="1"/>
    <col min="15890" max="16128" width="9" style="2967"/>
    <col min="16129" max="16129" width="21.109375" style="2967" customWidth="1"/>
    <col min="16130" max="16130" width="6.21875" style="2967" customWidth="1"/>
    <col min="16131" max="16131" width="11.77734375" style="2967" customWidth="1"/>
    <col min="16132" max="16132" width="21.109375" style="2967" customWidth="1"/>
    <col min="16133" max="16133" width="7.88671875" style="2967" customWidth="1"/>
    <col min="16134" max="16134" width="11.21875" style="2967" customWidth="1"/>
    <col min="16135" max="16136" width="13.88671875" style="2967" customWidth="1"/>
    <col min="16137" max="16137" width="25.77734375" style="2967" customWidth="1"/>
    <col min="16138" max="16138" width="9" style="2967" customWidth="1"/>
    <col min="16139" max="16139" width="19.109375" style="2967" customWidth="1"/>
    <col min="16140" max="16141" width="10.6640625" style="2967" customWidth="1"/>
    <col min="16142" max="16142" width="14.33203125" style="2967" customWidth="1"/>
    <col min="16143" max="16143" width="6.21875" style="2967" customWidth="1"/>
    <col min="16144" max="16145" width="7.88671875" style="2967" customWidth="1"/>
    <col min="16146" max="16384" width="9" style="2967"/>
  </cols>
  <sheetData>
    <row r="1" spans="1:17" s="2968" customFormat="1">
      <c r="A1" s="2968" t="s">
        <v>3143</v>
      </c>
      <c r="B1" s="2968" t="s">
        <v>3135</v>
      </c>
      <c r="C1" s="2968" t="s">
        <v>3136</v>
      </c>
      <c r="D1" s="2968" t="s">
        <v>3143</v>
      </c>
      <c r="E1" s="2968" t="s">
        <v>3137</v>
      </c>
      <c r="F1" s="2968" t="s">
        <v>3144</v>
      </c>
      <c r="G1" s="2968">
        <v>15718</v>
      </c>
      <c r="H1" s="2968">
        <v>44010.400000000001</v>
      </c>
      <c r="I1" s="2968" t="s">
        <v>3145</v>
      </c>
      <c r="J1" s="2968" t="s">
        <v>3140</v>
      </c>
      <c r="K1" s="2968" t="s">
        <v>3146</v>
      </c>
      <c r="L1" s="2968">
        <v>8235</v>
      </c>
      <c r="M1" s="2968">
        <v>8235</v>
      </c>
      <c r="N1" s="2968">
        <v>1871.15</v>
      </c>
      <c r="O1" s="2968">
        <v>0</v>
      </c>
      <c r="P1" s="2968" t="s">
        <v>3142</v>
      </c>
      <c r="Q1" s="2968">
        <f t="shared" ref="Q1:Q3" si="0">ROUND(M1*10000/G1,0)</f>
        <v>5239</v>
      </c>
    </row>
    <row r="2" spans="1:17" s="2968" customFormat="1">
      <c r="A2" s="2968" t="s">
        <v>3225</v>
      </c>
      <c r="B2" s="2968" t="s">
        <v>3135</v>
      </c>
      <c r="C2" s="2968" t="s">
        <v>3136</v>
      </c>
      <c r="D2" s="2968" t="s">
        <v>3225</v>
      </c>
      <c r="E2" s="2968" t="s">
        <v>3137</v>
      </c>
      <c r="F2" s="2968" t="s">
        <v>3226</v>
      </c>
      <c r="G2" s="2968">
        <v>6775.38</v>
      </c>
      <c r="H2" s="2968">
        <v>12195.68</v>
      </c>
      <c r="I2" s="2968" t="s">
        <v>3227</v>
      </c>
      <c r="J2" s="2968" t="s">
        <v>3228</v>
      </c>
      <c r="K2" s="2968" t="s">
        <v>3229</v>
      </c>
      <c r="L2" s="2968">
        <v>2252</v>
      </c>
      <c r="M2" s="2968">
        <v>2252</v>
      </c>
      <c r="N2" s="2968">
        <v>1846.55</v>
      </c>
      <c r="O2" s="2968">
        <v>0</v>
      </c>
      <c r="P2" s="2968" t="s">
        <v>3142</v>
      </c>
      <c r="Q2" s="2968">
        <f t="shared" si="0"/>
        <v>3324</v>
      </c>
    </row>
    <row r="3" spans="1:17" s="2968" customFormat="1">
      <c r="A3" s="2968" t="s">
        <v>3252</v>
      </c>
      <c r="B3" s="2968" t="s">
        <v>3135</v>
      </c>
      <c r="C3" s="2968" t="s">
        <v>3136</v>
      </c>
      <c r="D3" s="2968" t="s">
        <v>3252</v>
      </c>
      <c r="E3" s="2968" t="s">
        <v>3137</v>
      </c>
      <c r="F3" s="2968" t="s">
        <v>3144</v>
      </c>
      <c r="G3" s="2968">
        <v>11114</v>
      </c>
      <c r="H3" s="2968">
        <v>37787.599999999999</v>
      </c>
      <c r="I3" s="2968" t="s">
        <v>3253</v>
      </c>
      <c r="J3" s="2968" t="s">
        <v>3254</v>
      </c>
      <c r="K3" s="2968" t="s">
        <v>3255</v>
      </c>
      <c r="L3" s="2968">
        <v>6111</v>
      </c>
      <c r="M3" s="2968">
        <v>6111</v>
      </c>
      <c r="N3" s="2968">
        <v>1617.2</v>
      </c>
      <c r="O3" s="2968">
        <v>0</v>
      </c>
      <c r="P3" s="2968" t="s">
        <v>3142</v>
      </c>
      <c r="Q3" s="2968">
        <f t="shared" si="0"/>
        <v>5498</v>
      </c>
    </row>
    <row r="4" spans="1:17">
      <c r="A4" s="2967" t="s">
        <v>3117</v>
      </c>
      <c r="B4" s="2967" t="s">
        <v>3118</v>
      </c>
      <c r="C4" s="2967" t="s">
        <v>3119</v>
      </c>
      <c r="D4" s="2967" t="s">
        <v>3120</v>
      </c>
      <c r="E4" s="2967" t="s">
        <v>3121</v>
      </c>
      <c r="F4" s="2967" t="s">
        <v>3122</v>
      </c>
      <c r="G4" s="2967" t="s">
        <v>3123</v>
      </c>
      <c r="H4" s="2967" t="s">
        <v>3124</v>
      </c>
      <c r="I4" s="2967" t="s">
        <v>3125</v>
      </c>
      <c r="J4" s="2967" t="s">
        <v>3126</v>
      </c>
      <c r="K4" s="2967" t="s">
        <v>3127</v>
      </c>
      <c r="L4" s="2967" t="s">
        <v>3128</v>
      </c>
      <c r="M4" s="2967" t="s">
        <v>3129</v>
      </c>
      <c r="N4" s="2967" t="s">
        <v>3130</v>
      </c>
      <c r="O4" s="2967" t="s">
        <v>3131</v>
      </c>
      <c r="P4" s="2967" t="s">
        <v>3132</v>
      </c>
      <c r="Q4" s="2967" t="s">
        <v>3133</v>
      </c>
    </row>
    <row r="5" spans="1:17">
      <c r="A5" s="2967" t="s">
        <v>3134</v>
      </c>
      <c r="B5" s="2967" t="s">
        <v>3135</v>
      </c>
      <c r="C5" s="2967" t="s">
        <v>3136</v>
      </c>
      <c r="D5" s="2967" t="s">
        <v>3134</v>
      </c>
      <c r="E5" s="2967" t="s">
        <v>3137</v>
      </c>
      <c r="F5" s="2967" t="s">
        <v>3138</v>
      </c>
      <c r="G5" s="2967">
        <v>30003</v>
      </c>
      <c r="H5" s="2967">
        <v>75007.5</v>
      </c>
      <c r="I5" s="2967" t="s">
        <v>3139</v>
      </c>
      <c r="J5" s="2967" t="s">
        <v>3140</v>
      </c>
      <c r="K5" s="2967" t="s">
        <v>3141</v>
      </c>
      <c r="L5" s="2967">
        <v>3214</v>
      </c>
      <c r="M5" s="2967">
        <v>3214</v>
      </c>
      <c r="N5" s="2967">
        <v>428.49</v>
      </c>
      <c r="O5" s="2967">
        <v>0</v>
      </c>
      <c r="P5" s="2967" t="s">
        <v>3142</v>
      </c>
      <c r="Q5" s="2967">
        <f>ROUND(M5*10000/G5,0)</f>
        <v>1071</v>
      </c>
    </row>
    <row r="6" spans="1:17" s="2968" customFormat="1">
      <c r="A6" s="2968" t="s">
        <v>3143</v>
      </c>
      <c r="B6" s="2968" t="s">
        <v>3135</v>
      </c>
      <c r="C6" s="2968" t="s">
        <v>3136</v>
      </c>
      <c r="D6" s="2968" t="s">
        <v>3143</v>
      </c>
      <c r="E6" s="2968" t="s">
        <v>3137</v>
      </c>
      <c r="F6" s="2968" t="s">
        <v>3144</v>
      </c>
      <c r="G6" s="2968">
        <v>15718</v>
      </c>
      <c r="H6" s="2968">
        <v>44010.400000000001</v>
      </c>
      <c r="I6" s="2968" t="s">
        <v>3145</v>
      </c>
      <c r="J6" s="2968" t="s">
        <v>3140</v>
      </c>
      <c r="K6" s="2968" t="s">
        <v>3146</v>
      </c>
      <c r="L6" s="2968">
        <v>8235</v>
      </c>
      <c r="M6" s="2968">
        <v>8235</v>
      </c>
      <c r="N6" s="2968">
        <v>1871.15</v>
      </c>
      <c r="O6" s="2968">
        <v>0</v>
      </c>
      <c r="P6" s="2968" t="s">
        <v>3142</v>
      </c>
      <c r="Q6" s="2968">
        <f t="shared" ref="Q6:Q54" si="1">ROUND(M6*10000/G6,0)</f>
        <v>5239</v>
      </c>
    </row>
    <row r="7" spans="1:17">
      <c r="A7" s="2967" t="s">
        <v>3147</v>
      </c>
      <c r="B7" s="2967" t="s">
        <v>3135</v>
      </c>
      <c r="C7" s="2967" t="s">
        <v>3136</v>
      </c>
      <c r="D7" s="2967" t="s">
        <v>3147</v>
      </c>
      <c r="E7" s="2967" t="s">
        <v>3137</v>
      </c>
      <c r="F7" s="2967" t="s">
        <v>3148</v>
      </c>
      <c r="G7" s="2967">
        <v>74224</v>
      </c>
      <c r="H7" s="2967">
        <v>185560</v>
      </c>
      <c r="I7" s="2967" t="s">
        <v>3149</v>
      </c>
      <c r="J7" s="2967" t="s">
        <v>3150</v>
      </c>
      <c r="K7" s="2967" t="s">
        <v>3151</v>
      </c>
      <c r="L7" s="2967">
        <v>5612</v>
      </c>
      <c r="M7" s="2967">
        <v>5612</v>
      </c>
      <c r="N7" s="2967">
        <v>302.43</v>
      </c>
      <c r="O7" s="2967">
        <v>0</v>
      </c>
      <c r="P7" s="2967">
        <v>40</v>
      </c>
      <c r="Q7" s="2967">
        <f t="shared" si="1"/>
        <v>756</v>
      </c>
    </row>
    <row r="8" spans="1:17">
      <c r="A8" s="2967" t="s">
        <v>3152</v>
      </c>
      <c r="B8" s="2967" t="s">
        <v>3135</v>
      </c>
      <c r="C8" s="2967" t="s">
        <v>3136</v>
      </c>
      <c r="D8" s="2967" t="s">
        <v>3152</v>
      </c>
      <c r="E8" s="2967" t="s">
        <v>3137</v>
      </c>
      <c r="F8" s="2967" t="s">
        <v>3153</v>
      </c>
      <c r="G8" s="2967">
        <v>11530</v>
      </c>
      <c r="H8" s="2967">
        <v>13836</v>
      </c>
      <c r="I8" s="2967" t="s">
        <v>3154</v>
      </c>
      <c r="J8" s="2967" t="s">
        <v>3155</v>
      </c>
      <c r="K8" s="2967" t="s">
        <v>3156</v>
      </c>
      <c r="L8" s="2967">
        <v>640</v>
      </c>
      <c r="M8" s="2967">
        <v>640</v>
      </c>
      <c r="N8" s="2967">
        <v>462.56</v>
      </c>
      <c r="O8" s="2967">
        <v>0</v>
      </c>
      <c r="P8" s="2967">
        <v>40</v>
      </c>
      <c r="Q8" s="2967">
        <f t="shared" si="1"/>
        <v>555</v>
      </c>
    </row>
    <row r="9" spans="1:17">
      <c r="A9" s="2967" t="s">
        <v>3157</v>
      </c>
      <c r="B9" s="2967" t="s">
        <v>3135</v>
      </c>
      <c r="C9" s="2967" t="s">
        <v>3136</v>
      </c>
      <c r="D9" s="2967" t="s">
        <v>3157</v>
      </c>
      <c r="E9" s="2967" t="s">
        <v>3137</v>
      </c>
      <c r="F9" s="2967" t="s">
        <v>3158</v>
      </c>
      <c r="G9" s="2967">
        <v>6930.4</v>
      </c>
      <c r="H9" s="2967">
        <v>10395.6</v>
      </c>
      <c r="I9" s="2967" t="s">
        <v>3159</v>
      </c>
      <c r="J9" s="2967" t="s">
        <v>3160</v>
      </c>
      <c r="K9" s="2967" t="s">
        <v>3161</v>
      </c>
      <c r="L9" s="2967">
        <v>2610</v>
      </c>
      <c r="M9" s="2967">
        <v>2610</v>
      </c>
      <c r="N9" s="2967">
        <v>2510.67</v>
      </c>
      <c r="O9" s="2967">
        <v>0</v>
      </c>
      <c r="P9" s="2967" t="s">
        <v>3142</v>
      </c>
      <c r="Q9" s="2967">
        <f t="shared" si="1"/>
        <v>3766</v>
      </c>
    </row>
    <row r="10" spans="1:17">
      <c r="A10" s="2967" t="s">
        <v>3157</v>
      </c>
      <c r="B10" s="2967" t="s">
        <v>3135</v>
      </c>
      <c r="C10" s="2967" t="s">
        <v>3136</v>
      </c>
      <c r="D10" s="2967" t="s">
        <v>3157</v>
      </c>
      <c r="E10" s="2967" t="s">
        <v>3137</v>
      </c>
      <c r="F10" s="2967" t="s">
        <v>3158</v>
      </c>
      <c r="G10" s="2967">
        <v>7696.6</v>
      </c>
      <c r="H10" s="2967">
        <v>11544.9</v>
      </c>
      <c r="I10" s="2967" t="s">
        <v>3159</v>
      </c>
      <c r="J10" s="2967" t="s">
        <v>3160</v>
      </c>
      <c r="K10" s="2967" t="s">
        <v>3161</v>
      </c>
      <c r="L10" s="2967">
        <v>2892</v>
      </c>
      <c r="M10" s="2967">
        <v>2892</v>
      </c>
      <c r="N10" s="2967">
        <v>2505</v>
      </c>
      <c r="O10" s="2967">
        <v>0</v>
      </c>
      <c r="P10" s="2967" t="s">
        <v>3142</v>
      </c>
      <c r="Q10" s="2967">
        <f t="shared" si="1"/>
        <v>3758</v>
      </c>
    </row>
    <row r="11" spans="1:17">
      <c r="A11" s="2967" t="s">
        <v>3162</v>
      </c>
      <c r="B11" s="2967" t="s">
        <v>3135</v>
      </c>
      <c r="C11" s="2967" t="s">
        <v>3136</v>
      </c>
      <c r="D11" s="2967" t="s">
        <v>3162</v>
      </c>
      <c r="E11" s="2967" t="s">
        <v>3137</v>
      </c>
      <c r="F11" s="2967" t="s">
        <v>3163</v>
      </c>
      <c r="G11" s="2967">
        <v>155280</v>
      </c>
      <c r="H11" s="2967">
        <v>155280</v>
      </c>
      <c r="I11" s="2967" t="s">
        <v>3164</v>
      </c>
      <c r="J11" s="2967" t="s">
        <v>3165</v>
      </c>
      <c r="K11" s="2967" t="s">
        <v>3166</v>
      </c>
      <c r="L11" s="2967">
        <v>20870</v>
      </c>
      <c r="M11" s="2967">
        <v>20870</v>
      </c>
      <c r="N11" s="2967">
        <v>1344.01</v>
      </c>
      <c r="O11" s="2967">
        <v>0</v>
      </c>
      <c r="P11" s="2967" t="s">
        <v>3142</v>
      </c>
      <c r="Q11" s="2967">
        <f t="shared" si="1"/>
        <v>1344</v>
      </c>
    </row>
    <row r="12" spans="1:17">
      <c r="A12" s="2967" t="s">
        <v>3167</v>
      </c>
      <c r="B12" s="2967" t="s">
        <v>3135</v>
      </c>
      <c r="C12" s="2967" t="s">
        <v>3136</v>
      </c>
      <c r="D12" s="2967" t="s">
        <v>3167</v>
      </c>
      <c r="E12" s="2967" t="s">
        <v>3137</v>
      </c>
      <c r="F12" s="2967" t="s">
        <v>3158</v>
      </c>
      <c r="G12" s="2967">
        <v>3174.3</v>
      </c>
      <c r="H12" s="2967">
        <v>8411.9</v>
      </c>
      <c r="I12" s="2967" t="s">
        <v>3168</v>
      </c>
      <c r="J12" s="2967" t="s">
        <v>3165</v>
      </c>
      <c r="K12" s="2967" t="s">
        <v>3169</v>
      </c>
      <c r="L12" s="2967">
        <v>2525</v>
      </c>
      <c r="M12" s="2967">
        <v>2525</v>
      </c>
      <c r="N12" s="2967">
        <v>3001.69</v>
      </c>
      <c r="O12" s="2967">
        <v>0</v>
      </c>
      <c r="P12" s="2967" t="s">
        <v>3142</v>
      </c>
      <c r="Q12" s="2967">
        <f t="shared" si="1"/>
        <v>7955</v>
      </c>
    </row>
    <row r="13" spans="1:17">
      <c r="A13" s="2967" t="s">
        <v>3170</v>
      </c>
      <c r="B13" s="2967" t="s">
        <v>3135</v>
      </c>
      <c r="C13" s="2967" t="s">
        <v>3136</v>
      </c>
      <c r="D13" s="2967" t="s">
        <v>3170</v>
      </c>
      <c r="E13" s="2967" t="s">
        <v>3137</v>
      </c>
      <c r="F13" s="2967" t="s">
        <v>3153</v>
      </c>
      <c r="G13" s="2967">
        <v>11721</v>
      </c>
      <c r="H13" s="2967">
        <v>29302.5</v>
      </c>
      <c r="I13" s="2967" t="s">
        <v>3171</v>
      </c>
      <c r="J13" s="2967" t="s">
        <v>3165</v>
      </c>
      <c r="K13" s="2967" t="s">
        <v>3172</v>
      </c>
      <c r="L13" s="2967">
        <v>1718</v>
      </c>
      <c r="M13" s="2967">
        <v>1718</v>
      </c>
      <c r="N13" s="2967">
        <v>586.29</v>
      </c>
      <c r="O13" s="2967">
        <v>0</v>
      </c>
      <c r="P13" s="2967" t="s">
        <v>3142</v>
      </c>
      <c r="Q13" s="2967">
        <f t="shared" si="1"/>
        <v>1466</v>
      </c>
    </row>
    <row r="14" spans="1:17">
      <c r="A14" s="2967" t="s">
        <v>3173</v>
      </c>
      <c r="B14" s="2967" t="s">
        <v>3135</v>
      </c>
      <c r="C14" s="2967" t="s">
        <v>3136</v>
      </c>
      <c r="D14" s="2967" t="s">
        <v>3173</v>
      </c>
      <c r="E14" s="2967" t="s">
        <v>3137</v>
      </c>
      <c r="F14" s="2967" t="s">
        <v>3158</v>
      </c>
      <c r="G14" s="2967">
        <v>2000</v>
      </c>
      <c r="H14" s="2967">
        <v>1000</v>
      </c>
      <c r="I14" s="2967" t="s">
        <v>3174</v>
      </c>
      <c r="J14" s="2967" t="s">
        <v>3175</v>
      </c>
      <c r="K14" s="2967" t="s">
        <v>3176</v>
      </c>
      <c r="L14" s="2967">
        <v>477</v>
      </c>
      <c r="M14" s="2967">
        <v>477</v>
      </c>
      <c r="N14" s="2967">
        <v>4770</v>
      </c>
      <c r="O14" s="2967">
        <v>0</v>
      </c>
      <c r="P14" s="2967" t="s">
        <v>3142</v>
      </c>
      <c r="Q14" s="2967">
        <f t="shared" si="1"/>
        <v>2385</v>
      </c>
    </row>
    <row r="15" spans="1:17">
      <c r="A15" s="2967" t="s">
        <v>3177</v>
      </c>
      <c r="B15" s="2967" t="s">
        <v>3135</v>
      </c>
      <c r="C15" s="2967" t="s">
        <v>3136</v>
      </c>
      <c r="D15" s="2967" t="s">
        <v>3177</v>
      </c>
      <c r="E15" s="2967" t="s">
        <v>3137</v>
      </c>
      <c r="F15" s="2967" t="s">
        <v>3158</v>
      </c>
      <c r="G15" s="2967">
        <v>2750</v>
      </c>
      <c r="H15" s="2967">
        <v>1375</v>
      </c>
      <c r="I15" s="2967" t="s">
        <v>3174</v>
      </c>
      <c r="J15" s="2967" t="s">
        <v>3175</v>
      </c>
      <c r="K15" s="2967" t="s">
        <v>3178</v>
      </c>
      <c r="L15" s="2967">
        <v>621</v>
      </c>
      <c r="M15" s="2967">
        <v>621</v>
      </c>
      <c r="N15" s="2967">
        <v>4516.3500000000004</v>
      </c>
      <c r="O15" s="2967">
        <v>0</v>
      </c>
      <c r="P15" s="2967" t="s">
        <v>3142</v>
      </c>
      <c r="Q15" s="2967">
        <f t="shared" si="1"/>
        <v>2258</v>
      </c>
    </row>
    <row r="16" spans="1:17">
      <c r="A16" s="2967" t="s">
        <v>3179</v>
      </c>
      <c r="B16" s="2967" t="s">
        <v>3135</v>
      </c>
      <c r="C16" s="2967" t="s">
        <v>3136</v>
      </c>
      <c r="D16" s="2967" t="s">
        <v>3179</v>
      </c>
      <c r="E16" s="2967" t="s">
        <v>3137</v>
      </c>
      <c r="F16" s="2967" t="s">
        <v>3148</v>
      </c>
      <c r="G16" s="2967">
        <v>114779</v>
      </c>
      <c r="H16" s="2967">
        <v>335154.68</v>
      </c>
      <c r="I16" s="2967" t="s">
        <v>3180</v>
      </c>
      <c r="J16" s="2967" t="s">
        <v>3181</v>
      </c>
      <c r="K16" s="2967" t="s">
        <v>3182</v>
      </c>
      <c r="L16" s="2967">
        <v>113300</v>
      </c>
      <c r="M16" s="2967">
        <v>123300</v>
      </c>
      <c r="N16" s="2967">
        <v>3678.9</v>
      </c>
      <c r="O16" s="2967">
        <v>8.83</v>
      </c>
      <c r="P16" s="2967" t="s">
        <v>3142</v>
      </c>
      <c r="Q16" s="2967">
        <f t="shared" si="1"/>
        <v>10742</v>
      </c>
    </row>
    <row r="17" spans="1:17" ht="13.5" customHeight="1">
      <c r="A17" s="2967" t="s">
        <v>3179</v>
      </c>
      <c r="B17" s="2967" t="s">
        <v>3135</v>
      </c>
      <c r="C17" s="2967" t="s">
        <v>3136</v>
      </c>
      <c r="D17" s="2967" t="s">
        <v>3179</v>
      </c>
      <c r="E17" s="2967" t="s">
        <v>3137</v>
      </c>
      <c r="F17" s="2967" t="s">
        <v>3148</v>
      </c>
      <c r="G17" s="2967">
        <v>107133</v>
      </c>
      <c r="H17" s="2967">
        <v>313899.69</v>
      </c>
      <c r="I17" s="2967" t="s">
        <v>3183</v>
      </c>
      <c r="J17" s="2967" t="s">
        <v>3181</v>
      </c>
      <c r="K17" s="2967" t="s">
        <v>3182</v>
      </c>
      <c r="L17" s="2967">
        <v>106000</v>
      </c>
      <c r="M17" s="2967">
        <v>124000</v>
      </c>
      <c r="N17" s="2967">
        <v>3950.3</v>
      </c>
      <c r="O17" s="2967">
        <v>16.98</v>
      </c>
      <c r="P17" s="2967" t="s">
        <v>3142</v>
      </c>
      <c r="Q17" s="2967">
        <f t="shared" si="1"/>
        <v>11574</v>
      </c>
    </row>
    <row r="18" spans="1:17" s="2969" customFormat="1">
      <c r="A18" s="2969" t="s">
        <v>3184</v>
      </c>
      <c r="B18" s="2969" t="s">
        <v>3135</v>
      </c>
      <c r="C18" s="2969" t="s">
        <v>3136</v>
      </c>
      <c r="D18" s="2969" t="s">
        <v>3184</v>
      </c>
      <c r="E18" s="2969" t="s">
        <v>3137</v>
      </c>
      <c r="F18" s="2969" t="s">
        <v>3158</v>
      </c>
      <c r="G18" s="2969">
        <v>729.6</v>
      </c>
      <c r="H18" s="2969">
        <v>984.96</v>
      </c>
      <c r="I18" s="2969" t="s">
        <v>3185</v>
      </c>
      <c r="J18" s="2969" t="s">
        <v>3186</v>
      </c>
      <c r="K18" s="2969" t="s">
        <v>3187</v>
      </c>
      <c r="L18" s="2969">
        <v>169</v>
      </c>
      <c r="M18" s="2969">
        <v>169</v>
      </c>
      <c r="N18" s="2969">
        <v>1715.8</v>
      </c>
      <c r="O18" s="2969">
        <v>0</v>
      </c>
      <c r="P18" s="2969" t="s">
        <v>3142</v>
      </c>
      <c r="Q18" s="2969">
        <f t="shared" si="1"/>
        <v>2316</v>
      </c>
    </row>
    <row r="19" spans="1:17">
      <c r="A19" s="2967" t="s">
        <v>3170</v>
      </c>
      <c r="B19" s="2967" t="s">
        <v>3135</v>
      </c>
      <c r="C19" s="2967" t="s">
        <v>3136</v>
      </c>
      <c r="D19" s="2967" t="s">
        <v>3170</v>
      </c>
      <c r="E19" s="2967" t="s">
        <v>3137</v>
      </c>
      <c r="F19" s="2967" t="s">
        <v>3163</v>
      </c>
      <c r="G19" s="2967">
        <v>363463</v>
      </c>
      <c r="H19" s="2967">
        <v>363463</v>
      </c>
      <c r="I19" s="2967" t="s">
        <v>3188</v>
      </c>
      <c r="J19" s="2967" t="s">
        <v>3189</v>
      </c>
      <c r="K19" s="2967" t="s">
        <v>3190</v>
      </c>
      <c r="L19" s="2967">
        <v>32210</v>
      </c>
      <c r="M19" s="2967">
        <v>32210</v>
      </c>
      <c r="N19" s="2967">
        <v>886.2</v>
      </c>
      <c r="O19" s="2967">
        <v>0</v>
      </c>
      <c r="P19" s="2967" t="s">
        <v>3142</v>
      </c>
      <c r="Q19" s="2967">
        <f t="shared" si="1"/>
        <v>886</v>
      </c>
    </row>
    <row r="20" spans="1:17">
      <c r="A20" s="2967" t="s">
        <v>3191</v>
      </c>
      <c r="B20" s="2967" t="s">
        <v>3135</v>
      </c>
      <c r="C20" s="2967" t="s">
        <v>3136</v>
      </c>
      <c r="D20" s="2967" t="s">
        <v>3191</v>
      </c>
      <c r="E20" s="2967" t="s">
        <v>3137</v>
      </c>
      <c r="F20" s="2967" t="s">
        <v>3158</v>
      </c>
      <c r="G20" s="2967">
        <v>5720.25</v>
      </c>
      <c r="H20" s="2967">
        <v>6292.28</v>
      </c>
      <c r="I20" s="2967" t="s">
        <v>3192</v>
      </c>
      <c r="J20" s="2967" t="s">
        <v>3193</v>
      </c>
      <c r="K20" s="2967" t="s">
        <v>3194</v>
      </c>
      <c r="L20" s="2967">
        <v>670</v>
      </c>
      <c r="M20" s="2967">
        <v>670</v>
      </c>
      <c r="N20" s="2967">
        <v>1064.79</v>
      </c>
      <c r="O20" s="2967">
        <v>0</v>
      </c>
      <c r="P20" s="2967" t="s">
        <v>3142</v>
      </c>
      <c r="Q20" s="2967">
        <f t="shared" si="1"/>
        <v>1171</v>
      </c>
    </row>
    <row r="21" spans="1:17">
      <c r="A21" s="2967" t="s">
        <v>3191</v>
      </c>
      <c r="B21" s="2967" t="s">
        <v>3135</v>
      </c>
      <c r="C21" s="2967" t="s">
        <v>3136</v>
      </c>
      <c r="D21" s="2967" t="s">
        <v>3191</v>
      </c>
      <c r="E21" s="2967" t="s">
        <v>3137</v>
      </c>
      <c r="F21" s="2967" t="s">
        <v>3163</v>
      </c>
      <c r="G21" s="2967">
        <v>51696.800000000003</v>
      </c>
      <c r="H21" s="2967">
        <v>56866.48</v>
      </c>
      <c r="I21" s="2967" t="s">
        <v>3192</v>
      </c>
      <c r="J21" s="2967" t="s">
        <v>3193</v>
      </c>
      <c r="K21" s="2967" t="s">
        <v>3194</v>
      </c>
      <c r="L21" s="2967">
        <v>5170</v>
      </c>
      <c r="M21" s="2967">
        <v>5170</v>
      </c>
      <c r="N21" s="2967">
        <v>909.14</v>
      </c>
      <c r="O21" s="2967">
        <v>0</v>
      </c>
      <c r="P21" s="2967" t="s">
        <v>3142</v>
      </c>
      <c r="Q21" s="2967">
        <f t="shared" si="1"/>
        <v>1000</v>
      </c>
    </row>
    <row r="22" spans="1:17">
      <c r="A22" s="2967" t="s">
        <v>3191</v>
      </c>
      <c r="B22" s="2967" t="s">
        <v>3135</v>
      </c>
      <c r="C22" s="2967" t="s">
        <v>3136</v>
      </c>
      <c r="D22" s="2967" t="s">
        <v>3191</v>
      </c>
      <c r="E22" s="2967" t="s">
        <v>3137</v>
      </c>
      <c r="F22" s="2967" t="s">
        <v>3158</v>
      </c>
      <c r="G22" s="2967">
        <v>5526.83</v>
      </c>
      <c r="H22" s="2967">
        <v>13817.08</v>
      </c>
      <c r="I22" s="2967" t="s">
        <v>3195</v>
      </c>
      <c r="J22" s="2967" t="s">
        <v>3193</v>
      </c>
      <c r="K22" s="2967" t="s">
        <v>3196</v>
      </c>
      <c r="L22" s="2967">
        <v>880</v>
      </c>
      <c r="M22" s="2967">
        <v>880</v>
      </c>
      <c r="N22" s="2967">
        <v>636.88</v>
      </c>
      <c r="O22" s="2967">
        <v>0</v>
      </c>
      <c r="P22" s="2967" t="s">
        <v>3142</v>
      </c>
      <c r="Q22" s="2967">
        <f t="shared" si="1"/>
        <v>1592</v>
      </c>
    </row>
    <row r="23" spans="1:17">
      <c r="A23" s="2967" t="s">
        <v>3197</v>
      </c>
      <c r="B23" s="2967" t="s">
        <v>3135</v>
      </c>
      <c r="C23" s="2967" t="s">
        <v>3136</v>
      </c>
      <c r="D23" s="2967" t="s">
        <v>3197</v>
      </c>
      <c r="E23" s="2967" t="s">
        <v>3137</v>
      </c>
      <c r="F23" s="2967" t="s">
        <v>3158</v>
      </c>
      <c r="G23" s="2967">
        <v>2024</v>
      </c>
      <c r="H23" s="2967">
        <v>809.6</v>
      </c>
      <c r="I23" s="2967" t="s">
        <v>3198</v>
      </c>
      <c r="J23" s="2967" t="s">
        <v>3199</v>
      </c>
      <c r="K23" s="2967" t="s">
        <v>3200</v>
      </c>
      <c r="L23" s="2967">
        <v>344</v>
      </c>
      <c r="M23" s="2967">
        <v>344</v>
      </c>
      <c r="N23" s="2967">
        <v>4249.01</v>
      </c>
      <c r="O23" s="2967">
        <v>0</v>
      </c>
      <c r="P23" s="2967" t="s">
        <v>3142</v>
      </c>
      <c r="Q23" s="2967">
        <f t="shared" si="1"/>
        <v>1700</v>
      </c>
    </row>
    <row r="24" spans="1:17">
      <c r="A24" s="2967" t="s">
        <v>3201</v>
      </c>
      <c r="B24" s="2967" t="s">
        <v>3135</v>
      </c>
      <c r="C24" s="2967" t="s">
        <v>3136</v>
      </c>
      <c r="D24" s="2967" t="s">
        <v>3201</v>
      </c>
      <c r="E24" s="2967" t="s">
        <v>3137</v>
      </c>
      <c r="F24" s="2967" t="s">
        <v>3158</v>
      </c>
      <c r="G24" s="2967">
        <v>4877.8999999999996</v>
      </c>
      <c r="H24" s="2967">
        <v>9755.7999999999993</v>
      </c>
      <c r="I24" s="2967" t="s">
        <v>3202</v>
      </c>
      <c r="J24" s="2967" t="s">
        <v>3203</v>
      </c>
      <c r="K24" s="2967" t="s">
        <v>3187</v>
      </c>
      <c r="L24" s="2967">
        <v>4852</v>
      </c>
      <c r="M24" s="2967">
        <v>4852</v>
      </c>
      <c r="N24" s="2967">
        <v>4973.4399999999996</v>
      </c>
      <c r="O24" s="2967">
        <v>0</v>
      </c>
      <c r="P24" s="2967" t="s">
        <v>3142</v>
      </c>
      <c r="Q24" s="2967">
        <f t="shared" si="1"/>
        <v>9947</v>
      </c>
    </row>
    <row r="25" spans="1:17">
      <c r="A25" s="2967" t="s">
        <v>3204</v>
      </c>
      <c r="B25" s="2967" t="s">
        <v>3135</v>
      </c>
      <c r="C25" s="2967" t="s">
        <v>3136</v>
      </c>
      <c r="D25" s="2967" t="s">
        <v>3204</v>
      </c>
      <c r="E25" s="2967" t="s">
        <v>3137</v>
      </c>
      <c r="F25" s="2967" t="s">
        <v>3138</v>
      </c>
      <c r="G25" s="2967">
        <v>8489.1</v>
      </c>
      <c r="H25" s="2967">
        <v>12733.65</v>
      </c>
      <c r="I25" s="2967" t="s">
        <v>3205</v>
      </c>
      <c r="J25" s="2967" t="s">
        <v>3203</v>
      </c>
      <c r="K25" s="2967" t="s">
        <v>3187</v>
      </c>
      <c r="L25" s="2967">
        <v>3820</v>
      </c>
      <c r="M25" s="2967">
        <v>3820</v>
      </c>
      <c r="N25" s="2967">
        <v>2999.92</v>
      </c>
      <c r="O25" s="2967">
        <v>0</v>
      </c>
      <c r="P25" s="2967" t="s">
        <v>3142</v>
      </c>
      <c r="Q25" s="2967">
        <f t="shared" si="1"/>
        <v>4500</v>
      </c>
    </row>
    <row r="26" spans="1:17">
      <c r="A26" s="2967" t="s">
        <v>3206</v>
      </c>
      <c r="B26" s="2967" t="s">
        <v>3135</v>
      </c>
      <c r="C26" s="2967" t="s">
        <v>3136</v>
      </c>
      <c r="D26" s="2967" t="s">
        <v>3206</v>
      </c>
      <c r="E26" s="2967" t="s">
        <v>3137</v>
      </c>
      <c r="F26" s="2967" t="s">
        <v>3158</v>
      </c>
      <c r="G26" s="2967">
        <v>2161</v>
      </c>
      <c r="H26" s="2967">
        <v>5402.5</v>
      </c>
      <c r="I26" s="2967" t="s">
        <v>3207</v>
      </c>
      <c r="J26" s="2967" t="s">
        <v>3208</v>
      </c>
      <c r="K26" s="2967" t="s">
        <v>3209</v>
      </c>
      <c r="L26" s="2967">
        <v>405</v>
      </c>
      <c r="M26" s="2967">
        <v>405</v>
      </c>
      <c r="N26" s="2967">
        <v>749.64</v>
      </c>
      <c r="O26" s="2967">
        <v>0</v>
      </c>
      <c r="P26" s="2967" t="s">
        <v>3142</v>
      </c>
      <c r="Q26" s="2967">
        <f t="shared" si="1"/>
        <v>1874</v>
      </c>
    </row>
    <row r="27" spans="1:17">
      <c r="A27" s="2967" t="s">
        <v>3210</v>
      </c>
      <c r="B27" s="2967" t="s">
        <v>3135</v>
      </c>
      <c r="C27" s="2967" t="s">
        <v>3136</v>
      </c>
      <c r="D27" s="2967" t="s">
        <v>3210</v>
      </c>
      <c r="E27" s="2967" t="s">
        <v>3137</v>
      </c>
      <c r="F27" s="2967" t="s">
        <v>3211</v>
      </c>
      <c r="G27" s="2967">
        <v>28225</v>
      </c>
      <c r="H27" s="2967">
        <v>84675</v>
      </c>
      <c r="I27" s="2967" t="s">
        <v>3212</v>
      </c>
      <c r="J27" s="2967" t="s">
        <v>3213</v>
      </c>
      <c r="K27" s="2967" t="s">
        <v>3214</v>
      </c>
      <c r="L27" s="2967">
        <v>4230</v>
      </c>
      <c r="M27" s="2967">
        <v>4230</v>
      </c>
      <c r="N27" s="2967">
        <v>499.56</v>
      </c>
      <c r="O27" s="2967">
        <v>0</v>
      </c>
      <c r="P27" s="2967" t="s">
        <v>3142</v>
      </c>
      <c r="Q27" s="2967">
        <f t="shared" si="1"/>
        <v>1499</v>
      </c>
    </row>
    <row r="28" spans="1:17">
      <c r="A28" s="2967" t="s">
        <v>3215</v>
      </c>
      <c r="B28" s="2967" t="s">
        <v>3135</v>
      </c>
      <c r="C28" s="2967" t="s">
        <v>3136</v>
      </c>
      <c r="D28" s="2967" t="s">
        <v>3215</v>
      </c>
      <c r="E28" s="2967" t="s">
        <v>3137</v>
      </c>
      <c r="F28" s="2967" t="s">
        <v>3148</v>
      </c>
      <c r="G28" s="2967">
        <v>1663</v>
      </c>
      <c r="H28" s="2967">
        <v>5321.6</v>
      </c>
      <c r="I28" s="2967" t="s">
        <v>3216</v>
      </c>
      <c r="J28" s="2967" t="s">
        <v>3217</v>
      </c>
      <c r="K28" s="2967" t="s">
        <v>3218</v>
      </c>
      <c r="L28" s="2967">
        <v>227</v>
      </c>
      <c r="M28" s="2967">
        <v>227</v>
      </c>
      <c r="N28" s="2967">
        <v>426.56</v>
      </c>
      <c r="O28" s="2967">
        <v>0</v>
      </c>
      <c r="P28" s="2967" t="s">
        <v>3142</v>
      </c>
      <c r="Q28" s="2967">
        <f t="shared" si="1"/>
        <v>1365</v>
      </c>
    </row>
    <row r="29" spans="1:17">
      <c r="A29" s="2967" t="s">
        <v>3215</v>
      </c>
      <c r="B29" s="2967" t="s">
        <v>3135</v>
      </c>
      <c r="C29" s="2967" t="s">
        <v>3136</v>
      </c>
      <c r="D29" s="2967" t="s">
        <v>3215</v>
      </c>
      <c r="E29" s="2967" t="s">
        <v>3137</v>
      </c>
      <c r="F29" s="2967" t="s">
        <v>3148</v>
      </c>
      <c r="G29" s="2967">
        <v>1671</v>
      </c>
      <c r="H29" s="2967">
        <v>5347.2</v>
      </c>
      <c r="I29" s="2967" t="s">
        <v>3216</v>
      </c>
      <c r="J29" s="2967" t="s">
        <v>3217</v>
      </c>
      <c r="K29" s="2967" t="s">
        <v>3218</v>
      </c>
      <c r="L29" s="2967">
        <v>228</v>
      </c>
      <c r="M29" s="2967">
        <v>228</v>
      </c>
      <c r="N29" s="2967">
        <v>426.38</v>
      </c>
      <c r="O29" s="2967">
        <v>0</v>
      </c>
      <c r="P29" s="2967" t="s">
        <v>3142</v>
      </c>
      <c r="Q29" s="2967">
        <f t="shared" si="1"/>
        <v>1364</v>
      </c>
    </row>
    <row r="30" spans="1:17">
      <c r="A30" s="2967" t="s">
        <v>3219</v>
      </c>
      <c r="B30" s="2967" t="s">
        <v>3135</v>
      </c>
      <c r="C30" s="2967" t="s">
        <v>3136</v>
      </c>
      <c r="D30" s="2967" t="s">
        <v>3219</v>
      </c>
      <c r="E30" s="2967" t="s">
        <v>3137</v>
      </c>
      <c r="F30" s="2967" t="s">
        <v>3148</v>
      </c>
      <c r="G30" s="2967">
        <v>2000</v>
      </c>
      <c r="H30" s="2967">
        <v>2400</v>
      </c>
      <c r="I30" s="2967" t="s">
        <v>3220</v>
      </c>
      <c r="J30" s="2967" t="s">
        <v>3221</v>
      </c>
      <c r="K30" s="2967" t="s">
        <v>3222</v>
      </c>
      <c r="L30" s="2967">
        <v>288</v>
      </c>
      <c r="M30" s="2967">
        <v>288</v>
      </c>
      <c r="N30" s="2967">
        <v>1200</v>
      </c>
      <c r="O30" s="2967">
        <v>0</v>
      </c>
      <c r="P30" s="2967" t="s">
        <v>3142</v>
      </c>
      <c r="Q30" s="2967">
        <f t="shared" si="1"/>
        <v>1440</v>
      </c>
    </row>
    <row r="31" spans="1:17">
      <c r="A31" s="2967" t="s">
        <v>3219</v>
      </c>
      <c r="B31" s="2967" t="s">
        <v>3135</v>
      </c>
      <c r="C31" s="2967" t="s">
        <v>3136</v>
      </c>
      <c r="D31" s="2967" t="s">
        <v>3219</v>
      </c>
      <c r="E31" s="2967" t="s">
        <v>3137</v>
      </c>
      <c r="F31" s="2967" t="s">
        <v>3148</v>
      </c>
      <c r="G31" s="2967">
        <v>2240</v>
      </c>
      <c r="H31" s="2967">
        <v>2688</v>
      </c>
      <c r="I31" s="2967" t="s">
        <v>3220</v>
      </c>
      <c r="J31" s="2967" t="s">
        <v>3221</v>
      </c>
      <c r="K31" s="2967" t="s">
        <v>3222</v>
      </c>
      <c r="L31" s="2967">
        <v>323</v>
      </c>
      <c r="M31" s="2967">
        <v>323</v>
      </c>
      <c r="N31" s="2967">
        <v>1201.6400000000001</v>
      </c>
      <c r="O31" s="2967">
        <v>0</v>
      </c>
      <c r="P31" s="2967" t="s">
        <v>3142</v>
      </c>
      <c r="Q31" s="2967">
        <f t="shared" si="1"/>
        <v>1442</v>
      </c>
    </row>
    <row r="32" spans="1:17">
      <c r="A32" s="2967" t="s">
        <v>3219</v>
      </c>
      <c r="B32" s="2967" t="s">
        <v>3135</v>
      </c>
      <c r="C32" s="2967" t="s">
        <v>3136</v>
      </c>
      <c r="D32" s="2967" t="s">
        <v>3219</v>
      </c>
      <c r="E32" s="2967" t="s">
        <v>3137</v>
      </c>
      <c r="F32" s="2967" t="s">
        <v>3148</v>
      </c>
      <c r="G32" s="2967">
        <v>2000</v>
      </c>
      <c r="H32" s="2967">
        <v>2400</v>
      </c>
      <c r="I32" s="2967" t="s">
        <v>3220</v>
      </c>
      <c r="J32" s="2967" t="s">
        <v>3221</v>
      </c>
      <c r="K32" s="2967" t="s">
        <v>3222</v>
      </c>
      <c r="L32" s="2967">
        <v>287</v>
      </c>
      <c r="M32" s="2967">
        <v>287</v>
      </c>
      <c r="N32" s="2967">
        <v>1195.82</v>
      </c>
      <c r="O32" s="2967">
        <v>0</v>
      </c>
      <c r="P32" s="2967" t="s">
        <v>3142</v>
      </c>
      <c r="Q32" s="2967">
        <f t="shared" si="1"/>
        <v>1435</v>
      </c>
    </row>
    <row r="33" spans="1:17">
      <c r="A33" s="2967" t="s">
        <v>3219</v>
      </c>
      <c r="B33" s="2967" t="s">
        <v>3135</v>
      </c>
      <c r="C33" s="2967" t="s">
        <v>3136</v>
      </c>
      <c r="D33" s="2967" t="s">
        <v>3219</v>
      </c>
      <c r="E33" s="2967" t="s">
        <v>3137</v>
      </c>
      <c r="F33" s="2967" t="s">
        <v>3148</v>
      </c>
      <c r="G33" s="2967">
        <v>1398</v>
      </c>
      <c r="H33" s="2967">
        <v>1677.6</v>
      </c>
      <c r="I33" s="2967" t="s">
        <v>3220</v>
      </c>
      <c r="J33" s="2967" t="s">
        <v>3221</v>
      </c>
      <c r="K33" s="2967" t="s">
        <v>3222</v>
      </c>
      <c r="L33" s="2967">
        <v>200</v>
      </c>
      <c r="M33" s="2967">
        <v>200</v>
      </c>
      <c r="N33" s="2967">
        <v>1192.18</v>
      </c>
      <c r="O33" s="2967">
        <v>0</v>
      </c>
      <c r="P33" s="2967" t="s">
        <v>3142</v>
      </c>
      <c r="Q33" s="2967">
        <f t="shared" si="1"/>
        <v>1431</v>
      </c>
    </row>
    <row r="34" spans="1:17">
      <c r="A34" s="2967" t="s">
        <v>3219</v>
      </c>
      <c r="B34" s="2967" t="s">
        <v>3135</v>
      </c>
      <c r="C34" s="2967" t="s">
        <v>3136</v>
      </c>
      <c r="D34" s="2967" t="s">
        <v>3219</v>
      </c>
      <c r="E34" s="2967" t="s">
        <v>3137</v>
      </c>
      <c r="F34" s="2967" t="s">
        <v>3148</v>
      </c>
      <c r="G34" s="2967">
        <v>2240</v>
      </c>
      <c r="H34" s="2967">
        <v>2688</v>
      </c>
      <c r="I34" s="2967" t="s">
        <v>3220</v>
      </c>
      <c r="J34" s="2967" t="s">
        <v>3221</v>
      </c>
      <c r="K34" s="2967" t="s">
        <v>3222</v>
      </c>
      <c r="L34" s="2967">
        <v>323</v>
      </c>
      <c r="M34" s="2967">
        <v>323</v>
      </c>
      <c r="N34" s="2967">
        <v>1201.6400000000001</v>
      </c>
      <c r="O34" s="2967">
        <v>0</v>
      </c>
      <c r="P34" s="2967" t="s">
        <v>3142</v>
      </c>
      <c r="Q34" s="2967">
        <f t="shared" si="1"/>
        <v>1442</v>
      </c>
    </row>
    <row r="35" spans="1:17">
      <c r="A35" s="2967" t="s">
        <v>3219</v>
      </c>
      <c r="B35" s="2967" t="s">
        <v>3135</v>
      </c>
      <c r="C35" s="2967" t="s">
        <v>3136</v>
      </c>
      <c r="D35" s="2967" t="s">
        <v>3219</v>
      </c>
      <c r="E35" s="2967" t="s">
        <v>3137</v>
      </c>
      <c r="F35" s="2967" t="s">
        <v>3148</v>
      </c>
      <c r="G35" s="2967">
        <v>2241</v>
      </c>
      <c r="H35" s="2967">
        <v>2689.2</v>
      </c>
      <c r="I35" s="2967" t="s">
        <v>3220</v>
      </c>
      <c r="J35" s="2967" t="s">
        <v>3223</v>
      </c>
      <c r="K35" s="2967" t="s">
        <v>3222</v>
      </c>
      <c r="L35" s="2967">
        <v>316</v>
      </c>
      <c r="M35" s="2967">
        <v>316</v>
      </c>
      <c r="N35" s="2967">
        <v>1175.06</v>
      </c>
      <c r="O35" s="2967">
        <v>0</v>
      </c>
      <c r="P35" s="2967" t="s">
        <v>3142</v>
      </c>
      <c r="Q35" s="2967">
        <f t="shared" si="1"/>
        <v>1410</v>
      </c>
    </row>
    <row r="36" spans="1:17">
      <c r="A36" s="2967" t="s">
        <v>3219</v>
      </c>
      <c r="B36" s="2967" t="s">
        <v>3135</v>
      </c>
      <c r="C36" s="2967" t="s">
        <v>3136</v>
      </c>
      <c r="D36" s="2967" t="s">
        <v>3219</v>
      </c>
      <c r="E36" s="2967" t="s">
        <v>3137</v>
      </c>
      <c r="F36" s="2967" t="s">
        <v>3148</v>
      </c>
      <c r="G36" s="2967">
        <v>1680</v>
      </c>
      <c r="H36" s="2967">
        <v>2016</v>
      </c>
      <c r="I36" s="2967" t="s">
        <v>3220</v>
      </c>
      <c r="J36" s="2967" t="s">
        <v>3223</v>
      </c>
      <c r="K36" s="2967" t="s">
        <v>3222</v>
      </c>
      <c r="L36" s="2967">
        <v>237</v>
      </c>
      <c r="M36" s="2967">
        <v>237</v>
      </c>
      <c r="N36" s="2967">
        <v>1175.5899999999999</v>
      </c>
      <c r="O36" s="2967">
        <v>0</v>
      </c>
      <c r="P36" s="2967" t="s">
        <v>3142</v>
      </c>
      <c r="Q36" s="2967">
        <f t="shared" si="1"/>
        <v>1411</v>
      </c>
    </row>
    <row r="37" spans="1:17">
      <c r="A37" s="2967" t="s">
        <v>3219</v>
      </c>
      <c r="B37" s="2967" t="s">
        <v>3135</v>
      </c>
      <c r="C37" s="2967" t="s">
        <v>3136</v>
      </c>
      <c r="D37" s="2967" t="s">
        <v>3219</v>
      </c>
      <c r="E37" s="2967" t="s">
        <v>3137</v>
      </c>
      <c r="F37" s="2967" t="s">
        <v>3148</v>
      </c>
      <c r="G37" s="2967">
        <v>2000</v>
      </c>
      <c r="H37" s="2967">
        <v>2400</v>
      </c>
      <c r="I37" s="2967" t="s">
        <v>3220</v>
      </c>
      <c r="J37" s="2967" t="s">
        <v>3223</v>
      </c>
      <c r="K37" s="2967" t="s">
        <v>3222</v>
      </c>
      <c r="L37" s="2967">
        <v>287</v>
      </c>
      <c r="M37" s="2967">
        <v>287</v>
      </c>
      <c r="N37" s="2967">
        <v>1195.82</v>
      </c>
      <c r="O37" s="2967">
        <v>0</v>
      </c>
      <c r="P37" s="2967" t="s">
        <v>3142</v>
      </c>
      <c r="Q37" s="2967">
        <f t="shared" si="1"/>
        <v>1435</v>
      </c>
    </row>
    <row r="38" spans="1:17">
      <c r="A38" s="2967" t="s">
        <v>3219</v>
      </c>
      <c r="B38" s="2967" t="s">
        <v>3135</v>
      </c>
      <c r="C38" s="2967" t="s">
        <v>3136</v>
      </c>
      <c r="D38" s="2967" t="s">
        <v>3219</v>
      </c>
      <c r="E38" s="2967" t="s">
        <v>3137</v>
      </c>
      <c r="F38" s="2967" t="s">
        <v>3148</v>
      </c>
      <c r="G38" s="2967">
        <v>1681</v>
      </c>
      <c r="H38" s="2967">
        <v>2017.2</v>
      </c>
      <c r="I38" s="2967" t="s">
        <v>3220</v>
      </c>
      <c r="J38" s="2967" t="s">
        <v>3223</v>
      </c>
      <c r="K38" s="2967" t="s">
        <v>3222</v>
      </c>
      <c r="L38" s="2967">
        <v>241</v>
      </c>
      <c r="M38" s="2967">
        <v>241</v>
      </c>
      <c r="N38" s="2967">
        <v>1194.73</v>
      </c>
      <c r="O38" s="2967">
        <v>0</v>
      </c>
      <c r="P38" s="2967" t="s">
        <v>3142</v>
      </c>
      <c r="Q38" s="2967">
        <f t="shared" si="1"/>
        <v>1434</v>
      </c>
    </row>
    <row r="39" spans="1:17">
      <c r="A39" s="2967" t="s">
        <v>3219</v>
      </c>
      <c r="B39" s="2967" t="s">
        <v>3135</v>
      </c>
      <c r="C39" s="2967" t="s">
        <v>3136</v>
      </c>
      <c r="D39" s="2967" t="s">
        <v>3219</v>
      </c>
      <c r="E39" s="2967" t="s">
        <v>3137</v>
      </c>
      <c r="F39" s="2967" t="s">
        <v>3148</v>
      </c>
      <c r="G39" s="2967">
        <v>1681</v>
      </c>
      <c r="H39" s="2967">
        <v>2017.2</v>
      </c>
      <c r="I39" s="2967" t="s">
        <v>3220</v>
      </c>
      <c r="J39" s="2967" t="s">
        <v>3223</v>
      </c>
      <c r="K39" s="2967" t="s">
        <v>3222</v>
      </c>
      <c r="L39" s="2967">
        <v>241</v>
      </c>
      <c r="M39" s="2967">
        <v>241</v>
      </c>
      <c r="N39" s="2967">
        <v>1194.73</v>
      </c>
      <c r="O39" s="2967">
        <v>0</v>
      </c>
      <c r="P39" s="2967" t="s">
        <v>3142</v>
      </c>
      <c r="Q39" s="2967">
        <f t="shared" si="1"/>
        <v>1434</v>
      </c>
    </row>
    <row r="40" spans="1:17">
      <c r="A40" s="2967" t="s">
        <v>3219</v>
      </c>
      <c r="B40" s="2967" t="s">
        <v>3135</v>
      </c>
      <c r="C40" s="2967" t="s">
        <v>3136</v>
      </c>
      <c r="D40" s="2967" t="s">
        <v>3219</v>
      </c>
      <c r="E40" s="2967" t="s">
        <v>3137</v>
      </c>
      <c r="F40" s="2967" t="s">
        <v>3148</v>
      </c>
      <c r="G40" s="2967">
        <v>3200</v>
      </c>
      <c r="H40" s="2967">
        <v>3840</v>
      </c>
      <c r="I40" s="2967" t="s">
        <v>3220</v>
      </c>
      <c r="J40" s="2967" t="s">
        <v>3224</v>
      </c>
      <c r="K40" s="2967" t="s">
        <v>3222</v>
      </c>
      <c r="L40" s="2967">
        <v>445</v>
      </c>
      <c r="M40" s="2967">
        <v>445</v>
      </c>
      <c r="N40" s="2967">
        <v>1158.8399999999999</v>
      </c>
      <c r="O40" s="2967">
        <v>0</v>
      </c>
      <c r="P40" s="2967" t="s">
        <v>3142</v>
      </c>
      <c r="Q40" s="2967">
        <f t="shared" si="1"/>
        <v>1391</v>
      </c>
    </row>
    <row r="41" spans="1:17">
      <c r="A41" s="2967" t="s">
        <v>3219</v>
      </c>
      <c r="B41" s="2967" t="s">
        <v>3135</v>
      </c>
      <c r="C41" s="2967" t="s">
        <v>3136</v>
      </c>
      <c r="D41" s="2967" t="s">
        <v>3219</v>
      </c>
      <c r="E41" s="2967" t="s">
        <v>3137</v>
      </c>
      <c r="F41" s="2967" t="s">
        <v>3148</v>
      </c>
      <c r="G41" s="2967">
        <v>3200</v>
      </c>
      <c r="H41" s="2967">
        <v>3840</v>
      </c>
      <c r="I41" s="2967" t="s">
        <v>3220</v>
      </c>
      <c r="J41" s="2967" t="s">
        <v>3224</v>
      </c>
      <c r="K41" s="2967" t="s">
        <v>3222</v>
      </c>
      <c r="L41" s="2967">
        <v>445</v>
      </c>
      <c r="M41" s="2967">
        <v>445</v>
      </c>
      <c r="N41" s="2967">
        <v>1158.8399999999999</v>
      </c>
      <c r="O41" s="2967">
        <v>0</v>
      </c>
      <c r="P41" s="2967" t="s">
        <v>3142</v>
      </c>
      <c r="Q41" s="2967">
        <f t="shared" si="1"/>
        <v>1391</v>
      </c>
    </row>
    <row r="42" spans="1:17">
      <c r="A42" s="2967" t="s">
        <v>3219</v>
      </c>
      <c r="B42" s="2967" t="s">
        <v>3135</v>
      </c>
      <c r="C42" s="2967" t="s">
        <v>3136</v>
      </c>
      <c r="D42" s="2967" t="s">
        <v>3219</v>
      </c>
      <c r="E42" s="2967" t="s">
        <v>3137</v>
      </c>
      <c r="F42" s="2967" t="s">
        <v>3148</v>
      </c>
      <c r="G42" s="2967">
        <v>2240</v>
      </c>
      <c r="H42" s="2967">
        <v>2688</v>
      </c>
      <c r="I42" s="2967" t="s">
        <v>3220</v>
      </c>
      <c r="J42" s="2967" t="s">
        <v>3224</v>
      </c>
      <c r="K42" s="2967" t="s">
        <v>3222</v>
      </c>
      <c r="L42" s="2967">
        <v>313</v>
      </c>
      <c r="M42" s="2967">
        <v>313</v>
      </c>
      <c r="N42" s="2967">
        <v>1164.43</v>
      </c>
      <c r="O42" s="2967">
        <v>0</v>
      </c>
      <c r="P42" s="2967" t="s">
        <v>3142</v>
      </c>
      <c r="Q42" s="2967">
        <f t="shared" si="1"/>
        <v>1397</v>
      </c>
    </row>
    <row r="43" spans="1:17">
      <c r="A43" s="2967" t="s">
        <v>3219</v>
      </c>
      <c r="B43" s="2967" t="s">
        <v>3135</v>
      </c>
      <c r="C43" s="2967" t="s">
        <v>3136</v>
      </c>
      <c r="D43" s="2967" t="s">
        <v>3219</v>
      </c>
      <c r="E43" s="2967" t="s">
        <v>3137</v>
      </c>
      <c r="F43" s="2967" t="s">
        <v>3148</v>
      </c>
      <c r="G43" s="2967">
        <v>2240</v>
      </c>
      <c r="H43" s="2967">
        <v>2688</v>
      </c>
      <c r="I43" s="2967" t="s">
        <v>3220</v>
      </c>
      <c r="J43" s="2967" t="s">
        <v>3224</v>
      </c>
      <c r="K43" s="2967" t="s">
        <v>3222</v>
      </c>
      <c r="L43" s="2967">
        <v>311</v>
      </c>
      <c r="M43" s="2967">
        <v>311</v>
      </c>
      <c r="N43" s="2967">
        <v>1156.99</v>
      </c>
      <c r="O43" s="2967">
        <v>0</v>
      </c>
      <c r="P43" s="2967" t="s">
        <v>3142</v>
      </c>
      <c r="Q43" s="2967">
        <f t="shared" si="1"/>
        <v>1388</v>
      </c>
    </row>
    <row r="44" spans="1:17">
      <c r="A44" s="2967" t="s">
        <v>3219</v>
      </c>
      <c r="B44" s="2967" t="s">
        <v>3135</v>
      </c>
      <c r="C44" s="2967" t="s">
        <v>3136</v>
      </c>
      <c r="D44" s="2967" t="s">
        <v>3219</v>
      </c>
      <c r="E44" s="2967" t="s">
        <v>3137</v>
      </c>
      <c r="F44" s="2967" t="s">
        <v>3148</v>
      </c>
      <c r="G44" s="2967">
        <v>1400</v>
      </c>
      <c r="H44" s="2967">
        <v>1680</v>
      </c>
      <c r="I44" s="2967" t="s">
        <v>3220</v>
      </c>
      <c r="J44" s="2967" t="s">
        <v>3224</v>
      </c>
      <c r="K44" s="2967" t="s">
        <v>3222</v>
      </c>
      <c r="L44" s="2967">
        <v>196</v>
      </c>
      <c r="M44" s="2967">
        <v>196</v>
      </c>
      <c r="N44" s="2967">
        <v>1166.67</v>
      </c>
      <c r="O44" s="2967">
        <v>0</v>
      </c>
      <c r="P44" s="2967" t="s">
        <v>3142</v>
      </c>
      <c r="Q44" s="2967">
        <f t="shared" si="1"/>
        <v>1400</v>
      </c>
    </row>
    <row r="45" spans="1:17" s="2968" customFormat="1">
      <c r="A45" s="2968" t="s">
        <v>3225</v>
      </c>
      <c r="B45" s="2968" t="s">
        <v>3135</v>
      </c>
      <c r="C45" s="2968" t="s">
        <v>3136</v>
      </c>
      <c r="D45" s="2968" t="s">
        <v>3225</v>
      </c>
      <c r="E45" s="2968" t="s">
        <v>3137</v>
      </c>
      <c r="F45" s="2968" t="s">
        <v>3226</v>
      </c>
      <c r="G45" s="2968">
        <v>6775.38</v>
      </c>
      <c r="H45" s="2968">
        <v>12195.68</v>
      </c>
      <c r="I45" s="2968" t="s">
        <v>3227</v>
      </c>
      <c r="J45" s="2968" t="s">
        <v>3228</v>
      </c>
      <c r="K45" s="2968" t="s">
        <v>3229</v>
      </c>
      <c r="L45" s="2968">
        <v>2252</v>
      </c>
      <c r="M45" s="2968">
        <v>2252</v>
      </c>
      <c r="N45" s="2968">
        <v>1846.55</v>
      </c>
      <c r="O45" s="2968">
        <v>0</v>
      </c>
      <c r="P45" s="2968" t="s">
        <v>3142</v>
      </c>
      <c r="Q45" s="2968">
        <f t="shared" si="1"/>
        <v>3324</v>
      </c>
    </row>
    <row r="46" spans="1:17">
      <c r="A46" s="2967" t="s">
        <v>3219</v>
      </c>
      <c r="B46" s="2967" t="s">
        <v>3135</v>
      </c>
      <c r="C46" s="2967" t="s">
        <v>3136</v>
      </c>
      <c r="D46" s="2967" t="s">
        <v>3219</v>
      </c>
      <c r="E46" s="2967" t="s">
        <v>3137</v>
      </c>
      <c r="F46" s="2967" t="s">
        <v>3148</v>
      </c>
      <c r="G46" s="2967">
        <v>1855</v>
      </c>
      <c r="H46" s="2967">
        <v>2782.5</v>
      </c>
      <c r="I46" s="2967" t="s">
        <v>3230</v>
      </c>
      <c r="J46" s="2967" t="s">
        <v>3231</v>
      </c>
      <c r="K46" s="2967" t="s">
        <v>3232</v>
      </c>
      <c r="L46" s="2967">
        <v>267</v>
      </c>
      <c r="M46" s="2967">
        <v>267</v>
      </c>
      <c r="N46" s="2967">
        <v>959.57</v>
      </c>
      <c r="O46" s="2967">
        <v>0</v>
      </c>
      <c r="P46" s="2967" t="s">
        <v>3233</v>
      </c>
      <c r="Q46" s="2967">
        <f t="shared" si="1"/>
        <v>1439</v>
      </c>
    </row>
    <row r="47" spans="1:17">
      <c r="A47" s="2967" t="s">
        <v>3234</v>
      </c>
      <c r="B47" s="2967" t="s">
        <v>3135</v>
      </c>
      <c r="C47" s="2967" t="s">
        <v>3136</v>
      </c>
      <c r="D47" s="2967" t="s">
        <v>3234</v>
      </c>
      <c r="E47" s="2967" t="s">
        <v>3137</v>
      </c>
      <c r="F47" s="2967" t="s">
        <v>3211</v>
      </c>
      <c r="G47" s="2967">
        <v>84520</v>
      </c>
      <c r="H47" s="2967">
        <v>181718</v>
      </c>
      <c r="I47" s="2967" t="s">
        <v>3235</v>
      </c>
      <c r="J47" s="2967" t="s">
        <v>3236</v>
      </c>
      <c r="K47" s="2967" t="s">
        <v>3237</v>
      </c>
      <c r="L47" s="2967">
        <v>77500</v>
      </c>
      <c r="M47" s="2967">
        <v>77500</v>
      </c>
      <c r="N47" s="2967">
        <v>4264.8500000000004</v>
      </c>
      <c r="O47" s="2967">
        <v>0</v>
      </c>
      <c r="P47" s="2967" t="s">
        <v>3238</v>
      </c>
      <c r="Q47" s="2967">
        <f t="shared" si="1"/>
        <v>9169</v>
      </c>
    </row>
    <row r="48" spans="1:17">
      <c r="A48" s="2967" t="s">
        <v>3239</v>
      </c>
      <c r="B48" s="2967" t="s">
        <v>3135</v>
      </c>
      <c r="C48" s="2967" t="s">
        <v>3136</v>
      </c>
      <c r="D48" s="2967" t="s">
        <v>3239</v>
      </c>
      <c r="E48" s="2967" t="s">
        <v>3137</v>
      </c>
      <c r="F48" s="2967" t="s">
        <v>3226</v>
      </c>
      <c r="G48" s="2967">
        <v>21743</v>
      </c>
      <c r="H48" s="2967">
        <v>21743</v>
      </c>
      <c r="I48" s="2967" t="s">
        <v>3240</v>
      </c>
      <c r="J48" s="2967" t="s">
        <v>3241</v>
      </c>
      <c r="K48" s="2967" t="s">
        <v>3242</v>
      </c>
      <c r="L48" s="2967">
        <v>4890</v>
      </c>
      <c r="M48" s="2967">
        <v>4890</v>
      </c>
      <c r="N48" s="2967">
        <v>2249</v>
      </c>
      <c r="O48" s="2967">
        <v>0</v>
      </c>
      <c r="P48" s="2967" t="s">
        <v>3142</v>
      </c>
      <c r="Q48" s="2967">
        <f t="shared" si="1"/>
        <v>2249</v>
      </c>
    </row>
    <row r="49" spans="1:17">
      <c r="A49" s="2967" t="s">
        <v>3243</v>
      </c>
      <c r="B49" s="2967" t="s">
        <v>3135</v>
      </c>
      <c r="C49" s="2967" t="s">
        <v>3136</v>
      </c>
      <c r="D49" s="2967" t="s">
        <v>3243</v>
      </c>
      <c r="E49" s="2967" t="s">
        <v>3137</v>
      </c>
      <c r="F49" s="2967" t="s">
        <v>3226</v>
      </c>
      <c r="G49" s="2967">
        <v>2769.3</v>
      </c>
      <c r="H49" s="2967">
        <v>2215.44</v>
      </c>
      <c r="I49" s="2967" t="s">
        <v>3244</v>
      </c>
      <c r="J49" s="2967" t="s">
        <v>3245</v>
      </c>
      <c r="K49" s="2967" t="s">
        <v>3246</v>
      </c>
      <c r="L49" s="2967">
        <v>200</v>
      </c>
      <c r="M49" s="2967">
        <v>200</v>
      </c>
      <c r="N49" s="2967">
        <v>902.75</v>
      </c>
      <c r="O49" s="2967">
        <v>0</v>
      </c>
      <c r="P49" s="2967" t="s">
        <v>3247</v>
      </c>
      <c r="Q49" s="2967">
        <f t="shared" si="1"/>
        <v>722</v>
      </c>
    </row>
    <row r="50" spans="1:17">
      <c r="A50" s="2967" t="s">
        <v>3239</v>
      </c>
      <c r="B50" s="2967" t="s">
        <v>3135</v>
      </c>
      <c r="C50" s="2967" t="s">
        <v>3136</v>
      </c>
      <c r="D50" s="2967" t="s">
        <v>3239</v>
      </c>
      <c r="E50" s="2967" t="s">
        <v>3137</v>
      </c>
      <c r="F50" s="2967" t="s">
        <v>3211</v>
      </c>
      <c r="G50" s="2967">
        <v>35657</v>
      </c>
      <c r="H50" s="2967">
        <v>35657</v>
      </c>
      <c r="I50" s="2967" t="s">
        <v>3240</v>
      </c>
      <c r="J50" s="2967" t="s">
        <v>3248</v>
      </c>
      <c r="K50" s="2967" t="s">
        <v>3242</v>
      </c>
      <c r="L50" s="2967">
        <v>7378</v>
      </c>
      <c r="M50" s="2967">
        <v>7378</v>
      </c>
      <c r="N50" s="2967">
        <v>2069.15</v>
      </c>
      <c r="O50" s="2967">
        <v>0</v>
      </c>
      <c r="P50" s="2967" t="s">
        <v>3142</v>
      </c>
      <c r="Q50" s="2967">
        <f t="shared" si="1"/>
        <v>2069</v>
      </c>
    </row>
    <row r="51" spans="1:17">
      <c r="A51" s="2967" t="s">
        <v>3249</v>
      </c>
      <c r="B51" s="2967" t="s">
        <v>3135</v>
      </c>
      <c r="C51" s="2967" t="s">
        <v>3136</v>
      </c>
      <c r="D51" s="2967" t="s">
        <v>3249</v>
      </c>
      <c r="E51" s="2967" t="s">
        <v>3137</v>
      </c>
      <c r="F51" s="2967" t="s">
        <v>3226</v>
      </c>
      <c r="G51" s="2967">
        <v>10677</v>
      </c>
      <c r="H51" s="2967">
        <v>8541.6</v>
      </c>
      <c r="I51" s="2967" t="s">
        <v>3244</v>
      </c>
      <c r="J51" s="2967" t="s">
        <v>3250</v>
      </c>
      <c r="K51" s="2967" t="s">
        <v>3251</v>
      </c>
      <c r="L51" s="2967">
        <v>7516</v>
      </c>
      <c r="M51" s="2967">
        <v>7516</v>
      </c>
      <c r="N51" s="2967">
        <v>8799.2900000000009</v>
      </c>
      <c r="O51" s="2967">
        <v>0</v>
      </c>
      <c r="P51" s="2967" t="s">
        <v>3142</v>
      </c>
      <c r="Q51" s="2967">
        <f t="shared" si="1"/>
        <v>7039</v>
      </c>
    </row>
    <row r="52" spans="1:17" s="2968" customFormat="1">
      <c r="A52" s="2968" t="s">
        <v>3252</v>
      </c>
      <c r="B52" s="2968" t="s">
        <v>3135</v>
      </c>
      <c r="C52" s="2968" t="s">
        <v>3136</v>
      </c>
      <c r="D52" s="2968" t="s">
        <v>3252</v>
      </c>
      <c r="E52" s="2968" t="s">
        <v>3137</v>
      </c>
      <c r="F52" s="2968" t="s">
        <v>3144</v>
      </c>
      <c r="G52" s="2968">
        <v>11114</v>
      </c>
      <c r="H52" s="2968">
        <v>37787.599999999999</v>
      </c>
      <c r="I52" s="2968" t="s">
        <v>3253</v>
      </c>
      <c r="J52" s="2968" t="s">
        <v>3254</v>
      </c>
      <c r="K52" s="2968" t="s">
        <v>3255</v>
      </c>
      <c r="L52" s="2968">
        <v>6111</v>
      </c>
      <c r="M52" s="2968">
        <v>6111</v>
      </c>
      <c r="N52" s="2968">
        <v>1617.2</v>
      </c>
      <c r="O52" s="2968">
        <v>0</v>
      </c>
      <c r="P52" s="2968" t="s">
        <v>3142</v>
      </c>
      <c r="Q52" s="2968">
        <f t="shared" si="1"/>
        <v>5498</v>
      </c>
    </row>
    <row r="53" spans="1:17">
      <c r="A53" s="2967" t="s">
        <v>3256</v>
      </c>
      <c r="B53" s="2967" t="s">
        <v>3135</v>
      </c>
      <c r="C53" s="2967" t="s">
        <v>3136</v>
      </c>
      <c r="D53" s="2967" t="s">
        <v>3256</v>
      </c>
      <c r="E53" s="2967" t="s">
        <v>3137</v>
      </c>
      <c r="F53" s="2967" t="s">
        <v>3144</v>
      </c>
      <c r="G53" s="2967">
        <v>13660</v>
      </c>
      <c r="H53" s="2967">
        <v>36882</v>
      </c>
      <c r="I53" s="2967" t="s">
        <v>3257</v>
      </c>
      <c r="J53" s="2967" t="s">
        <v>3254</v>
      </c>
      <c r="K53" s="2967" t="s">
        <v>3258</v>
      </c>
      <c r="L53" s="2967">
        <v>5585</v>
      </c>
      <c r="M53" s="2967">
        <v>5585</v>
      </c>
      <c r="N53" s="2967">
        <v>1514.28</v>
      </c>
      <c r="O53" s="2967">
        <v>0</v>
      </c>
      <c r="P53" s="2967" t="s">
        <v>3142</v>
      </c>
      <c r="Q53" s="2967">
        <f t="shared" si="1"/>
        <v>4089</v>
      </c>
    </row>
    <row r="54" spans="1:17">
      <c r="A54" s="2967" t="s">
        <v>3252</v>
      </c>
      <c r="B54" s="2967" t="s">
        <v>3135</v>
      </c>
      <c r="C54" s="2967" t="s">
        <v>3136</v>
      </c>
      <c r="D54" s="2967" t="s">
        <v>3252</v>
      </c>
      <c r="E54" s="2967" t="s">
        <v>3137</v>
      </c>
      <c r="F54" s="2967" t="s">
        <v>3144</v>
      </c>
      <c r="G54" s="2967">
        <v>17749</v>
      </c>
      <c r="H54" s="2967">
        <v>69221.100000000006</v>
      </c>
      <c r="I54" s="2967" t="s">
        <v>3259</v>
      </c>
      <c r="J54" s="2967" t="s">
        <v>3254</v>
      </c>
      <c r="K54" s="2967" t="s">
        <v>3260</v>
      </c>
      <c r="L54" s="2967">
        <v>8754</v>
      </c>
      <c r="M54" s="2967">
        <v>8754</v>
      </c>
      <c r="N54" s="2967">
        <v>1264.6400000000001</v>
      </c>
      <c r="O54" s="2967">
        <v>0</v>
      </c>
      <c r="P54" s="2967" t="s">
        <v>3142</v>
      </c>
      <c r="Q54" s="2967">
        <f t="shared" si="1"/>
        <v>4932</v>
      </c>
    </row>
  </sheetData>
  <phoneticPr fontId="14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
  <sheetViews>
    <sheetView topLeftCell="A22" workbookViewId="0">
      <selection activeCell="A27" sqref="A27"/>
    </sheetView>
  </sheetViews>
  <sheetFormatPr defaultRowHeight="14.4"/>
  <sheetData/>
  <phoneticPr fontId="14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3064" t="s">
        <v>1656</v>
      </c>
      <c r="B1" s="3064"/>
      <c r="C1" s="3064"/>
      <c r="D1" s="3064"/>
    </row>
    <row r="2" spans="1:4" ht="17.399999999999999">
      <c r="A2" s="3065" t="s">
        <v>1640</v>
      </c>
      <c r="B2" s="3065"/>
      <c r="C2" s="3065"/>
      <c r="D2" s="3065"/>
    </row>
    <row r="3" spans="1:4" ht="17.399999999999999">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7.399999999999999">
      <c r="A6" s="3065" t="s">
        <v>1646</v>
      </c>
      <c r="B6" s="3065"/>
      <c r="C6" s="3065"/>
      <c r="D6" s="3065"/>
    </row>
    <row r="7" spans="1:4" ht="17.399999999999999">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7.399999999999999">
      <c r="A10" s="1982" t="s">
        <v>1648</v>
      </c>
      <c r="B10" s="728"/>
      <c r="C10" s="728"/>
      <c r="D10" s="728"/>
    </row>
    <row r="11" spans="1:4" ht="30" customHeight="1">
      <c r="A11" s="3066" t="s">
        <v>1649</v>
      </c>
      <c r="B11" s="3067"/>
      <c r="C11" s="3067"/>
      <c r="D11" s="3067"/>
    </row>
    <row r="12" spans="1:4" ht="15.6">
      <c r="A12" s="30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8"/>
      <c r="C12" s="3068"/>
      <c r="D12" s="3068"/>
    </row>
    <row r="13" spans="1:4" ht="30" customHeight="1">
      <c r="A13" s="30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8"/>
      <c r="C13" s="3068"/>
      <c r="D13" s="3068"/>
    </row>
    <row r="14" spans="1:4" ht="15.75" customHeight="1">
      <c r="A14" s="3067" t="str">
        <f>IF(项目基本情况!B8="抵押","4.本次评估估价师所知悉的法定优先受偿款情况说明如下：","——")</f>
        <v>4.本次评估估价师所知悉的法定优先受偿款情况说明如下：</v>
      </c>
      <c r="B14" s="3068"/>
      <c r="C14" s="3068"/>
      <c r="D14" s="3068"/>
    </row>
    <row r="15" spans="1:4" ht="42" customHeight="1">
      <c r="A15" s="3067" t="str">
        <f>IF(项目基本情况!B8="抵押","（1）"&amp;CONCATENATE(项目基本情况!L20,项目基本情况!L21,项目基本情况!L22),"——")</f>
        <v>（1）根据估价对象《不动产权证书》复印件，截至价值时点，估价对象抵押权未见登记。</v>
      </c>
      <c r="B15" s="3067"/>
      <c r="C15" s="3067"/>
      <c r="D15" s="3067"/>
    </row>
    <row r="16" spans="1:4" ht="30" customHeight="1">
      <c r="A16" s="3070" t="s">
        <v>1650</v>
      </c>
      <c r="B16" s="3070"/>
      <c r="C16" s="3070"/>
      <c r="D16" s="3070"/>
    </row>
    <row r="17" spans="1:4" ht="144" customHeight="1">
      <c r="A17" s="3070" t="s">
        <v>1651</v>
      </c>
      <c r="B17" s="3070"/>
      <c r="C17" s="3070"/>
      <c r="D17" s="3070"/>
    </row>
    <row r="18" spans="1:4" ht="15.75" customHeight="1">
      <c r="A18" s="3067" t="str">
        <f>IF(项目基本情况!B8="抵押",结果表!K120,"——")</f>
        <v>故，本次评估不存在估价师知悉的法定优先受偿款</v>
      </c>
      <c r="B18" s="3067"/>
      <c r="C18" s="3067"/>
      <c r="D18" s="3067"/>
    </row>
    <row r="19" spans="1:4" ht="46.5" customHeight="1">
      <c r="A19" s="30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7"/>
      <c r="C19" s="3067"/>
      <c r="D19" s="3067"/>
    </row>
    <row r="20" spans="1:4" ht="57.75" customHeight="1">
      <c r="A20" s="30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7"/>
      <c r="C20" s="3067"/>
      <c r="D20" s="3067"/>
    </row>
    <row r="21" spans="1:4" ht="57.75" customHeight="1">
      <c r="A21" s="30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1"/>
      <c r="C21" s="3071"/>
      <c r="D21" s="3071"/>
    </row>
    <row r="22" spans="1:4" ht="18.75" customHeight="1">
      <c r="A22" s="3072" t="s">
        <v>1652</v>
      </c>
      <c r="B22" s="3072"/>
      <c r="C22" s="3072"/>
      <c r="D22" s="3072"/>
    </row>
    <row r="23" spans="1:4">
      <c r="A23" s="1983"/>
      <c r="B23" s="1955"/>
      <c r="C23" s="1955"/>
      <c r="D23" s="1955"/>
    </row>
    <row r="24" spans="1:4">
      <c r="A24" s="1983"/>
      <c r="B24" s="1955"/>
      <c r="C24" s="1955"/>
      <c r="D24" s="1955"/>
    </row>
    <row r="25" spans="1:4" ht="17.399999999999999">
      <c r="A25" s="1984" t="s">
        <v>1653</v>
      </c>
    </row>
    <row r="26" spans="1:4" ht="17.399999999999999">
      <c r="A26" s="1953"/>
    </row>
    <row r="27" spans="1:4" ht="17.399999999999999">
      <c r="A27" s="1953" t="s">
        <v>1654</v>
      </c>
    </row>
    <row r="30" spans="1:4" ht="17.399999999999999">
      <c r="D30" s="1984" t="s">
        <v>1655</v>
      </c>
    </row>
    <row r="31" spans="1:4" ht="13.5" customHeight="1">
      <c r="C31" s="3069">
        <v>42551</v>
      </c>
      <c r="D31" s="306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866</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1" customWidth="1"/>
    <col min="2" max="16384" width="14.44140625" style="1973"/>
  </cols>
  <sheetData>
    <row r="1" spans="1:7" s="1988" customFormat="1" ht="17.399999999999999">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4.4">
      <c r="A15" s="3078" t="s">
        <v>1663</v>
      </c>
      <c r="B15" s="3073" t="s">
        <v>136</v>
      </c>
      <c r="C15" s="3074"/>
    </row>
    <row r="16" spans="1:7" ht="14.4">
      <c r="A16" s="3079"/>
      <c r="B16" s="3073" t="s">
        <v>69</v>
      </c>
      <c r="C16" s="3074"/>
    </row>
    <row r="17" spans="1:3" ht="14.4">
      <c r="A17" s="3079"/>
      <c r="B17" s="3076" t="s">
        <v>1664</v>
      </c>
      <c r="C17" s="1998" t="s">
        <v>1663</v>
      </c>
    </row>
    <row r="18" spans="1:3" ht="14.4">
      <c r="A18" s="3079"/>
      <c r="B18" s="3076"/>
      <c r="C18" s="1998" t="s">
        <v>1665</v>
      </c>
    </row>
    <row r="19" spans="1:3" ht="14.4">
      <c r="A19" s="3079"/>
      <c r="B19" s="3076"/>
      <c r="C19" s="1998" t="s">
        <v>1666</v>
      </c>
    </row>
    <row r="20" spans="1:3" ht="14.4">
      <c r="A20" s="3080"/>
      <c r="B20" s="3075" t="s">
        <v>1667</v>
      </c>
      <c r="C20" s="3074"/>
    </row>
    <row r="21" spans="1:3" ht="14.4">
      <c r="A21" s="1999" t="s">
        <v>1668</v>
      </c>
      <c r="B21" s="2000"/>
      <c r="C21" s="2001"/>
    </row>
    <row r="22" spans="1:3" ht="14.4">
      <c r="A22" s="3077" t="s">
        <v>1669</v>
      </c>
      <c r="B22" s="3075" t="s">
        <v>1670</v>
      </c>
      <c r="C22" s="3074"/>
    </row>
    <row r="23" spans="1:3" ht="14.4">
      <c r="A23" s="3077"/>
      <c r="B23" s="3075" t="s">
        <v>1671</v>
      </c>
      <c r="C23" s="3074"/>
    </row>
    <row r="24" spans="1:3" ht="14.4">
      <c r="A24" s="3077"/>
      <c r="B24" s="3075" t="s">
        <v>1672</v>
      </c>
      <c r="C24" s="3074"/>
    </row>
    <row r="25" spans="1:3" ht="14.4">
      <c r="A25" s="3077"/>
      <c r="B25" s="3076" t="s">
        <v>1673</v>
      </c>
      <c r="C25" s="1998" t="s">
        <v>1674</v>
      </c>
    </row>
    <row r="26" spans="1:3" ht="14.4">
      <c r="A26" s="3077"/>
      <c r="B26" s="3076"/>
      <c r="C26" s="1998" t="s">
        <v>1675</v>
      </c>
    </row>
    <row r="27" spans="1:3" ht="14.4">
      <c r="A27" s="3077"/>
      <c r="B27" s="3076"/>
      <c r="C27" s="1998" t="s">
        <v>1676</v>
      </c>
    </row>
    <row r="28" spans="1:3" ht="14.4">
      <c r="A28" s="3077"/>
      <c r="B28" s="3076"/>
      <c r="C28" s="1998" t="s">
        <v>1677</v>
      </c>
    </row>
    <row r="29" spans="1:3" ht="14.4">
      <c r="A29" s="3077"/>
      <c r="B29" s="3076"/>
      <c r="C29" s="1998" t="s">
        <v>1678</v>
      </c>
    </row>
    <row r="30" spans="1:3" ht="14.4">
      <c r="A30" s="3077"/>
      <c r="B30" s="3076"/>
      <c r="C30" s="1998" t="s">
        <v>1679</v>
      </c>
    </row>
    <row r="31" spans="1:3" ht="14.4">
      <c r="A31" s="3077"/>
      <c r="B31" s="3076"/>
      <c r="C31" s="1998" t="s">
        <v>1680</v>
      </c>
    </row>
    <row r="32" spans="1:3" ht="14.4">
      <c r="A32" s="3077"/>
      <c r="B32" s="3076"/>
      <c r="C32" s="1998" t="s">
        <v>1681</v>
      </c>
    </row>
    <row r="33" spans="1:3" ht="14.4">
      <c r="A33" s="3077"/>
      <c r="B33" s="3076"/>
      <c r="C33" s="1998" t="s">
        <v>1682</v>
      </c>
    </row>
    <row r="34" spans="1:3">
      <c r="A34" s="2002" t="s">
        <v>76</v>
      </c>
    </row>
    <row r="37" spans="1:3">
      <c r="A37" s="2002" t="s">
        <v>1683</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2:G30"/>
  <sheetViews>
    <sheetView view="pageBreakPreview" zoomScale="70" zoomScaleNormal="100" zoomScaleSheetLayoutView="70" workbookViewId="0">
      <selection activeCell="C23" sqref="C23"/>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43924</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929">
        <v>44876</v>
      </c>
      <c r="D4" s="2350" t="s">
        <v>832</v>
      </c>
      <c r="E4" s="1022">
        <f ca="1">IF(F4&lt;B2,"已过期",96010014)</f>
        <v>96010014</v>
      </c>
      <c r="F4" s="1030">
        <v>47118</v>
      </c>
    </row>
    <row r="5" spans="1:6" ht="24" customHeight="1">
      <c r="A5" s="1701"/>
      <c r="B5" s="1022"/>
      <c r="C5" s="2347"/>
      <c r="D5" s="2350"/>
      <c r="E5" s="1022"/>
      <c r="F5" s="1030"/>
    </row>
    <row r="6" spans="1:6" ht="24" customHeight="1">
      <c r="A6" s="1701" t="s">
        <v>833</v>
      </c>
      <c r="B6" s="1022">
        <f ca="1">IF(C6&lt;B2,"已过期",1119970111)</f>
        <v>1119970111</v>
      </c>
      <c r="C6" s="2347">
        <v>44876</v>
      </c>
      <c r="D6" s="2350" t="s">
        <v>833</v>
      </c>
      <c r="E6" s="1022">
        <f ca="1">IF(F6&lt;B2,"已过期",94010078)</f>
        <v>94010078</v>
      </c>
      <c r="F6" s="1030">
        <v>46387</v>
      </c>
    </row>
    <row r="7" spans="1:6" ht="24" customHeight="1">
      <c r="A7" s="1701" t="s">
        <v>834</v>
      </c>
      <c r="B7" s="1022">
        <f ca="1">IF(C7&lt;B2,"已过期",1120050019)</f>
        <v>1120050019</v>
      </c>
      <c r="C7" s="2347">
        <v>44395</v>
      </c>
      <c r="D7" s="2350" t="s">
        <v>834</v>
      </c>
      <c r="E7" s="1022">
        <f ca="1">IF(F7&lt;B2,"已过期",2002110030)</f>
        <v>2002110030</v>
      </c>
      <c r="F7" s="1030">
        <v>46387</v>
      </c>
    </row>
    <row r="8" spans="1:6" ht="24" customHeight="1">
      <c r="A8" s="1701" t="s">
        <v>835</v>
      </c>
      <c r="B8" s="1022">
        <f ca="1">IF(C8&lt;B2,"已过期",1120000080)</f>
        <v>1120000080</v>
      </c>
      <c r="C8" s="2929">
        <v>44876</v>
      </c>
      <c r="D8" s="2350" t="s">
        <v>835</v>
      </c>
      <c r="E8" s="1022">
        <f ca="1">IF(F8&lt;B2,"已过期",2000110082)</f>
        <v>2000110082</v>
      </c>
      <c r="F8" s="1030">
        <v>46387</v>
      </c>
    </row>
    <row r="9" spans="1:6" ht="24" customHeight="1">
      <c r="A9" s="1701" t="s">
        <v>836</v>
      </c>
      <c r="B9" s="1022">
        <f ca="1">IF(C9&lt;B2,"已过期",1419970001)</f>
        <v>1419970001</v>
      </c>
      <c r="C9" s="2929">
        <v>44899</v>
      </c>
      <c r="D9" s="2350" t="s">
        <v>836</v>
      </c>
      <c r="E9" s="1022">
        <f ca="1">IF(F9&lt;B2,"已过期",2002110125)</f>
        <v>2002110125</v>
      </c>
      <c r="F9" s="1030">
        <v>47118</v>
      </c>
    </row>
    <row r="10" spans="1:6" ht="24" customHeight="1">
      <c r="A10" s="1701" t="s">
        <v>837</v>
      </c>
      <c r="B10" s="1022">
        <f ca="1">IF(C10&lt;B2,"已过期",1120060040)</f>
        <v>1120060040</v>
      </c>
      <c r="C10" s="2347">
        <v>44554</v>
      </c>
      <c r="D10" s="2350" t="s">
        <v>837</v>
      </c>
      <c r="E10" s="1022">
        <f ca="1">IF(F10&lt;B2,"已过期",2004110096)</f>
        <v>2004110096</v>
      </c>
      <c r="F10" s="1030">
        <v>47118</v>
      </c>
    </row>
    <row r="11" spans="1:6" ht="24" customHeight="1">
      <c r="A11" s="1701" t="s">
        <v>838</v>
      </c>
      <c r="B11" s="1022">
        <f ca="1">IF(C11&lt;B2,"已过期",1120100036)</f>
        <v>1120100036</v>
      </c>
      <c r="C11" s="2347">
        <v>44675</v>
      </c>
      <c r="D11" s="2350" t="s">
        <v>838</v>
      </c>
      <c r="E11" s="1022">
        <f ca="1">IF(F11&lt;B2,"已过期",2010110070)</f>
        <v>2010110070</v>
      </c>
      <c r="F11" s="1030">
        <v>47907</v>
      </c>
    </row>
    <row r="12" spans="1:6" ht="24" customHeight="1">
      <c r="A12" s="1701"/>
      <c r="B12" s="1022"/>
      <c r="C12" s="2929"/>
      <c r="D12" s="1701"/>
      <c r="E12" s="1022"/>
      <c r="F12" s="1030"/>
    </row>
    <row r="13" spans="1:6" ht="24" customHeight="1">
      <c r="A13" s="1701" t="s">
        <v>839</v>
      </c>
      <c r="B13" s="1022">
        <f ca="1">IF(C13&lt;B2,"已过期",1120070131)</f>
        <v>1120070131</v>
      </c>
      <c r="C13" s="2347">
        <v>44849</v>
      </c>
      <c r="D13" s="2350" t="s">
        <v>839</v>
      </c>
      <c r="E13" s="1022">
        <f ca="1">IF(F13&lt;B2,"已过期",2014110011)</f>
        <v>2014110011</v>
      </c>
      <c r="F13" s="1030">
        <v>49302</v>
      </c>
    </row>
    <row r="14" spans="1:6" ht="24" customHeight="1">
      <c r="A14" s="1701" t="s">
        <v>3042</v>
      </c>
      <c r="B14" s="1022">
        <f ca="1">IF(C14&lt;B2,"已过期",1120040230)</f>
        <v>1120040230</v>
      </c>
      <c r="C14" s="2347">
        <v>44864</v>
      </c>
      <c r="D14" s="2350" t="s">
        <v>3042</v>
      </c>
      <c r="E14" s="1022">
        <f ca="1">IF(F14&lt;B2,"已过期",98030020)</f>
        <v>98030020</v>
      </c>
      <c r="F14" s="1030">
        <v>47118</v>
      </c>
    </row>
    <row r="15" spans="1:6" ht="24" customHeight="1">
      <c r="A15" s="1702"/>
      <c r="B15" s="1022"/>
      <c r="C15" s="2347"/>
      <c r="D15" s="2351"/>
      <c r="E15" s="1022"/>
      <c r="F15" s="1023"/>
    </row>
    <row r="16" spans="1:6" ht="24" customHeight="1">
      <c r="A16" s="1701"/>
      <c r="B16" s="1022"/>
      <c r="C16" s="2929"/>
      <c r="D16" s="2350"/>
      <c r="E16" s="1022"/>
      <c r="F16" s="1030"/>
    </row>
    <row r="17" spans="1:7" ht="24" customHeight="1">
      <c r="A17" s="1701"/>
      <c r="B17" s="1022"/>
      <c r="C17" s="2347"/>
      <c r="D17" s="2350"/>
      <c r="E17" s="1022"/>
      <c r="F17" s="1030"/>
    </row>
    <row r="18" spans="1:7" ht="24" customHeight="1">
      <c r="A18" s="1701" t="s">
        <v>3049</v>
      </c>
      <c r="B18" s="1022">
        <v>1120190079</v>
      </c>
      <c r="C18" s="2929">
        <v>44826</v>
      </c>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840</v>
      </c>
      <c r="E21" s="1022">
        <f ca="1">IF(F21&lt;B2,"已过期",2011110090)</f>
        <v>2011110090</v>
      </c>
      <c r="F21" s="1030">
        <v>48302</v>
      </c>
    </row>
    <row r="22" spans="1:7" ht="24" customHeight="1">
      <c r="A22" s="1701" t="s">
        <v>841</v>
      </c>
      <c r="B22" s="1022">
        <f ca="1">IF(C22&lt;B2,"已过期",1120020033)</f>
        <v>1120020033</v>
      </c>
      <c r="C22" s="2929">
        <v>44339</v>
      </c>
      <c r="D22" s="2350" t="s">
        <v>841</v>
      </c>
      <c r="E22" s="1022">
        <f ca="1">IF(F22&lt;B2,"已过期",2000110137)</f>
        <v>2000110137</v>
      </c>
      <c r="F22" s="1030">
        <v>46387</v>
      </c>
    </row>
    <row r="23" spans="1:7" ht="24" customHeight="1">
      <c r="A23" s="1701" t="s">
        <v>3051</v>
      </c>
      <c r="B23" s="1022">
        <v>1119980106</v>
      </c>
      <c r="C23" s="2347">
        <v>44969</v>
      </c>
      <c r="D23" s="2350"/>
      <c r="E23" s="1022"/>
      <c r="F23" s="1022"/>
    </row>
    <row r="24" spans="1:7" s="1024" customFormat="1" ht="24" customHeight="1">
      <c r="A24" s="1702" t="s">
        <v>1328</v>
      </c>
      <c r="B24" s="1702" t="s">
        <v>1328</v>
      </c>
      <c r="C24" s="2348" t="s">
        <v>1328</v>
      </c>
      <c r="D24" s="2351" t="s">
        <v>1328</v>
      </c>
      <c r="E24" s="1702" t="s">
        <v>1328</v>
      </c>
      <c r="F24" s="1702" t="s">
        <v>1328</v>
      </c>
    </row>
    <row r="25" spans="1:7" ht="24" customHeight="1">
      <c r="A25" s="3081" t="s">
        <v>842</v>
      </c>
      <c r="B25" s="3081"/>
      <c r="C25" s="3081"/>
      <c r="D25" s="3081"/>
      <c r="E25" s="3081"/>
      <c r="F25" s="3081"/>
      <c r="G25" s="3081"/>
    </row>
    <row r="26" spans="1:7" s="1025" customFormat="1" ht="24" customHeight="1">
      <c r="A26" s="3082" t="s">
        <v>843</v>
      </c>
      <c r="B26" s="3082"/>
      <c r="C26" s="3083"/>
      <c r="D26" s="3084" t="s">
        <v>844</v>
      </c>
      <c r="E26" s="3082"/>
      <c r="F26" s="3082"/>
    </row>
    <row r="27" spans="1:7" s="1027" customFormat="1" ht="24" customHeight="1">
      <c r="A27" s="1026" t="s">
        <v>845</v>
      </c>
      <c r="B27" s="1021" t="s">
        <v>846</v>
      </c>
      <c r="C27" s="2346" t="s">
        <v>847</v>
      </c>
      <c r="D27" s="2353" t="s">
        <v>845</v>
      </c>
      <c r="E27" s="1021" t="s">
        <v>846</v>
      </c>
      <c r="F27" s="1021" t="s">
        <v>847</v>
      </c>
    </row>
    <row r="28" spans="1:7" s="1027" customFormat="1" ht="24" customHeight="1">
      <c r="A28" s="1028" t="s">
        <v>848</v>
      </c>
      <c r="B28" s="1029" t="s">
        <v>849</v>
      </c>
      <c r="C28" s="1030">
        <v>44820</v>
      </c>
      <c r="D28" s="2354" t="s">
        <v>850</v>
      </c>
      <c r="E28" s="1028" t="s">
        <v>851</v>
      </c>
      <c r="F28" s="1058">
        <v>44377</v>
      </c>
    </row>
    <row r="29" spans="1:7" s="1027" customFormat="1" ht="24" customHeight="1">
      <c r="A29" s="1028"/>
      <c r="B29" s="1028"/>
      <c r="C29" s="2352"/>
      <c r="D29" s="2354" t="s">
        <v>852</v>
      </c>
      <c r="E29" s="1202" t="s">
        <v>3050</v>
      </c>
      <c r="F29" s="1203">
        <v>44012</v>
      </c>
    </row>
    <row r="30" spans="1:7" ht="24" customHeight="1">
      <c r="C30" s="1031"/>
      <c r="D30" s="1031"/>
    </row>
  </sheetData>
  <sheetProtection sheet="1" objects="1" scenarios="1"/>
  <mergeCells count="3">
    <mergeCell ref="A25:G25"/>
    <mergeCell ref="A26:C26"/>
    <mergeCell ref="D26:F26"/>
  </mergeCells>
  <phoneticPr fontId="87" type="noConversion"/>
  <conditionalFormatting sqref="F4">
    <cfRule type="cellIs" dxfId="264" priority="107" stopIfTrue="1" operator="lessThan">
      <formula>$B$2</formula>
    </cfRule>
  </conditionalFormatting>
  <conditionalFormatting sqref="C5">
    <cfRule type="expression" dxfId="263" priority="102">
      <formula>AND($C5-TODAY()&lt;30,TODAY()&lt;$C5)</formula>
    </cfRule>
  </conditionalFormatting>
  <conditionalFormatting sqref="C5 F5">
    <cfRule type="cellIs" dxfId="262" priority="103" stopIfTrue="1" operator="lessThan">
      <formula>$B$2</formula>
    </cfRule>
  </conditionalFormatting>
  <conditionalFormatting sqref="F6 F8 F10">
    <cfRule type="cellIs" dxfId="261" priority="101" stopIfTrue="1" operator="lessThan">
      <formula>$B$2</formula>
    </cfRule>
  </conditionalFormatting>
  <conditionalFormatting sqref="C5:C7 C13 C17 C19:C21 C10:C11">
    <cfRule type="expression" dxfId="260" priority="99">
      <formula>AND($C5-TODAY()&lt;30,TODAY()&lt;$C5)</formula>
    </cfRule>
  </conditionalFormatting>
  <conditionalFormatting sqref="F7 F9 F11 C5:C7 C13 C17 C19:C21 C10:C11">
    <cfRule type="cellIs" dxfId="259" priority="100" stopIfTrue="1" operator="lessThan">
      <formula>$B$2</formula>
    </cfRule>
  </conditionalFormatting>
  <conditionalFormatting sqref="C20">
    <cfRule type="expression" dxfId="258" priority="87">
      <formula>AND($C20-TODAY()&lt;30,TODAY()&lt;$C20)</formula>
    </cfRule>
  </conditionalFormatting>
  <conditionalFormatting sqref="C20">
    <cfRule type="cellIs" dxfId="257" priority="88" stopIfTrue="1" operator="lessThan">
      <formula>$B$2</formula>
    </cfRule>
  </conditionalFormatting>
  <conditionalFormatting sqref="C17">
    <cfRule type="expression" dxfId="256" priority="81">
      <formula>AND($C17-TODAY()&lt;30,TODAY()&lt;$C17)</formula>
    </cfRule>
  </conditionalFormatting>
  <conditionalFormatting sqref="C17">
    <cfRule type="cellIs" dxfId="255" priority="82" stopIfTrue="1" operator="lessThan">
      <formula>$B$2</formula>
    </cfRule>
  </conditionalFormatting>
  <conditionalFormatting sqref="C19">
    <cfRule type="expression" dxfId="254" priority="79">
      <formula>AND($C19-TODAY()&lt;30,TODAY()&lt;$C19)</formula>
    </cfRule>
  </conditionalFormatting>
  <conditionalFormatting sqref="C19">
    <cfRule type="cellIs" dxfId="253" priority="80" stopIfTrue="1" operator="lessThan">
      <formula>$B$2</formula>
    </cfRule>
  </conditionalFormatting>
  <conditionalFormatting sqref="C21">
    <cfRule type="expression" dxfId="252" priority="77">
      <formula>AND($C21-TODAY()&lt;30,TODAY()&lt;$C21)</formula>
    </cfRule>
  </conditionalFormatting>
  <conditionalFormatting sqref="C21">
    <cfRule type="cellIs" dxfId="251" priority="78" stopIfTrue="1" operator="lessThan">
      <formula>$B$2</formula>
    </cfRule>
  </conditionalFormatting>
  <conditionalFormatting sqref="F18">
    <cfRule type="cellIs" dxfId="250" priority="72" stopIfTrue="1" operator="lessThan">
      <formula>$B$2</formula>
    </cfRule>
  </conditionalFormatting>
  <conditionalFormatting sqref="F22">
    <cfRule type="cellIs" dxfId="249" priority="71" stopIfTrue="1" operator="lessThan">
      <formula>$B$2</formula>
    </cfRule>
  </conditionalFormatting>
  <conditionalFormatting sqref="F21">
    <cfRule type="cellIs" dxfId="248" priority="70" stopIfTrue="1" operator="lessThan">
      <formula>$B$2</formula>
    </cfRule>
  </conditionalFormatting>
  <conditionalFormatting sqref="B4:B11 E4:E11 B17 E18:E23 B13 E13 B19:B23">
    <cfRule type="cellIs" dxfId="247" priority="68" stopIfTrue="1" operator="equal">
      <formula>"已过期"</formula>
    </cfRule>
  </conditionalFormatting>
  <conditionalFormatting sqref="A24:F24">
    <cfRule type="cellIs" dxfId="246" priority="64" stopIfTrue="1" operator="equal">
      <formula>"已过期"</formula>
    </cfRule>
  </conditionalFormatting>
  <conditionalFormatting sqref="F28">
    <cfRule type="expression" dxfId="245" priority="62">
      <formula>AND($E28-TODAY()&lt;30,TODAY()&lt;$E28)</formula>
    </cfRule>
  </conditionalFormatting>
  <conditionalFormatting sqref="F28">
    <cfRule type="cellIs" dxfId="244" priority="63" stopIfTrue="1" operator="lessThan">
      <formula>$B$2</formula>
    </cfRule>
  </conditionalFormatting>
  <conditionalFormatting sqref="F29">
    <cfRule type="expression" dxfId="243" priority="58" stopIfTrue="1">
      <formula>AND($E29-TODAY()&lt;30,TODAY()&lt;$E29)</formula>
    </cfRule>
  </conditionalFormatting>
  <conditionalFormatting sqref="F29">
    <cfRule type="cellIs" dxfId="242" priority="59" stopIfTrue="1" operator="lessThan">
      <formula>$B$2</formula>
    </cfRule>
  </conditionalFormatting>
  <conditionalFormatting sqref="F13">
    <cfRule type="cellIs" dxfId="241" priority="51" stopIfTrue="1" operator="lessThan">
      <formula>$B$2</formula>
    </cfRule>
  </conditionalFormatting>
  <conditionalFormatting sqref="C12">
    <cfRule type="expression" dxfId="240" priority="49">
      <formula>AND($C12-TODAY()&lt;30,TODAY()&lt;$C12)</formula>
    </cfRule>
  </conditionalFormatting>
  <conditionalFormatting sqref="C12">
    <cfRule type="cellIs" dxfId="239" priority="50" stopIfTrue="1" operator="lessThan">
      <formula>$B$2</formula>
    </cfRule>
  </conditionalFormatting>
  <conditionalFormatting sqref="C12">
    <cfRule type="expression" dxfId="238" priority="47">
      <formula>AND($C12-TODAY()&lt;30,TODAY()&lt;$C12)</formula>
    </cfRule>
  </conditionalFormatting>
  <conditionalFormatting sqref="C12">
    <cfRule type="cellIs" dxfId="237" priority="48" stopIfTrue="1" operator="lessThan">
      <formula>$B$2</formula>
    </cfRule>
  </conditionalFormatting>
  <conditionalFormatting sqref="B12">
    <cfRule type="cellIs" dxfId="236" priority="46" stopIfTrue="1" operator="equal">
      <formula>"已过期"</formula>
    </cfRule>
  </conditionalFormatting>
  <conditionalFormatting sqref="E12">
    <cfRule type="cellIs" dxfId="235" priority="45" stopIfTrue="1" operator="equal">
      <formula>"已过期"</formula>
    </cfRule>
  </conditionalFormatting>
  <conditionalFormatting sqref="F12">
    <cfRule type="cellIs" dxfId="234" priority="44" stopIfTrue="1" operator="lessThan">
      <formula>$B$2</formula>
    </cfRule>
  </conditionalFormatting>
  <conditionalFormatting sqref="C22">
    <cfRule type="expression" dxfId="233" priority="42">
      <formula>AND($C22-TODAY()&lt;30,TODAY()&lt;$C22)</formula>
    </cfRule>
  </conditionalFormatting>
  <conditionalFormatting sqref="C22">
    <cfRule type="cellIs" dxfId="232" priority="43" stopIfTrue="1" operator="lessThan">
      <formula>$B$2</formula>
    </cfRule>
  </conditionalFormatting>
  <conditionalFormatting sqref="C22">
    <cfRule type="expression" dxfId="231" priority="40">
      <formula>AND($C22-TODAY()&lt;30,TODAY()&lt;$C22)</formula>
    </cfRule>
  </conditionalFormatting>
  <conditionalFormatting sqref="C22">
    <cfRule type="cellIs" dxfId="230" priority="41" stopIfTrue="1" operator="lessThan">
      <formula>$B$2</formula>
    </cfRule>
  </conditionalFormatting>
  <conditionalFormatting sqref="C16">
    <cfRule type="expression" dxfId="229" priority="38">
      <formula>AND($C16-TODAY()&lt;30,TODAY()&lt;$C16)</formula>
    </cfRule>
  </conditionalFormatting>
  <conditionalFormatting sqref="C16">
    <cfRule type="cellIs" dxfId="228" priority="39" stopIfTrue="1" operator="lessThan">
      <formula>$B$2</formula>
    </cfRule>
  </conditionalFormatting>
  <conditionalFormatting sqref="C16">
    <cfRule type="expression" dxfId="227" priority="36">
      <formula>AND($C16-TODAY()&lt;30,TODAY()&lt;$C16)</formula>
    </cfRule>
  </conditionalFormatting>
  <conditionalFormatting sqref="C16">
    <cfRule type="cellIs" dxfId="226" priority="37" stopIfTrue="1" operator="lessThan">
      <formula>$B$2</formula>
    </cfRule>
  </conditionalFormatting>
  <conditionalFormatting sqref="B16">
    <cfRule type="cellIs" dxfId="225" priority="35" stopIfTrue="1" operator="equal">
      <formula>"已过期"</formula>
    </cfRule>
  </conditionalFormatting>
  <conditionalFormatting sqref="C14:C15">
    <cfRule type="expression" dxfId="224" priority="33">
      <formula>AND($C14-TODAY()&lt;30,TODAY()&lt;$C14)</formula>
    </cfRule>
  </conditionalFormatting>
  <conditionalFormatting sqref="C14:C15">
    <cfRule type="cellIs" dxfId="223" priority="34" stopIfTrue="1" operator="lessThan">
      <formula>$B$2</formula>
    </cfRule>
  </conditionalFormatting>
  <conditionalFormatting sqref="C14">
    <cfRule type="expression" dxfId="222" priority="31">
      <formula>AND($C14-TODAY()&lt;30,TODAY()&lt;$C14)</formula>
    </cfRule>
  </conditionalFormatting>
  <conditionalFormatting sqref="C14">
    <cfRule type="cellIs" dxfId="221" priority="32" stopIfTrue="1" operator="lessThan">
      <formula>$B$2</formula>
    </cfRule>
  </conditionalFormatting>
  <conditionalFormatting sqref="C15">
    <cfRule type="expression" dxfId="220" priority="29">
      <formula>AND($C15-TODAY()&lt;30,TODAY()&lt;$C15)</formula>
    </cfRule>
  </conditionalFormatting>
  <conditionalFormatting sqref="C15">
    <cfRule type="cellIs" dxfId="219" priority="30" stopIfTrue="1" operator="lessThan">
      <formula>$B$2</formula>
    </cfRule>
  </conditionalFormatting>
  <conditionalFormatting sqref="B14">
    <cfRule type="cellIs" dxfId="218" priority="28" stopIfTrue="1" operator="equal">
      <formula>"已过期"</formula>
    </cfRule>
  </conditionalFormatting>
  <conditionalFormatting sqref="B15">
    <cfRule type="cellIs" dxfId="217" priority="27" stopIfTrue="1" operator="equal">
      <formula>"已过期"</formula>
    </cfRule>
  </conditionalFormatting>
  <conditionalFormatting sqref="A15">
    <cfRule type="cellIs" dxfId="216" priority="26" stopIfTrue="1" operator="equal">
      <formula>"已过期"</formula>
    </cfRule>
  </conditionalFormatting>
  <conditionalFormatting sqref="C15">
    <cfRule type="expression" dxfId="215" priority="25">
      <formula>AND($C15-TODAY()&lt;30,TODAY()&lt;$C15)</formula>
    </cfRule>
  </conditionalFormatting>
  <conditionalFormatting sqref="F16">
    <cfRule type="cellIs" dxfId="214" priority="24" stopIfTrue="1" operator="lessThan">
      <formula>$B$2</formula>
    </cfRule>
  </conditionalFormatting>
  <conditionalFormatting sqref="E16 E14">
    <cfRule type="cellIs" dxfId="213" priority="23" stopIfTrue="1" operator="equal">
      <formula>"已过期"</formula>
    </cfRule>
  </conditionalFormatting>
  <conditionalFormatting sqref="E15">
    <cfRule type="cellIs" dxfId="212" priority="22" stopIfTrue="1" operator="equal">
      <formula>"已过期"</formula>
    </cfRule>
  </conditionalFormatting>
  <conditionalFormatting sqref="D15">
    <cfRule type="cellIs" dxfId="211" priority="21" stopIfTrue="1" operator="equal">
      <formula>"已过期"</formula>
    </cfRule>
  </conditionalFormatting>
  <conditionalFormatting sqref="F17">
    <cfRule type="cellIs" dxfId="210" priority="20" stopIfTrue="1" operator="lessThan">
      <formula>$B$2</formula>
    </cfRule>
  </conditionalFormatting>
  <conditionalFormatting sqref="E17">
    <cfRule type="cellIs" dxfId="209" priority="19" stopIfTrue="1" operator="equal">
      <formula>"已过期"</formula>
    </cfRule>
  </conditionalFormatting>
  <conditionalFormatting sqref="F14">
    <cfRule type="cellIs" dxfId="208" priority="18" stopIfTrue="1" operator="lessThan">
      <formula>$B$2</formula>
    </cfRule>
  </conditionalFormatting>
  <conditionalFormatting sqref="C18">
    <cfRule type="expression" dxfId="207" priority="16">
      <formula>AND($C18-TODAY()&lt;30,TODAY()&lt;$C18)</formula>
    </cfRule>
  </conditionalFormatting>
  <conditionalFormatting sqref="C18">
    <cfRule type="cellIs" dxfId="206" priority="17" stopIfTrue="1" operator="lessThan">
      <formula>$B$2</formula>
    </cfRule>
  </conditionalFormatting>
  <conditionalFormatting sqref="C18">
    <cfRule type="expression" dxfId="205" priority="14">
      <formula>AND($C18-TODAY()&lt;30,TODAY()&lt;$C18)</formula>
    </cfRule>
  </conditionalFormatting>
  <conditionalFormatting sqref="C18">
    <cfRule type="cellIs" dxfId="204" priority="15" stopIfTrue="1" operator="lessThan">
      <formula>$B$2</formula>
    </cfRule>
  </conditionalFormatting>
  <conditionalFormatting sqref="B18">
    <cfRule type="cellIs" dxfId="203" priority="13" stopIfTrue="1" operator="equal">
      <formula>"已过期"</formula>
    </cfRule>
  </conditionalFormatting>
  <conditionalFormatting sqref="C28">
    <cfRule type="expression" dxfId="202" priority="11">
      <formula>AND($C28-TODAY()&lt;30,TODAY()&lt;$C28)</formula>
    </cfRule>
  </conditionalFormatting>
  <conditionalFormatting sqref="C28">
    <cfRule type="cellIs" dxfId="201" priority="12" stopIfTrue="1" operator="lessThan">
      <formula>$B$2</formula>
    </cfRule>
  </conditionalFormatting>
  <conditionalFormatting sqref="C4">
    <cfRule type="expression" dxfId="200" priority="9">
      <formula>AND($C4-TODAY()&lt;30,TODAY()&lt;$C4)</formula>
    </cfRule>
  </conditionalFormatting>
  <conditionalFormatting sqref="C4">
    <cfRule type="cellIs" dxfId="199" priority="10" stopIfTrue="1" operator="lessThan">
      <formula>$B$2</formula>
    </cfRule>
  </conditionalFormatting>
  <conditionalFormatting sqref="C8">
    <cfRule type="expression" dxfId="198" priority="7">
      <formula>AND($C8-TODAY()&lt;30,TODAY()&lt;$C8)</formula>
    </cfRule>
  </conditionalFormatting>
  <conditionalFormatting sqref="C8">
    <cfRule type="cellIs" dxfId="197" priority="8" stopIfTrue="1" operator="lessThan">
      <formula>$B$2</formula>
    </cfRule>
  </conditionalFormatting>
  <conditionalFormatting sqref="C9">
    <cfRule type="expression" dxfId="196" priority="5">
      <formula>AND($C9-TODAY()&lt;30,TODAY()&lt;$C9)</formula>
    </cfRule>
  </conditionalFormatting>
  <conditionalFormatting sqref="C9">
    <cfRule type="cellIs" dxfId="195" priority="6" stopIfTrue="1" operator="lessThan">
      <formula>$B$2</formula>
    </cfRule>
  </conditionalFormatting>
  <conditionalFormatting sqref="C23">
    <cfRule type="expression" dxfId="194" priority="3">
      <formula>AND($C23-TODAY()&lt;30,TODAY()&lt;$C23)</formula>
    </cfRule>
  </conditionalFormatting>
  <conditionalFormatting sqref="C23">
    <cfRule type="cellIs" dxfId="193" priority="4" stopIfTrue="1" operator="lessThan">
      <formula>$B$2</formula>
    </cfRule>
  </conditionalFormatting>
  <conditionalFormatting sqref="C23">
    <cfRule type="expression" dxfId="192" priority="1">
      <formula>AND($C23-TODAY()&lt;30,TODAY()&lt;$C23)</formula>
    </cfRule>
  </conditionalFormatting>
  <conditionalFormatting sqref="C23">
    <cfRule type="cellIs" dxfId="191"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135</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收益法-地下商业</vt:lpstr>
      <vt:lpstr>租赁情况汇总</vt:lpstr>
      <vt:lpstr>租赁商户明细</vt:lpstr>
      <vt:lpstr>Sheet3 (2)</vt:lpstr>
      <vt:lpstr>地价</vt:lpstr>
      <vt:lpstr>Sheet1</vt:lpstr>
      <vt:lpstr>典型户型修正</vt:lpstr>
      <vt:lpstr>成本法（废）</vt:lpstr>
      <vt:lpstr>区片价</vt:lpstr>
      <vt:lpstr>因素修正幅度</vt:lpstr>
      <vt:lpstr>存贷款利率</vt:lpstr>
      <vt:lpstr>区片价（范围）</vt:lpstr>
      <vt:lpstr>土地案例明细</vt:lpstr>
      <vt:lpstr>土地案例截图位置</vt:lpstr>
      <vt:lpstr>估价师及机构信息!Print_Area</vt:lpstr>
      <vt:lpstr>收益法!Print_Area</vt:lpstr>
      <vt:lpstr>'收益法 (元)'!Print_Area</vt:lpstr>
      <vt:lpstr>'收益法-地下商业'!Print_Area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2017-03-01T09:15:43Z</cp:lastPrinted>
  <dcterms:created xsi:type="dcterms:W3CDTF">2015-07-13T07:17:23Z</dcterms:created>
  <dcterms:modified xsi:type="dcterms:W3CDTF">2020-04-03T02:07:11Z</dcterms:modified>
</cp:coreProperties>
</file>