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255" windowWidth="9825" windowHeight="7410" tabRatio="875" firstSheet="13"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r:id="rId39"/>
    <sheet name="典型户型修正" sheetId="31" state="hidden" r:id="rId40"/>
    <sheet name="存贷款利率" sheetId="65" state="hidden" r:id="rId41"/>
    <sheet name="Sheet2" sheetId="69" r:id="rId42"/>
    <sheet name="Sheet1" sheetId="70" r:id="rId43"/>
  </sheets>
  <externalReferences>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16" i="1" l="1"/>
  <c r="I7" i="6"/>
  <c r="S2" i="6"/>
  <c r="R2" i="6"/>
  <c r="Q2" i="6"/>
  <c r="P2" i="6"/>
  <c r="O2" i="6"/>
  <c r="N2" i="6"/>
  <c r="M2" i="6"/>
  <c r="F56" i="68" l="1"/>
  <c r="E56" i="68"/>
  <c r="F53" i="68"/>
  <c r="F52" i="68"/>
  <c r="E53" i="68"/>
  <c r="E52" i="68"/>
  <c r="N33" i="6"/>
  <c r="O31" i="6"/>
  <c r="C7" i="39" l="1"/>
  <c r="L14" i="1" l="1"/>
  <c r="L8" i="1"/>
  <c r="K20" i="36"/>
  <c r="K18" i="36"/>
  <c r="K16" i="36"/>
  <c r="K14" i="36"/>
  <c r="K20" i="35"/>
  <c r="K18" i="35"/>
  <c r="K16" i="35"/>
  <c r="K14" i="35"/>
  <c r="C40" i="39"/>
  <c r="AL31" i="3" l="1"/>
  <c r="C11" i="4" l="1"/>
  <c r="C38" i="9"/>
  <c r="C37" i="9"/>
  <c r="C15" i="66"/>
  <c r="B15" i="66"/>
  <c r="E50" i="68" l="1"/>
  <c r="F50" i="68"/>
  <c r="G50" i="68"/>
  <c r="H50" i="68"/>
  <c r="J50" i="68"/>
  <c r="K50" i="68"/>
  <c r="L50" i="68"/>
  <c r="M50" i="68"/>
  <c r="N50" i="68"/>
  <c r="O50" i="68"/>
  <c r="I29" i="68"/>
  <c r="I30" i="68"/>
  <c r="I31" i="68"/>
  <c r="C31" i="68" s="1"/>
  <c r="I32" i="68"/>
  <c r="C32" i="68" s="1"/>
  <c r="I33" i="68"/>
  <c r="I34" i="68"/>
  <c r="I35" i="68"/>
  <c r="C35" i="68" s="1"/>
  <c r="I36" i="68"/>
  <c r="C36" i="68" s="1"/>
  <c r="I37" i="68"/>
  <c r="I38" i="68"/>
  <c r="I39" i="68"/>
  <c r="C39" i="68" s="1"/>
  <c r="I40" i="68"/>
  <c r="C40" i="68" s="1"/>
  <c r="I41" i="68"/>
  <c r="I42" i="68"/>
  <c r="I43" i="68"/>
  <c r="C43" i="68" s="1"/>
  <c r="I44" i="68"/>
  <c r="I45" i="68"/>
  <c r="I46" i="68"/>
  <c r="I47" i="68"/>
  <c r="I48" i="68"/>
  <c r="C48" i="68" s="1"/>
  <c r="I28" i="68"/>
  <c r="I50" i="68" s="1"/>
  <c r="D29" i="68"/>
  <c r="C29" i="68" s="1"/>
  <c r="D30" i="68"/>
  <c r="C30" i="68" s="1"/>
  <c r="D31" i="68"/>
  <c r="D32" i="68"/>
  <c r="D33" i="68"/>
  <c r="C33" i="68" s="1"/>
  <c r="D34" i="68"/>
  <c r="C34" i="68" s="1"/>
  <c r="D35" i="68"/>
  <c r="D36" i="68"/>
  <c r="D37" i="68"/>
  <c r="C37" i="68" s="1"/>
  <c r="D38" i="68"/>
  <c r="C38" i="68" s="1"/>
  <c r="D39" i="68"/>
  <c r="D40" i="68"/>
  <c r="D41" i="68"/>
  <c r="C41" i="68" s="1"/>
  <c r="D42" i="68"/>
  <c r="C42" i="68" s="1"/>
  <c r="D43" i="68"/>
  <c r="D44" i="68"/>
  <c r="D45" i="68"/>
  <c r="C45" i="68" s="1"/>
  <c r="D46" i="68"/>
  <c r="C46" i="68" s="1"/>
  <c r="D47" i="68"/>
  <c r="C47" i="68" s="1"/>
  <c r="D48" i="68"/>
  <c r="D49" i="68"/>
  <c r="D28" i="68"/>
  <c r="C28" i="68" s="1"/>
  <c r="E23" i="68"/>
  <c r="F23" i="68"/>
  <c r="H23" i="68"/>
  <c r="J23" i="68"/>
  <c r="L23" i="68"/>
  <c r="M23" i="68"/>
  <c r="AN14" i="3"/>
  <c r="AN15" i="3"/>
  <c r="AN17" i="3"/>
  <c r="AN18" i="3"/>
  <c r="AN19" i="3"/>
  <c r="AN20" i="3"/>
  <c r="AN21" i="3"/>
  <c r="AN22" i="3"/>
  <c r="AN24" i="3"/>
  <c r="AN25" i="3"/>
  <c r="AN26" i="3"/>
  <c r="AN27" i="3"/>
  <c r="AN13" i="3"/>
  <c r="AN33" i="3"/>
  <c r="AN34" i="3"/>
  <c r="AF34" i="3"/>
  <c r="AL33" i="3"/>
  <c r="AL13" i="3"/>
  <c r="AD30" i="3"/>
  <c r="AD31" i="3"/>
  <c r="AD32" i="3"/>
  <c r="M14" i="3"/>
  <c r="M15" i="3"/>
  <c r="M16" i="3"/>
  <c r="M17" i="3"/>
  <c r="M18" i="3"/>
  <c r="M19" i="3"/>
  <c r="M20" i="3"/>
  <c r="M21" i="3"/>
  <c r="M22" i="3"/>
  <c r="M23" i="3"/>
  <c r="M24" i="3"/>
  <c r="M25" i="3"/>
  <c r="M26" i="3"/>
  <c r="M27" i="3"/>
  <c r="M28" i="3"/>
  <c r="M13" i="3"/>
  <c r="I14" i="3"/>
  <c r="I15" i="3"/>
  <c r="I16" i="3"/>
  <c r="I17" i="3"/>
  <c r="I18" i="3"/>
  <c r="I19" i="3"/>
  <c r="I20" i="3"/>
  <c r="I21" i="3"/>
  <c r="I22" i="3"/>
  <c r="I23" i="3"/>
  <c r="I24" i="3"/>
  <c r="I25" i="3"/>
  <c r="I26" i="3"/>
  <c r="I27" i="3"/>
  <c r="I28" i="3"/>
  <c r="I13" i="3"/>
  <c r="C14" i="3"/>
  <c r="C15" i="3"/>
  <c r="C16" i="3"/>
  <c r="C17" i="3"/>
  <c r="C18" i="3"/>
  <c r="C19" i="3"/>
  <c r="C20" i="3"/>
  <c r="C21" i="3"/>
  <c r="C22" i="3"/>
  <c r="C23" i="3"/>
  <c r="C24" i="3"/>
  <c r="C25" i="3"/>
  <c r="C26" i="3"/>
  <c r="C27" i="3"/>
  <c r="C28" i="3"/>
  <c r="C29" i="3"/>
  <c r="C30" i="3"/>
  <c r="C31" i="3"/>
  <c r="C32" i="3"/>
  <c r="C33" i="3"/>
  <c r="C34" i="3"/>
  <c r="C13" i="3"/>
  <c r="K49" i="68"/>
  <c r="I49" i="68" s="1"/>
  <c r="C49" i="68" s="1"/>
  <c r="O49" i="68"/>
  <c r="C44" i="68" l="1"/>
  <c r="C50" i="68" s="1"/>
  <c r="O34" i="3"/>
  <c r="D50" i="68"/>
  <c r="I5" i="36"/>
  <c r="G5" i="36"/>
  <c r="E5" i="36"/>
  <c r="G29" i="35" l="1"/>
  <c r="I29" i="35"/>
  <c r="E29" i="35"/>
  <c r="D103" i="21" l="1"/>
  <c r="E103" i="21" s="1"/>
  <c r="F103" i="21" s="1"/>
  <c r="G103" i="21" s="1"/>
  <c r="D119" i="39" l="1"/>
  <c r="E119" i="39" s="1"/>
  <c r="F119" i="39" s="1"/>
  <c r="G119" i="39" s="1"/>
  <c r="I40" i="39"/>
  <c r="G40" i="39"/>
  <c r="E40" i="39"/>
  <c r="D73" i="39"/>
  <c r="E73" i="39" s="1"/>
  <c r="F73" i="39" s="1"/>
  <c r="G73" i="39" s="1"/>
  <c r="H73" i="39" s="1"/>
  <c r="I48" i="39"/>
  <c r="G48" i="39"/>
  <c r="E48" i="39"/>
  <c r="I13" i="39"/>
  <c r="I9" i="39"/>
  <c r="G9" i="39"/>
  <c r="E9" i="39"/>
  <c r="I7" i="39"/>
  <c r="G7" i="39"/>
  <c r="E7" i="39"/>
  <c r="I5" i="68"/>
  <c r="I6" i="68"/>
  <c r="I7" i="68"/>
  <c r="I8" i="68"/>
  <c r="I9" i="68"/>
  <c r="I10" i="68"/>
  <c r="I11" i="68"/>
  <c r="I12" i="68"/>
  <c r="I13" i="68"/>
  <c r="I14" i="68"/>
  <c r="I15" i="68"/>
  <c r="I16" i="68"/>
  <c r="I17" i="68"/>
  <c r="I18" i="68"/>
  <c r="I20" i="68"/>
  <c r="I21" i="68"/>
  <c r="I4" i="68"/>
  <c r="D5" i="68"/>
  <c r="D6" i="68"/>
  <c r="C6" i="68" s="1"/>
  <c r="D7" i="68"/>
  <c r="C7" i="68" s="1"/>
  <c r="D8" i="68"/>
  <c r="D9" i="68"/>
  <c r="D10" i="68"/>
  <c r="C10" i="68" s="1"/>
  <c r="D11" i="68"/>
  <c r="C11" i="68" s="1"/>
  <c r="D12" i="68"/>
  <c r="D13" i="68"/>
  <c r="D14" i="68"/>
  <c r="C14" i="68" s="1"/>
  <c r="D15" i="68"/>
  <c r="C15" i="68" s="1"/>
  <c r="D16" i="68"/>
  <c r="D17" i="68"/>
  <c r="D18" i="68"/>
  <c r="C18" i="68" s="1"/>
  <c r="D21" i="68"/>
  <c r="D22" i="68"/>
  <c r="D4" i="68"/>
  <c r="K22" i="68"/>
  <c r="K23" i="68" s="1"/>
  <c r="O22" i="68"/>
  <c r="O23" i="68" s="1"/>
  <c r="G20" i="68"/>
  <c r="D20" i="68" s="1"/>
  <c r="C20" i="68" s="1"/>
  <c r="N19" i="68"/>
  <c r="G19" i="68"/>
  <c r="G23" i="68" s="1"/>
  <c r="D3" i="4"/>
  <c r="D19" i="68" l="1"/>
  <c r="I22" i="68"/>
  <c r="C22" i="68" s="1"/>
  <c r="I19" i="68"/>
  <c r="I23" i="68" s="1"/>
  <c r="N23" i="68"/>
  <c r="C17" i="68"/>
  <c r="C13" i="68"/>
  <c r="C9" i="68"/>
  <c r="C5" i="68"/>
  <c r="C4" i="68"/>
  <c r="D23" i="68"/>
  <c r="C21" i="68"/>
  <c r="C16" i="68"/>
  <c r="C12" i="68"/>
  <c r="C8" i="68"/>
  <c r="C19" i="68" l="1"/>
  <c r="C23" i="68" s="1"/>
  <c r="C33" i="21" s="1"/>
  <c r="AH5" i="59"/>
  <c r="AG5" i="59"/>
  <c r="AE5" i="59"/>
  <c r="AF5" i="59" s="1"/>
  <c r="AD5" i="59"/>
  <c r="Q5" i="59"/>
  <c r="P5" i="59"/>
  <c r="O5" i="59"/>
  <c r="N5" i="59"/>
  <c r="Q7" i="59" l="1"/>
  <c r="P7" i="59"/>
  <c r="O7" i="59"/>
  <c r="N7" i="59"/>
  <c r="AH6" i="59"/>
  <c r="AG6" i="59"/>
  <c r="AE6" i="59"/>
  <c r="AF6" i="59" s="1"/>
  <c r="AD6" i="59"/>
  <c r="Q6" i="59"/>
  <c r="P6" i="59"/>
  <c r="O6" i="59"/>
  <c r="N6" i="59"/>
  <c r="AH7" i="59"/>
  <c r="AG7" i="59"/>
  <c r="AE7" i="59"/>
  <c r="AF7" i="59"/>
  <c r="AD7" i="59"/>
  <c r="Q8" i="59"/>
  <c r="Q9" i="59"/>
  <c r="P8" i="59"/>
  <c r="P9" i="59"/>
  <c r="O8" i="59"/>
  <c r="O9" i="59"/>
  <c r="N8" i="59"/>
  <c r="N9" i="59"/>
  <c r="AH8" i="59"/>
  <c r="AG8" i="59"/>
  <c r="AE8" i="59"/>
  <c r="AF8" i="59"/>
  <c r="AD8" i="59"/>
  <c r="F25" i="12"/>
  <c r="AH9" i="59"/>
  <c r="AG9" i="59"/>
  <c r="AE9" i="59"/>
  <c r="AF9" i="59" s="1"/>
  <c r="AD9" i="59"/>
  <c r="M15" i="49"/>
  <c r="L15" i="49"/>
  <c r="K15" i="49"/>
  <c r="J15" i="49"/>
  <c r="I15" i="49"/>
  <c r="H15" i="49"/>
  <c r="G15" i="49"/>
  <c r="F15" i="49"/>
  <c r="E15" i="49"/>
  <c r="D15" i="49"/>
  <c r="C15" i="49"/>
  <c r="B15" i="49"/>
  <c r="AH10" i="59"/>
  <c r="AG10" i="59"/>
  <c r="AE10" i="59"/>
  <c r="AF10" i="59" s="1"/>
  <c r="AD10" i="59"/>
  <c r="Q10" i="59"/>
  <c r="P10" i="59"/>
  <c r="O10" i="59"/>
  <c r="N10" i="59"/>
  <c r="L3" i="59"/>
  <c r="AH3" i="59" s="1"/>
  <c r="K3" i="59"/>
  <c r="AG3" i="59" s="1"/>
  <c r="J3" i="59"/>
  <c r="AE3" i="59" s="1"/>
  <c r="AF3" i="59" s="1"/>
  <c r="I3" i="59"/>
  <c r="AD3" i="59" s="1"/>
  <c r="AH11" i="59"/>
  <c r="AG11" i="59"/>
  <c r="AE11" i="59"/>
  <c r="AF11" i="59"/>
  <c r="AD11" i="59"/>
  <c r="Q11" i="59"/>
  <c r="Q12" i="59"/>
  <c r="P11" i="59"/>
  <c r="P12" i="59"/>
  <c r="O11" i="59"/>
  <c r="O12" i="59"/>
  <c r="N11" i="59"/>
  <c r="N12" i="59"/>
  <c r="AH12" i="59"/>
  <c r="AG12" i="59"/>
  <c r="AE12" i="59"/>
  <c r="AF12" i="59" s="1"/>
  <c r="AD12" i="59"/>
  <c r="Q13" i="59"/>
  <c r="P13" i="59"/>
  <c r="O13" i="59"/>
  <c r="N13" i="59"/>
  <c r="X13" i="59" s="1"/>
  <c r="M19" i="46"/>
  <c r="J50" i="15"/>
  <c r="J51" i="15" s="1"/>
  <c r="D15" i="59"/>
  <c r="AH13" i="59"/>
  <c r="AG13" i="59"/>
  <c r="AE13" i="59"/>
  <c r="AF13" i="59" s="1"/>
  <c r="AD13" i="59"/>
  <c r="AE14" i="59"/>
  <c r="AF14" i="59" s="1"/>
  <c r="AG14" i="59"/>
  <c r="AH14" i="59"/>
  <c r="AD14" i="59"/>
  <c r="Q14" i="59"/>
  <c r="P14" i="59"/>
  <c r="E14" i="59" s="1"/>
  <c r="U14" i="59" s="1"/>
  <c r="O14" i="59"/>
  <c r="N14" i="59"/>
  <c r="B14" i="59" s="1"/>
  <c r="N15" i="59"/>
  <c r="Q15" i="59"/>
  <c r="P15" i="59"/>
  <c r="AA15" i="59" s="1"/>
  <c r="O15" i="59"/>
  <c r="K59" i="15"/>
  <c r="P62" i="15"/>
  <c r="P75" i="15"/>
  <c r="Q74" i="44"/>
  <c r="Q61" i="44"/>
  <c r="Q60" i="44"/>
  <c r="Q53" i="44"/>
  <c r="J51" i="44"/>
  <c r="J52" i="44" s="1"/>
  <c r="M48" i="44"/>
  <c r="A16" i="55"/>
  <c r="B67" i="63" s="1"/>
  <c r="A15" i="55"/>
  <c r="B66" i="63" s="1"/>
  <c r="A10" i="55"/>
  <c r="B61" i="63" s="1"/>
  <c r="A9" i="55"/>
  <c r="B60" i="63" s="1"/>
  <c r="A8" i="55"/>
  <c r="B59" i="63" s="1"/>
  <c r="A6" i="54"/>
  <c r="A8" i="54"/>
  <c r="A7" i="54"/>
  <c r="B51" i="63" s="1"/>
  <c r="A28" i="51"/>
  <c r="A27" i="51"/>
  <c r="B20" i="63" s="1"/>
  <c r="Q16" i="59"/>
  <c r="O16" i="59"/>
  <c r="Y14" i="59"/>
  <c r="Z14" i="59" s="1"/>
  <c r="N17" i="59"/>
  <c r="O17" i="59"/>
  <c r="P17" i="59"/>
  <c r="Q17" i="59"/>
  <c r="N16" i="59"/>
  <c r="P16" i="59"/>
  <c r="D18" i="59"/>
  <c r="E18" i="59"/>
  <c r="K75" i="9"/>
  <c r="K6" i="4"/>
  <c r="O76" i="9" s="1"/>
  <c r="L76" i="9"/>
  <c r="B22" i="31"/>
  <c r="E16" i="66"/>
  <c r="F16" i="66"/>
  <c r="E17" i="66"/>
  <c r="F17" i="66"/>
  <c r="E18" i="66"/>
  <c r="F18" i="66"/>
  <c r="E19" i="66"/>
  <c r="F19" i="66"/>
  <c r="E20" i="66"/>
  <c r="F20" i="66"/>
  <c r="E21" i="66"/>
  <c r="F21" i="66"/>
  <c r="E22" i="66"/>
  <c r="F22" i="66"/>
  <c r="E23" i="66"/>
  <c r="F23" i="66"/>
  <c r="B3" i="66"/>
  <c r="U18" i="59"/>
  <c r="E17" i="59"/>
  <c r="E16" i="59" s="1"/>
  <c r="E13" i="59"/>
  <c r="F17" i="59"/>
  <c r="F16" i="59" s="1"/>
  <c r="F14" i="59"/>
  <c r="V14" i="59"/>
  <c r="AD15" i="59"/>
  <c r="AE15" i="59"/>
  <c r="AF15" i="59" s="1"/>
  <c r="AG15" i="59"/>
  <c r="AH15" i="59"/>
  <c r="AD16" i="59"/>
  <c r="AE16" i="59"/>
  <c r="AF16" i="59"/>
  <c r="AG16" i="59"/>
  <c r="AH16" i="59"/>
  <c r="AD17" i="59"/>
  <c r="AE17" i="59"/>
  <c r="AF17" i="59"/>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c r="AG25" i="59"/>
  <c r="AH25" i="59"/>
  <c r="AD26" i="59"/>
  <c r="AE26" i="59"/>
  <c r="AF26" i="59" s="1"/>
  <c r="AG26" i="59"/>
  <c r="AH26" i="59"/>
  <c r="AD27" i="59"/>
  <c r="AE27" i="59"/>
  <c r="AF27" i="59" s="1"/>
  <c r="AG27" i="59"/>
  <c r="AH27" i="59"/>
  <c r="AD28" i="59"/>
  <c r="AE28" i="59"/>
  <c r="AF28" i="59"/>
  <c r="AG28" i="59"/>
  <c r="AH28" i="59"/>
  <c r="AH29" i="59"/>
  <c r="AG29" i="59"/>
  <c r="AE29" i="59"/>
  <c r="AF29" i="59" s="1"/>
  <c r="AD29" i="59"/>
  <c r="AD30" i="59"/>
  <c r="AE30" i="59"/>
  <c r="AF30" i="59" s="1"/>
  <c r="AG30" i="59"/>
  <c r="AH30" i="59"/>
  <c r="AA20" i="59"/>
  <c r="Y22" i="59"/>
  <c r="Z22" i="59" s="1"/>
  <c r="Z24" i="59"/>
  <c r="Y25" i="59"/>
  <c r="Z25" i="59"/>
  <c r="X27" i="59"/>
  <c r="Y28" i="59"/>
  <c r="X28" i="59"/>
  <c r="S2" i="31"/>
  <c r="M2" i="31"/>
  <c r="N2" i="31"/>
  <c r="O2" i="31"/>
  <c r="P2" i="31"/>
  <c r="Q2" i="31"/>
  <c r="R2" i="31"/>
  <c r="C14" i="59"/>
  <c r="C13" i="59" s="1"/>
  <c r="C3" i="65"/>
  <c r="C1" i="65"/>
  <c r="N1" i="65" s="1"/>
  <c r="D14" i="59"/>
  <c r="B76" i="63"/>
  <c r="M5" i="54"/>
  <c r="A23" i="51"/>
  <c r="Y12" i="46"/>
  <c r="AA9" i="46"/>
  <c r="AB9" i="46"/>
  <c r="AB10" i="46" s="1"/>
  <c r="AC9" i="46"/>
  <c r="AD9" i="46"/>
  <c r="AD10" i="46" s="1"/>
  <c r="AE9" i="46"/>
  <c r="AF9" i="46"/>
  <c r="AF10" i="46" s="1"/>
  <c r="AG9" i="46"/>
  <c r="AG10" i="46" s="1"/>
  <c r="AH9" i="46"/>
  <c r="AH10" i="46"/>
  <c r="AI9" i="46"/>
  <c r="AI10" i="46" s="1"/>
  <c r="AJ9" i="46"/>
  <c r="AJ10" i="46" s="1"/>
  <c r="Z9" i="46"/>
  <c r="AE10" i="46"/>
  <c r="AC10" i="46"/>
  <c r="Y10" i="46"/>
  <c r="AI12" i="46"/>
  <c r="AG12" i="46"/>
  <c r="AE12" i="46"/>
  <c r="AC12" i="46"/>
  <c r="B73" i="63"/>
  <c r="A21" i="64"/>
  <c r="B75" i="63" s="1"/>
  <c r="A28" i="64"/>
  <c r="A27" i="64"/>
  <c r="A15" i="64"/>
  <c r="A14" i="64"/>
  <c r="A11" i="64"/>
  <c r="A3" i="64"/>
  <c r="A45" i="9"/>
  <c r="A44" i="9"/>
  <c r="K39" i="9" s="1"/>
  <c r="C57" i="10"/>
  <c r="C56" i="10"/>
  <c r="C55" i="10"/>
  <c r="C54" i="10"/>
  <c r="A26" i="51" s="1"/>
  <c r="B19" i="63" s="1"/>
  <c r="B49" i="63"/>
  <c r="B44" i="63"/>
  <c r="B40" i="63"/>
  <c r="B30" i="63"/>
  <c r="B27" i="63"/>
  <c r="B25" i="63"/>
  <c r="A11" i="51"/>
  <c r="A26" i="64"/>
  <c r="K40" i="9"/>
  <c r="B58" i="63"/>
  <c r="B53" i="63"/>
  <c r="A46" i="9"/>
  <c r="K41" i="9" s="1"/>
  <c r="B8" i="63"/>
  <c r="A21" i="55"/>
  <c r="B71" i="63"/>
  <c r="A20" i="55"/>
  <c r="B69" i="63"/>
  <c r="B26" i="63"/>
  <c r="B28" i="63"/>
  <c r="B29" i="63"/>
  <c r="B31" i="63"/>
  <c r="B33" i="63"/>
  <c r="B35" i="63"/>
  <c r="B36" i="63"/>
  <c r="B37" i="63"/>
  <c r="B63" i="63"/>
  <c r="B64" i="63"/>
  <c r="B68" i="63"/>
  <c r="D51" i="10"/>
  <c r="B10" i="63"/>
  <c r="B51" i="10"/>
  <c r="B17" i="63"/>
  <c r="A15" i="51"/>
  <c r="B12" i="63" s="1"/>
  <c r="A14" i="51"/>
  <c r="B11" i="63" s="1"/>
  <c r="A4" i="55"/>
  <c r="B57" i="63" s="1"/>
  <c r="B41" i="63"/>
  <c r="G5" i="54"/>
  <c r="B34" i="63" s="1"/>
  <c r="E5" i="54"/>
  <c r="B32" i="63" s="1"/>
  <c r="R2" i="54"/>
  <c r="B24" i="63"/>
  <c r="B49" i="50"/>
  <c r="B5" i="63"/>
  <c r="B40" i="50"/>
  <c r="B3" i="63" s="1"/>
  <c r="I19" i="46"/>
  <c r="Q18" i="59"/>
  <c r="F18" i="59" s="1"/>
  <c r="V18" i="59" s="1"/>
  <c r="P18" i="59"/>
  <c r="O18" i="59"/>
  <c r="C18" i="59" s="1"/>
  <c r="T18" i="59" s="1"/>
  <c r="N18" i="59"/>
  <c r="D79" i="59"/>
  <c r="F78" i="59"/>
  <c r="E78" i="59"/>
  <c r="E77" i="59"/>
  <c r="E76" i="59" s="1"/>
  <c r="C78" i="59"/>
  <c r="D78" i="59"/>
  <c r="B78" i="59"/>
  <c r="B77" i="59" s="1"/>
  <c r="B76" i="59" s="1"/>
  <c r="F77" i="59"/>
  <c r="F76" i="59" s="1"/>
  <c r="D75" i="59"/>
  <c r="F74" i="59"/>
  <c r="E74" i="59"/>
  <c r="E73" i="59"/>
  <c r="E72" i="59"/>
  <c r="C74" i="59"/>
  <c r="D74" i="59"/>
  <c r="B74" i="59"/>
  <c r="B73" i="59" s="1"/>
  <c r="F73" i="59"/>
  <c r="F72" i="59" s="1"/>
  <c r="B72" i="59"/>
  <c r="D71" i="59"/>
  <c r="Q70" i="59"/>
  <c r="P70" i="59"/>
  <c r="O70" i="59"/>
  <c r="N70" i="59"/>
  <c r="F70" i="59"/>
  <c r="V70" i="59"/>
  <c r="E70" i="59"/>
  <c r="C70" i="59"/>
  <c r="T70" i="59"/>
  <c r="B70" i="59"/>
  <c r="S70" i="59" s="1"/>
  <c r="Q69" i="59"/>
  <c r="P69" i="59"/>
  <c r="O69" i="59"/>
  <c r="N69" i="59"/>
  <c r="F69" i="59"/>
  <c r="F68" i="59"/>
  <c r="B69" i="59"/>
  <c r="B68" i="59" s="1"/>
  <c r="Q68" i="59"/>
  <c r="P68" i="59"/>
  <c r="O68" i="59"/>
  <c r="N68" i="59"/>
  <c r="Q67" i="59"/>
  <c r="P67" i="59"/>
  <c r="O67" i="59"/>
  <c r="N67" i="59"/>
  <c r="D67" i="59"/>
  <c r="Q66" i="59"/>
  <c r="P66" i="59"/>
  <c r="O66" i="59"/>
  <c r="N66" i="59"/>
  <c r="F66" i="59"/>
  <c r="V66" i="59"/>
  <c r="E66" i="59"/>
  <c r="U66" i="59" s="1"/>
  <c r="C66" i="59"/>
  <c r="T66" i="59"/>
  <c r="B66" i="59"/>
  <c r="Q65" i="59"/>
  <c r="P65" i="59"/>
  <c r="O65" i="59"/>
  <c r="N65" i="59"/>
  <c r="F65" i="59"/>
  <c r="F64" i="59"/>
  <c r="Q64" i="59"/>
  <c r="P64" i="59"/>
  <c r="O64" i="59"/>
  <c r="N64" i="59"/>
  <c r="Q63" i="59"/>
  <c r="P63" i="59"/>
  <c r="O63" i="59"/>
  <c r="N63" i="59"/>
  <c r="D63" i="59"/>
  <c r="Q62" i="59"/>
  <c r="P62" i="59"/>
  <c r="O62" i="59"/>
  <c r="N62" i="59"/>
  <c r="F62" i="59"/>
  <c r="V62" i="59" s="1"/>
  <c r="E62" i="59"/>
  <c r="U62" i="59"/>
  <c r="C62" i="59"/>
  <c r="D62" i="59" s="1"/>
  <c r="B62" i="59"/>
  <c r="S62" i="59"/>
  <c r="Q61" i="59"/>
  <c r="P61" i="59"/>
  <c r="O61" i="59"/>
  <c r="N61" i="59"/>
  <c r="F61" i="59"/>
  <c r="F60" i="59" s="1"/>
  <c r="B61" i="59"/>
  <c r="B60" i="59"/>
  <c r="Q60" i="59"/>
  <c r="P60" i="59"/>
  <c r="O60" i="59"/>
  <c r="N60" i="59"/>
  <c r="Q59" i="59"/>
  <c r="P59" i="59"/>
  <c r="O59" i="59"/>
  <c r="N59" i="59"/>
  <c r="D59" i="59"/>
  <c r="F58" i="59"/>
  <c r="V58" i="59" s="1"/>
  <c r="E58" i="59"/>
  <c r="E57" i="59"/>
  <c r="C58" i="59"/>
  <c r="B58" i="59"/>
  <c r="N58" i="59"/>
  <c r="F57" i="59"/>
  <c r="F56" i="59" s="1"/>
  <c r="Q56" i="59" s="1"/>
  <c r="B57" i="59"/>
  <c r="D55" i="59"/>
  <c r="Q54" i="59"/>
  <c r="P54" i="59"/>
  <c r="O54" i="59"/>
  <c r="N54" i="59"/>
  <c r="Q53" i="59"/>
  <c r="P53" i="59"/>
  <c r="O53" i="59"/>
  <c r="N53" i="59"/>
  <c r="Q52" i="59"/>
  <c r="P52" i="59"/>
  <c r="O52" i="59"/>
  <c r="N52" i="59"/>
  <c r="Q51" i="59"/>
  <c r="F52" i="59"/>
  <c r="P51" i="59"/>
  <c r="E52" i="59" s="1"/>
  <c r="E53" i="59" s="1"/>
  <c r="E54" i="59"/>
  <c r="U54" i="59" s="1"/>
  <c r="O51" i="59"/>
  <c r="C52" i="59"/>
  <c r="N51" i="59"/>
  <c r="B52" i="59" s="1"/>
  <c r="B53" i="59" s="1"/>
  <c r="B54" i="59" s="1"/>
  <c r="S54" i="59" s="1"/>
  <c r="D51" i="59"/>
  <c r="Q50" i="59"/>
  <c r="P50" i="59"/>
  <c r="O50" i="59"/>
  <c r="N50" i="59"/>
  <c r="Q49" i="59"/>
  <c r="P49" i="59"/>
  <c r="O49" i="59"/>
  <c r="N49" i="59"/>
  <c r="Q48" i="59"/>
  <c r="P48" i="59"/>
  <c r="O48" i="59"/>
  <c r="N48" i="59"/>
  <c r="Q47" i="59"/>
  <c r="F48" i="59"/>
  <c r="P47" i="59"/>
  <c r="E48" i="59"/>
  <c r="E49" i="59" s="1"/>
  <c r="E50" i="59" s="1"/>
  <c r="U50" i="59"/>
  <c r="O47" i="59"/>
  <c r="C48" i="59" s="1"/>
  <c r="C49" i="59" s="1"/>
  <c r="N47" i="59"/>
  <c r="B48" i="59"/>
  <c r="B49" i="59"/>
  <c r="B50" i="59" s="1"/>
  <c r="S50" i="59" s="1"/>
  <c r="D47" i="59"/>
  <c r="Q46" i="59"/>
  <c r="P46" i="59"/>
  <c r="O46" i="59"/>
  <c r="N46" i="59"/>
  <c r="Q45" i="59"/>
  <c r="P45" i="59"/>
  <c r="O45" i="59"/>
  <c r="N45" i="59"/>
  <c r="Q44" i="59"/>
  <c r="P44" i="59"/>
  <c r="O44" i="59"/>
  <c r="N44" i="59"/>
  <c r="B45" i="59" s="1"/>
  <c r="B46" i="59" s="1"/>
  <c r="S46" i="59" s="1"/>
  <c r="Q43" i="59"/>
  <c r="F44" i="59" s="1"/>
  <c r="P43" i="59"/>
  <c r="E44" i="59"/>
  <c r="E45" i="59" s="1"/>
  <c r="E46" i="59" s="1"/>
  <c r="U46" i="59" s="1"/>
  <c r="O43" i="59"/>
  <c r="C44" i="59"/>
  <c r="D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c r="N39" i="59"/>
  <c r="B40" i="59" s="1"/>
  <c r="D39" i="59"/>
  <c r="T38" i="59"/>
  <c r="Q38" i="59"/>
  <c r="P38" i="59"/>
  <c r="O38" i="59"/>
  <c r="N38" i="59"/>
  <c r="D38" i="59"/>
  <c r="Q37" i="59"/>
  <c r="P37" i="59"/>
  <c r="O37" i="59"/>
  <c r="N37" i="59"/>
  <c r="Q36" i="59"/>
  <c r="P36" i="59"/>
  <c r="O36" i="59"/>
  <c r="N36" i="59"/>
  <c r="Q35" i="59"/>
  <c r="F36" i="59"/>
  <c r="P35" i="59"/>
  <c r="E36" i="59" s="1"/>
  <c r="E37" i="59" s="1"/>
  <c r="E38" i="59" s="1"/>
  <c r="U38" i="59" s="1"/>
  <c r="O35" i="59"/>
  <c r="C36" i="59" s="1"/>
  <c r="D36" i="59" s="1"/>
  <c r="N35" i="59"/>
  <c r="B36" i="59"/>
  <c r="B37" i="59"/>
  <c r="B38" i="59" s="1"/>
  <c r="S38" i="59" s="1"/>
  <c r="D35" i="59"/>
  <c r="Q34" i="59"/>
  <c r="P34" i="59"/>
  <c r="O34" i="59"/>
  <c r="N34" i="59"/>
  <c r="Q33" i="59"/>
  <c r="P33" i="59"/>
  <c r="O33" i="59"/>
  <c r="N33" i="59"/>
  <c r="Q32" i="59"/>
  <c r="P32" i="59"/>
  <c r="O32" i="59"/>
  <c r="N32" i="59"/>
  <c r="B33" i="59" s="1"/>
  <c r="B34" i="59" s="1"/>
  <c r="S34" i="59" s="1"/>
  <c r="Q31" i="59"/>
  <c r="F32" i="59" s="1"/>
  <c r="F33" i="59" s="1"/>
  <c r="P31" i="59"/>
  <c r="E32" i="59"/>
  <c r="E33" i="59"/>
  <c r="E34" i="59" s="1"/>
  <c r="U34" i="59" s="1"/>
  <c r="O31" i="59"/>
  <c r="C32" i="59" s="1"/>
  <c r="N31" i="59"/>
  <c r="B32" i="59"/>
  <c r="D31" i="59"/>
  <c r="Q30" i="59"/>
  <c r="P30" i="59"/>
  <c r="O30" i="59"/>
  <c r="N30" i="59"/>
  <c r="Q29" i="59"/>
  <c r="AB29" i="59" s="1"/>
  <c r="P29" i="59"/>
  <c r="O29" i="59"/>
  <c r="Y29" i="59"/>
  <c r="Z29" i="59" s="1"/>
  <c r="N29" i="59"/>
  <c r="X29" i="59"/>
  <c r="Q28" i="59"/>
  <c r="AB28" i="59" s="1"/>
  <c r="P28" i="59"/>
  <c r="AA28" i="59" s="1"/>
  <c r="O28" i="59"/>
  <c r="N28" i="59"/>
  <c r="Q27" i="59"/>
  <c r="P27" i="59"/>
  <c r="E28" i="59"/>
  <c r="E29" i="59"/>
  <c r="E30" i="59" s="1"/>
  <c r="U30" i="59" s="1"/>
  <c r="O27" i="59"/>
  <c r="Y27" i="59" s="1"/>
  <c r="Z27" i="59" s="1"/>
  <c r="C28" i="59"/>
  <c r="N27" i="59"/>
  <c r="D27" i="59"/>
  <c r="Q26" i="59"/>
  <c r="P26" i="59"/>
  <c r="AA26" i="59" s="1"/>
  <c r="O26" i="59"/>
  <c r="Y26" i="59" s="1"/>
  <c r="Z26" i="59" s="1"/>
  <c r="N26" i="59"/>
  <c r="Q25" i="59"/>
  <c r="AB25" i="59" s="1"/>
  <c r="P25" i="59"/>
  <c r="AA25" i="59" s="1"/>
  <c r="O25" i="59"/>
  <c r="N25" i="59"/>
  <c r="Q24" i="59"/>
  <c r="AB24" i="59" s="1"/>
  <c r="P24" i="59"/>
  <c r="AA23" i="59" s="1"/>
  <c r="O24" i="59"/>
  <c r="Y24" i="59" s="1"/>
  <c r="N24" i="59"/>
  <c r="Q23" i="59"/>
  <c r="F24" i="59"/>
  <c r="P23" i="59"/>
  <c r="E24" i="59" s="1"/>
  <c r="O23" i="59"/>
  <c r="Y23" i="59" s="1"/>
  <c r="Z23" i="59" s="1"/>
  <c r="C24" i="59"/>
  <c r="N23" i="59"/>
  <c r="X22" i="59" s="1"/>
  <c r="B24" i="59"/>
  <c r="B25" i="59" s="1"/>
  <c r="B26" i="59" s="1"/>
  <c r="S26" i="59" s="1"/>
  <c r="D23" i="59"/>
  <c r="Q22" i="59"/>
  <c r="P22" i="59"/>
  <c r="AA22" i="59" s="1"/>
  <c r="O22" i="59"/>
  <c r="N22" i="59"/>
  <c r="Q21" i="59"/>
  <c r="P21" i="59"/>
  <c r="AA21" i="59" s="1"/>
  <c r="O21" i="59"/>
  <c r="Y21" i="59" s="1"/>
  <c r="Z21" i="59" s="1"/>
  <c r="N21" i="59"/>
  <c r="Q20" i="59"/>
  <c r="P20" i="59"/>
  <c r="O20" i="59"/>
  <c r="Y20" i="59" s="1"/>
  <c r="Z20" i="59" s="1"/>
  <c r="N20" i="59"/>
  <c r="Q19" i="59"/>
  <c r="F20" i="59"/>
  <c r="P19" i="59"/>
  <c r="AA18" i="59" s="1"/>
  <c r="O19" i="59"/>
  <c r="N19" i="59"/>
  <c r="B20" i="59"/>
  <c r="B21" i="59" s="1"/>
  <c r="B22" i="59" s="1"/>
  <c r="S22" i="59" s="1"/>
  <c r="D19" i="59"/>
  <c r="AA3" i="59"/>
  <c r="Y15" i="59"/>
  <c r="Z15" i="59" s="1"/>
  <c r="E20" i="59"/>
  <c r="E21" i="59" s="1"/>
  <c r="E22" i="59" s="1"/>
  <c r="U22" i="59" s="1"/>
  <c r="B41" i="59"/>
  <c r="B42" i="59"/>
  <c r="S42" i="59" s="1"/>
  <c r="S58" i="59"/>
  <c r="Z28" i="59"/>
  <c r="AA29" i="59"/>
  <c r="F21" i="59"/>
  <c r="F22" i="59" s="1"/>
  <c r="V22" i="59"/>
  <c r="F25" i="59"/>
  <c r="F26" i="59" s="1"/>
  <c r="V26" i="59" s="1"/>
  <c r="F34" i="59"/>
  <c r="V34" i="59" s="1"/>
  <c r="F37" i="59"/>
  <c r="F38" i="59"/>
  <c r="V38" i="59"/>
  <c r="F45" i="59"/>
  <c r="F46" i="59" s="1"/>
  <c r="V46" i="59" s="1"/>
  <c r="F49" i="59"/>
  <c r="F50" i="59" s="1"/>
  <c r="V50" i="59" s="1"/>
  <c r="F53" i="59"/>
  <c r="F54" i="59"/>
  <c r="V54" i="59" s="1"/>
  <c r="C29" i="59"/>
  <c r="D28" i="59"/>
  <c r="C37" i="59"/>
  <c r="D37" i="59" s="1"/>
  <c r="C41" i="59"/>
  <c r="C42" i="59" s="1"/>
  <c r="D42" i="59" s="1"/>
  <c r="D40" i="59"/>
  <c r="C45" i="59"/>
  <c r="D48" i="59"/>
  <c r="C53" i="59"/>
  <c r="D52" i="59"/>
  <c r="C25" i="59"/>
  <c r="C26" i="59" s="1"/>
  <c r="D24" i="59"/>
  <c r="N57" i="59"/>
  <c r="B56" i="59"/>
  <c r="Q57" i="59"/>
  <c r="T58" i="59"/>
  <c r="O58" i="59"/>
  <c r="D58" i="59"/>
  <c r="C57" i="59"/>
  <c r="P58" i="59"/>
  <c r="U58" i="59"/>
  <c r="Q58" i="59"/>
  <c r="C61" i="59"/>
  <c r="C60" i="59" s="1"/>
  <c r="D60" i="59" s="1"/>
  <c r="E61" i="59"/>
  <c r="E60" i="59" s="1"/>
  <c r="C65" i="59"/>
  <c r="E65" i="59"/>
  <c r="E64" i="59" s="1"/>
  <c r="D66" i="59"/>
  <c r="C69" i="59"/>
  <c r="D70" i="59"/>
  <c r="C73" i="59"/>
  <c r="C77" i="59"/>
  <c r="C76" i="59" s="1"/>
  <c r="U16" i="4"/>
  <c r="S16" i="4"/>
  <c r="Q16" i="4"/>
  <c r="O16" i="4"/>
  <c r="N16" i="4" s="1"/>
  <c r="M16" i="4"/>
  <c r="K16" i="4"/>
  <c r="D76" i="59"/>
  <c r="D61" i="59"/>
  <c r="O57" i="59"/>
  <c r="N55" i="59"/>
  <c r="N56" i="59"/>
  <c r="D25" i="59"/>
  <c r="C54" i="59"/>
  <c r="D54" i="59" s="1"/>
  <c r="D53" i="59"/>
  <c r="C46" i="59"/>
  <c r="D45" i="59"/>
  <c r="D41" i="59"/>
  <c r="L16" i="4"/>
  <c r="T42" i="59"/>
  <c r="O27" i="6"/>
  <c r="N27" i="6"/>
  <c r="P26" i="6"/>
  <c r="L26" i="6"/>
  <c r="P25" i="6"/>
  <c r="L25" i="6"/>
  <c r="P24" i="6"/>
  <c r="L24" i="6"/>
  <c r="P23" i="6"/>
  <c r="L23" i="6"/>
  <c r="P22" i="6"/>
  <c r="L22" i="6"/>
  <c r="P21" i="6"/>
  <c r="L21" i="6"/>
  <c r="P20" i="6"/>
  <c r="P27" i="6" s="1"/>
  <c r="P19" i="6"/>
  <c r="Z18" i="36"/>
  <c r="Q18" i="36"/>
  <c r="C18" i="36"/>
  <c r="D66" i="36"/>
  <c r="F18" i="36"/>
  <c r="AA18" i="36" s="1"/>
  <c r="Z18" i="35"/>
  <c r="Q18" i="35"/>
  <c r="F18" i="35"/>
  <c r="AA18" i="35" s="1"/>
  <c r="C18" i="35"/>
  <c r="D68" i="35"/>
  <c r="E68" i="35" s="1"/>
  <c r="F68" i="35" s="1"/>
  <c r="G68" i="35" s="1"/>
  <c r="Q21" i="37"/>
  <c r="Z21" i="37" s="1"/>
  <c r="F21" i="37"/>
  <c r="C21" i="37"/>
  <c r="E77" i="37"/>
  <c r="F77" i="37"/>
  <c r="G77" i="37" s="1"/>
  <c r="D77" i="37"/>
  <c r="Q21" i="34"/>
  <c r="Z21" i="34" s="1"/>
  <c r="C21" i="34"/>
  <c r="D84" i="34"/>
  <c r="F21" i="34"/>
  <c r="S21" i="34" s="1"/>
  <c r="AA21" i="34"/>
  <c r="Z21" i="33"/>
  <c r="Q21" i="33"/>
  <c r="C21" i="33"/>
  <c r="D83" i="33"/>
  <c r="E83" i="33" s="1"/>
  <c r="F83" i="33" s="1"/>
  <c r="G83" i="33" s="1"/>
  <c r="Z21" i="21"/>
  <c r="Q21" i="21"/>
  <c r="D83" i="21"/>
  <c r="E83" i="21"/>
  <c r="F21" i="21"/>
  <c r="AA21" i="21" s="1"/>
  <c r="C21" i="21"/>
  <c r="Q27" i="40"/>
  <c r="Z27" i="40" s="1"/>
  <c r="D96" i="40"/>
  <c r="E96" i="40" s="1"/>
  <c r="F96" i="40" s="1"/>
  <c r="F27" i="40"/>
  <c r="AA27" i="40"/>
  <c r="Z31" i="39"/>
  <c r="Q31" i="39"/>
  <c r="D105" i="39"/>
  <c r="E105" i="39" s="1"/>
  <c r="F105" i="39" s="1"/>
  <c r="G105" i="39" s="1"/>
  <c r="F31" i="39"/>
  <c r="AA31" i="39" s="1"/>
  <c r="G20" i="20"/>
  <c r="B85" i="46" s="1"/>
  <c r="C22" i="20"/>
  <c r="B54" i="46" s="1"/>
  <c r="B65" i="46"/>
  <c r="S27" i="40"/>
  <c r="C27" i="40"/>
  <c r="C31" i="39"/>
  <c r="B74" i="46"/>
  <c r="E66" i="36"/>
  <c r="H18" i="35"/>
  <c r="J18" i="35"/>
  <c r="AC18" i="35" s="1"/>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20" i="57" s="1"/>
  <c r="I18" i="57"/>
  <c r="I17" i="57"/>
  <c r="E15" i="57"/>
  <c r="I14" i="57"/>
  <c r="I13" i="57"/>
  <c r="I12" i="57"/>
  <c r="I15" i="57"/>
  <c r="I9" i="57"/>
  <c r="I8" i="57"/>
  <c r="I7" i="57"/>
  <c r="I6" i="57"/>
  <c r="I5" i="57"/>
  <c r="I4" i="57"/>
  <c r="I3" i="57"/>
  <c r="I10" i="57"/>
  <c r="C30" i="57"/>
  <c r="E26" i="57" s="1"/>
  <c r="C112" i="9"/>
  <c r="C7" i="11"/>
  <c r="F80" i="46"/>
  <c r="H81" i="46" s="1"/>
  <c r="D1" i="46"/>
  <c r="F113" i="46"/>
  <c r="D99" i="46"/>
  <c r="D108" i="46"/>
  <c r="E99" i="46"/>
  <c r="E108" i="46" s="1"/>
  <c r="F99" i="46"/>
  <c r="F100" i="46"/>
  <c r="G99" i="46"/>
  <c r="G108" i="46" s="1"/>
  <c r="H99" i="46"/>
  <c r="H108" i="46"/>
  <c r="I99" i="46"/>
  <c r="I108" i="46" s="1"/>
  <c r="J99" i="46"/>
  <c r="J108" i="46"/>
  <c r="K99" i="46"/>
  <c r="K108" i="46" s="1"/>
  <c r="L99" i="46"/>
  <c r="L100" i="46"/>
  <c r="M99" i="46"/>
  <c r="M108" i="46" s="1"/>
  <c r="N99" i="46"/>
  <c r="N108" i="46"/>
  <c r="C99" i="46"/>
  <c r="C108" i="46" s="1"/>
  <c r="L108" i="46"/>
  <c r="K58" i="46"/>
  <c r="J58" i="46" s="1"/>
  <c r="D58" i="46"/>
  <c r="K50" i="46"/>
  <c r="D83" i="46"/>
  <c r="D77" i="46"/>
  <c r="B83" i="46"/>
  <c r="B82" i="46"/>
  <c r="B71" i="46"/>
  <c r="B60" i="46"/>
  <c r="B49" i="46"/>
  <c r="M87" i="46"/>
  <c r="N87" i="46"/>
  <c r="K87" i="46"/>
  <c r="J87" i="46" s="1"/>
  <c r="D87" i="46"/>
  <c r="M86" i="46"/>
  <c r="N86" i="46" s="1"/>
  <c r="D86" i="46"/>
  <c r="K86" i="46"/>
  <c r="J86" i="46" s="1"/>
  <c r="M85" i="46"/>
  <c r="N85" i="46" s="1"/>
  <c r="D85" i="46"/>
  <c r="K85" i="46"/>
  <c r="J85" i="46" s="1"/>
  <c r="M84" i="46"/>
  <c r="N84" i="46"/>
  <c r="K84" i="46"/>
  <c r="J84" i="46" s="1"/>
  <c r="M83" i="46"/>
  <c r="N83" i="46"/>
  <c r="K83" i="46"/>
  <c r="J83" i="46" s="1"/>
  <c r="M82" i="46"/>
  <c r="N82" i="46"/>
  <c r="K82" i="46"/>
  <c r="J82" i="46" s="1"/>
  <c r="D82" i="46"/>
  <c r="M81" i="46"/>
  <c r="N81" i="46"/>
  <c r="K81" i="46"/>
  <c r="J81" i="46"/>
  <c r="M80" i="46"/>
  <c r="N80" i="46"/>
  <c r="K80" i="46"/>
  <c r="J80" i="46"/>
  <c r="M77" i="46"/>
  <c r="N77" i="46"/>
  <c r="K77" i="46"/>
  <c r="J77" i="46"/>
  <c r="M76" i="46"/>
  <c r="N76" i="46"/>
  <c r="D76" i="46"/>
  <c r="K76" i="46"/>
  <c r="J76" i="46"/>
  <c r="M75" i="46"/>
  <c r="N75" i="46" s="1"/>
  <c r="K75" i="46"/>
  <c r="J75" i="46"/>
  <c r="M74" i="46"/>
  <c r="N74" i="46" s="1"/>
  <c r="K74" i="46"/>
  <c r="J74" i="46"/>
  <c r="D74" i="46"/>
  <c r="M73" i="46"/>
  <c r="D73" i="46"/>
  <c r="K73" i="46"/>
  <c r="J73" i="46"/>
  <c r="M72" i="46"/>
  <c r="N72" i="46"/>
  <c r="K72" i="46"/>
  <c r="J72" i="46"/>
  <c r="D72" i="46"/>
  <c r="M71" i="46"/>
  <c r="N71" i="46"/>
  <c r="K71" i="46"/>
  <c r="J71" i="46" s="1"/>
  <c r="M70" i="46"/>
  <c r="N70" i="46"/>
  <c r="K70" i="46"/>
  <c r="J70" i="46" s="1"/>
  <c r="D70" i="46"/>
  <c r="M69" i="46"/>
  <c r="N69" i="46"/>
  <c r="K69" i="46"/>
  <c r="J69" i="46"/>
  <c r="M66" i="46"/>
  <c r="N66" i="46"/>
  <c r="K66" i="46"/>
  <c r="M65" i="46"/>
  <c r="N65" i="46" s="1"/>
  <c r="K65" i="46"/>
  <c r="J65" i="46" s="1"/>
  <c r="D65" i="46"/>
  <c r="M64" i="46"/>
  <c r="N64" i="46" s="1"/>
  <c r="K64" i="46"/>
  <c r="J64" i="46"/>
  <c r="D64" i="46"/>
  <c r="M63" i="46"/>
  <c r="N63" i="46" s="1"/>
  <c r="K63" i="46"/>
  <c r="J63" i="46" s="1"/>
  <c r="D63" i="46"/>
  <c r="M62" i="46"/>
  <c r="N62" i="46"/>
  <c r="K62" i="46"/>
  <c r="J62" i="46"/>
  <c r="D62" i="46"/>
  <c r="M61" i="46"/>
  <c r="N61" i="46" s="1"/>
  <c r="K61" i="46"/>
  <c r="J61" i="46" s="1"/>
  <c r="D61" i="46"/>
  <c r="M60" i="46"/>
  <c r="N60" i="46" s="1"/>
  <c r="K60" i="46"/>
  <c r="J60" i="46"/>
  <c r="D60" i="46"/>
  <c r="M59" i="46"/>
  <c r="N59" i="46" s="1"/>
  <c r="K59" i="46"/>
  <c r="J59" i="46" s="1"/>
  <c r="D59" i="46"/>
  <c r="M58" i="46"/>
  <c r="N58" i="46"/>
  <c r="M55" i="46"/>
  <c r="N55" i="46"/>
  <c r="K55" i="46"/>
  <c r="J55" i="46"/>
  <c r="M54" i="46"/>
  <c r="N54" i="46"/>
  <c r="K54" i="46"/>
  <c r="M53" i="46"/>
  <c r="N53" i="46" s="1"/>
  <c r="K53" i="46"/>
  <c r="J53" i="46" s="1"/>
  <c r="D53" i="46"/>
  <c r="M52" i="46"/>
  <c r="N52" i="46" s="1"/>
  <c r="K52" i="46"/>
  <c r="J52" i="46"/>
  <c r="D52" i="46"/>
  <c r="M51" i="46"/>
  <c r="N51" i="46" s="1"/>
  <c r="K51" i="46"/>
  <c r="J51" i="46" s="1"/>
  <c r="M50" i="46"/>
  <c r="N50" i="46" s="1"/>
  <c r="M49" i="46"/>
  <c r="N49" i="46"/>
  <c r="K49" i="46"/>
  <c r="J49" i="46" s="1"/>
  <c r="D49" i="46"/>
  <c r="M48" i="46"/>
  <c r="N48" i="46"/>
  <c r="K48" i="46"/>
  <c r="J48" i="46"/>
  <c r="D48" i="46"/>
  <c r="M47" i="46"/>
  <c r="N47" i="46" s="1"/>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s="1"/>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c r="AX81" i="3"/>
  <c r="AW81" i="3"/>
  <c r="AV81" i="3"/>
  <c r="AC81" i="3"/>
  <c r="G81" i="3" s="1"/>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Z75" i="3"/>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A69" i="3" s="1"/>
  <c r="AZ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AZ50" i="3" s="1"/>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L46" i="3" s="1"/>
  <c r="BN46" i="3"/>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L204" i="3" s="1"/>
  <c r="BN204" i="3"/>
  <c r="BM204" i="3"/>
  <c r="BK204" i="3"/>
  <c r="BJ204" i="3"/>
  <c r="BI204" i="3"/>
  <c r="BH204" i="3"/>
  <c r="BG204" i="3"/>
  <c r="BF204" i="3"/>
  <c r="BE204" i="3"/>
  <c r="BD204" i="3"/>
  <c r="BC204" i="3"/>
  <c r="BB204" i="3"/>
  <c r="AX204" i="3"/>
  <c r="AW204" i="3"/>
  <c r="AV204" i="3"/>
  <c r="AC204" i="3"/>
  <c r="G204" i="3" s="1"/>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A128" i="3" s="1"/>
  <c r="AZ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A125" i="3" s="1"/>
  <c r="AZ125" i="3" s="1"/>
  <c r="BB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A296" i="3" s="1"/>
  <c r="AZ296" i="3" s="1"/>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Z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A269" i="3" s="1"/>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Z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Z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Z222" i="3"/>
  <c r="AX222" i="3"/>
  <c r="AW222" i="3"/>
  <c r="AV222" i="3"/>
  <c r="AC222" i="3"/>
  <c r="H222" i="3"/>
  <c r="BT221" i="3"/>
  <c r="BS221" i="3"/>
  <c r="BR221" i="3"/>
  <c r="BQ221" i="3"/>
  <c r="BP221" i="3"/>
  <c r="BO221" i="3"/>
  <c r="BL221" i="3" s="1"/>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L342" i="3" s="1"/>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A309" i="3" s="1"/>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AZ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L462" i="3" s="1"/>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G443" i="3" s="1"/>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BT430" i="3"/>
  <c r="BS430" i="3"/>
  <c r="BR430" i="3"/>
  <c r="BQ430" i="3"/>
  <c r="BP430" i="3"/>
  <c r="BO430" i="3"/>
  <c r="BL430" i="3" s="1"/>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AZ420" i="3" s="1"/>
  <c r="BC420" i="3"/>
  <c r="BB420" i="3"/>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A417" i="3" s="1"/>
  <c r="AZ417" i="3" s="1"/>
  <c r="BC417" i="3"/>
  <c r="BB417" i="3"/>
  <c r="AX417" i="3"/>
  <c r="AW417" i="3"/>
  <c r="AV417" i="3"/>
  <c r="AC417" i="3"/>
  <c r="H417" i="3"/>
  <c r="G417" i="3" s="1"/>
  <c r="BT416" i="3"/>
  <c r="BS416" i="3"/>
  <c r="BR416" i="3"/>
  <c r="BQ416" i="3"/>
  <c r="BP416" i="3"/>
  <c r="BO416" i="3"/>
  <c r="BL416" i="3" s="1"/>
  <c r="BN416" i="3"/>
  <c r="BM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A414" i="3" s="1"/>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G411" i="3" s="1"/>
  <c r="BT410" i="3"/>
  <c r="BS410" i="3"/>
  <c r="BR410" i="3"/>
  <c r="BQ410" i="3"/>
  <c r="BP410" i="3"/>
  <c r="BO410" i="3"/>
  <c r="BL410" i="3" s="1"/>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Z408" i="3"/>
  <c r="AX408" i="3"/>
  <c r="AW408" i="3"/>
  <c r="AV408" i="3"/>
  <c r="AC408" i="3"/>
  <c r="H408" i="3"/>
  <c r="BT407" i="3"/>
  <c r="BS407" i="3"/>
  <c r="BR407" i="3"/>
  <c r="BQ407" i="3"/>
  <c r="BP407" i="3"/>
  <c r="BO407" i="3"/>
  <c r="BL407" i="3" s="1"/>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L398" i="3" s="1"/>
  <c r="AZ398" i="3" s="1"/>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A397" i="3" s="1"/>
  <c r="BC397" i="3"/>
  <c r="BB397" i="3"/>
  <c r="AZ397" i="3"/>
  <c r="AX397" i="3"/>
  <c r="AW397" i="3"/>
  <c r="AV397" i="3"/>
  <c r="AC397" i="3"/>
  <c r="H397" i="3"/>
  <c r="BT396" i="3"/>
  <c r="BS396" i="3"/>
  <c r="BR396" i="3"/>
  <c r="BQ396" i="3"/>
  <c r="BP396" i="3"/>
  <c r="BO396" i="3"/>
  <c r="BL396" i="3" s="1"/>
  <c r="BN396" i="3"/>
  <c r="BM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L390" i="3" s="1"/>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H62" i="40"/>
  <c r="I62" i="40" s="1"/>
  <c r="C62" i="40" s="1"/>
  <c r="H61" i="40"/>
  <c r="I61" i="40"/>
  <c r="C61" i="40" s="1"/>
  <c r="H60" i="40"/>
  <c r="H59" i="40"/>
  <c r="H58" i="40"/>
  <c r="I58" i="40" s="1"/>
  <c r="C58" i="40" s="1"/>
  <c r="H57" i="40"/>
  <c r="I57" i="40"/>
  <c r="C57" i="40" s="1"/>
  <c r="H56" i="40"/>
  <c r="I56" i="40"/>
  <c r="C56" i="40"/>
  <c r="H55" i="40"/>
  <c r="I55" i="40" s="1"/>
  <c r="C55" i="40" s="1"/>
  <c r="H54" i="40"/>
  <c r="I54" i="40" s="1"/>
  <c r="C54" i="40" s="1"/>
  <c r="H63" i="39"/>
  <c r="I63" i="39"/>
  <c r="C63" i="39" s="1"/>
  <c r="H59" i="39"/>
  <c r="I59" i="39"/>
  <c r="C59" i="39"/>
  <c r="H67" i="39"/>
  <c r="I67" i="39" s="1"/>
  <c r="C67" i="39" s="1"/>
  <c r="H66" i="39"/>
  <c r="I66" i="39" s="1"/>
  <c r="C66" i="39" s="1"/>
  <c r="H65" i="39"/>
  <c r="I65" i="39"/>
  <c r="C65" i="39" s="1"/>
  <c r="H64" i="39"/>
  <c r="I64" i="39" s="1"/>
  <c r="C64" i="39" s="1"/>
  <c r="H62" i="39"/>
  <c r="I62" i="39"/>
  <c r="C62" i="39"/>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H17" i="46" s="1"/>
  <c r="G19" i="46"/>
  <c r="R26" i="31"/>
  <c r="S26" i="31"/>
  <c r="R27" i="31"/>
  <c r="R28" i="31"/>
  <c r="S28" i="31"/>
  <c r="R29" i="31"/>
  <c r="R30" i="31"/>
  <c r="S30" i="31" s="1"/>
  <c r="R31" i="31"/>
  <c r="R32" i="31"/>
  <c r="S32" i="31" s="1"/>
  <c r="R33" i="31"/>
  <c r="R34" i="31"/>
  <c r="S34" i="31"/>
  <c r="R35" i="31"/>
  <c r="R36" i="31"/>
  <c r="S36" i="31"/>
  <c r="R37" i="31"/>
  <c r="S37" i="31" s="1"/>
  <c r="R38" i="31"/>
  <c r="S38" i="31" s="1"/>
  <c r="R39" i="31"/>
  <c r="R40" i="31"/>
  <c r="S40" i="31" s="1"/>
  <c r="R41" i="31"/>
  <c r="R42" i="31"/>
  <c r="S42" i="31"/>
  <c r="R43" i="31"/>
  <c r="R44" i="31"/>
  <c r="S44" i="31"/>
  <c r="R45" i="31"/>
  <c r="S45" i="31" s="1"/>
  <c r="R46" i="31"/>
  <c r="S46" i="31" s="1"/>
  <c r="R47" i="31"/>
  <c r="R48" i="31"/>
  <c r="S48" i="31" s="1"/>
  <c r="R49" i="31"/>
  <c r="R50" i="31"/>
  <c r="S50" i="31"/>
  <c r="R51" i="31"/>
  <c r="R52" i="31"/>
  <c r="S52" i="31"/>
  <c r="R53" i="31"/>
  <c r="S53" i="31" s="1"/>
  <c r="R54" i="31"/>
  <c r="S54" i="31" s="1"/>
  <c r="R55" i="31"/>
  <c r="R56" i="31"/>
  <c r="S56" i="31" s="1"/>
  <c r="R57" i="31"/>
  <c r="R58" i="31"/>
  <c r="S58" i="31"/>
  <c r="R59" i="31"/>
  <c r="R60" i="31"/>
  <c r="S60" i="31"/>
  <c r="R61" i="31"/>
  <c r="R62" i="31"/>
  <c r="S62" i="31" s="1"/>
  <c r="R63" i="31"/>
  <c r="R64" i="31"/>
  <c r="S64" i="31" s="1"/>
  <c r="R65" i="31"/>
  <c r="R66" i="31"/>
  <c r="S66" i="31"/>
  <c r="R67" i="31"/>
  <c r="R68" i="31"/>
  <c r="S68" i="31"/>
  <c r="R69" i="31"/>
  <c r="R70" i="31"/>
  <c r="S70" i="31" s="1"/>
  <c r="R71" i="31"/>
  <c r="R72" i="31"/>
  <c r="S72" i="31" s="1"/>
  <c r="R73" i="31"/>
  <c r="R74" i="31"/>
  <c r="S74" i="31"/>
  <c r="R75" i="31"/>
  <c r="R76" i="31"/>
  <c r="S76" i="31"/>
  <c r="R77" i="31"/>
  <c r="R78" i="31"/>
  <c r="S78" i="31" s="1"/>
  <c r="R79" i="31"/>
  <c r="R80" i="31"/>
  <c r="S80" i="31" s="1"/>
  <c r="R81" i="31"/>
  <c r="R82" i="31"/>
  <c r="S82" i="31"/>
  <c r="R83" i="31"/>
  <c r="R84" i="31"/>
  <c r="S84" i="31"/>
  <c r="R85" i="31"/>
  <c r="R86" i="31"/>
  <c r="S86" i="31" s="1"/>
  <c r="R87" i="31"/>
  <c r="R88" i="31"/>
  <c r="S88" i="31" s="1"/>
  <c r="R89" i="31"/>
  <c r="R90" i="31"/>
  <c r="S90" i="31"/>
  <c r="R91" i="31"/>
  <c r="R92" i="31"/>
  <c r="S92" i="31"/>
  <c r="R93" i="31"/>
  <c r="R94" i="31"/>
  <c r="S94" i="31" s="1"/>
  <c r="R95" i="31"/>
  <c r="R96" i="31"/>
  <c r="S96" i="31" s="1"/>
  <c r="R97" i="31"/>
  <c r="R98" i="31"/>
  <c r="S98" i="31"/>
  <c r="R99" i="31"/>
  <c r="R100" i="31"/>
  <c r="S100" i="31"/>
  <c r="R101" i="31"/>
  <c r="R102" i="31"/>
  <c r="S102" i="31" s="1"/>
  <c r="R103" i="31"/>
  <c r="R104" i="31"/>
  <c r="S104" i="31" s="1"/>
  <c r="R105" i="31"/>
  <c r="R106" i="31"/>
  <c r="S106" i="31"/>
  <c r="R107" i="31"/>
  <c r="R108" i="31"/>
  <c r="S108" i="31"/>
  <c r="R109" i="31"/>
  <c r="R110" i="31"/>
  <c r="S110" i="31" s="1"/>
  <c r="R111" i="31"/>
  <c r="R112" i="31"/>
  <c r="S112" i="31" s="1"/>
  <c r="R113" i="31"/>
  <c r="R114" i="31"/>
  <c r="S114" i="31"/>
  <c r="R115" i="31"/>
  <c r="R116" i="31"/>
  <c r="S116" i="31"/>
  <c r="R117" i="31"/>
  <c r="S117" i="31" s="1"/>
  <c r="R118" i="31"/>
  <c r="S118" i="31" s="1"/>
  <c r="R119" i="31"/>
  <c r="R120" i="31"/>
  <c r="S120" i="31" s="1"/>
  <c r="R121" i="31"/>
  <c r="R122" i="31"/>
  <c r="S122" i="31"/>
  <c r="R123" i="31"/>
  <c r="R124" i="31"/>
  <c r="S124" i="31"/>
  <c r="R125" i="31"/>
  <c r="R126" i="31"/>
  <c r="S126" i="31" s="1"/>
  <c r="R127" i="31"/>
  <c r="R128" i="31"/>
  <c r="S128" i="31" s="1"/>
  <c r="R129" i="31"/>
  <c r="R130" i="31"/>
  <c r="S130" i="31"/>
  <c r="R131" i="31"/>
  <c r="R132" i="31"/>
  <c r="S132" i="31"/>
  <c r="R133" i="31"/>
  <c r="R134" i="31"/>
  <c r="S134" i="31" s="1"/>
  <c r="R135" i="31"/>
  <c r="R136" i="31"/>
  <c r="S136" i="31" s="1"/>
  <c r="R137" i="31"/>
  <c r="R138" i="31"/>
  <c r="S138" i="31"/>
  <c r="R139" i="31"/>
  <c r="R140" i="31"/>
  <c r="S140" i="31"/>
  <c r="R141" i="31"/>
  <c r="R142" i="31"/>
  <c r="S142" i="31" s="1"/>
  <c r="R143" i="31"/>
  <c r="R144" i="31"/>
  <c r="S144" i="31" s="1"/>
  <c r="R145" i="31"/>
  <c r="R146" i="31"/>
  <c r="S146" i="31"/>
  <c r="R147" i="31"/>
  <c r="R148" i="31"/>
  <c r="S148" i="31"/>
  <c r="R149" i="31"/>
  <c r="R150" i="31"/>
  <c r="S150" i="31" s="1"/>
  <c r="R151" i="31"/>
  <c r="R152" i="31"/>
  <c r="S152" i="31" s="1"/>
  <c r="R153" i="31"/>
  <c r="R154" i="31"/>
  <c r="S154" i="31"/>
  <c r="R155" i="31"/>
  <c r="R156" i="31"/>
  <c r="S156" i="31"/>
  <c r="R157" i="31"/>
  <c r="R158" i="31"/>
  <c r="S158" i="31" s="1"/>
  <c r="R159" i="31"/>
  <c r="R160" i="31"/>
  <c r="S160" i="31" s="1"/>
  <c r="R161" i="31"/>
  <c r="R162" i="31"/>
  <c r="S162" i="31"/>
  <c r="R163" i="31"/>
  <c r="R164" i="31"/>
  <c r="S164" i="31"/>
  <c r="R165" i="31"/>
  <c r="R166" i="31"/>
  <c r="S166" i="31" s="1"/>
  <c r="R167" i="31"/>
  <c r="R168" i="31"/>
  <c r="S168" i="31" s="1"/>
  <c r="R169" i="31"/>
  <c r="R170" i="31"/>
  <c r="S170" i="31"/>
  <c r="R171" i="31"/>
  <c r="R172" i="31"/>
  <c r="S172" i="31"/>
  <c r="R173" i="31"/>
  <c r="R174" i="31"/>
  <c r="S174" i="31" s="1"/>
  <c r="R175" i="31"/>
  <c r="R176" i="31"/>
  <c r="S176" i="31" s="1"/>
  <c r="R177" i="31"/>
  <c r="R178" i="31"/>
  <c r="S178" i="31"/>
  <c r="R179" i="31"/>
  <c r="R180" i="31"/>
  <c r="S180" i="31"/>
  <c r="R181" i="31"/>
  <c r="R182" i="31"/>
  <c r="S182" i="31" s="1"/>
  <c r="R183" i="31"/>
  <c r="R184" i="31"/>
  <c r="S184" i="31" s="1"/>
  <c r="R185" i="31"/>
  <c r="R186" i="31"/>
  <c r="S186" i="31"/>
  <c r="R187" i="31"/>
  <c r="R188" i="31"/>
  <c r="S188" i="31"/>
  <c r="R189" i="31"/>
  <c r="R190" i="31"/>
  <c r="S190" i="31" s="1"/>
  <c r="R191" i="31"/>
  <c r="R192" i="31"/>
  <c r="S192" i="31" s="1"/>
  <c r="R193" i="31"/>
  <c r="R194" i="31"/>
  <c r="S194" i="31"/>
  <c r="R195" i="31"/>
  <c r="R196" i="31"/>
  <c r="S196" i="31"/>
  <c r="R197" i="31"/>
  <c r="R198" i="31"/>
  <c r="S198" i="31" s="1"/>
  <c r="R199" i="31"/>
  <c r="R200" i="31"/>
  <c r="S200" i="31" s="1"/>
  <c r="R201" i="31"/>
  <c r="R202" i="31"/>
  <c r="S202" i="31"/>
  <c r="R203" i="31"/>
  <c r="R204" i="31"/>
  <c r="S204" i="31"/>
  <c r="R205" i="31"/>
  <c r="R206" i="31"/>
  <c r="S206" i="31" s="1"/>
  <c r="R207" i="31"/>
  <c r="R208" i="31"/>
  <c r="S208" i="31" s="1"/>
  <c r="R209" i="31"/>
  <c r="R210" i="31"/>
  <c r="S210" i="31"/>
  <c r="R211" i="31"/>
  <c r="R212" i="31"/>
  <c r="S212" i="31"/>
  <c r="R213" i="31"/>
  <c r="R214" i="31"/>
  <c r="S214" i="31" s="1"/>
  <c r="R215" i="31"/>
  <c r="R216" i="31"/>
  <c r="S216" i="31" s="1"/>
  <c r="R217" i="31"/>
  <c r="R218" i="31"/>
  <c r="S218" i="31"/>
  <c r="R219" i="31"/>
  <c r="R220" i="31"/>
  <c r="S220" i="31"/>
  <c r="R221" i="31"/>
  <c r="R222" i="31"/>
  <c r="S222" i="31" s="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R256" i="31"/>
  <c r="S256" i="31" s="1"/>
  <c r="R257" i="31"/>
  <c r="R258" i="31"/>
  <c r="R259" i="31"/>
  <c r="R260" i="31"/>
  <c r="S260" i="31" s="1"/>
  <c r="R261" i="31"/>
  <c r="R262" i="31"/>
  <c r="R263" i="31"/>
  <c r="R264" i="31"/>
  <c r="S264" i="31" s="1"/>
  <c r="R265" i="31"/>
  <c r="R266" i="31"/>
  <c r="R267" i="31"/>
  <c r="R268" i="31"/>
  <c r="S268" i="31" s="1"/>
  <c r="R269" i="31"/>
  <c r="R270" i="31"/>
  <c r="R271" i="31"/>
  <c r="R272" i="31"/>
  <c r="S272" i="31" s="1"/>
  <c r="R273" i="31"/>
  <c r="R274" i="31"/>
  <c r="R275" i="31"/>
  <c r="R276" i="31"/>
  <c r="S276" i="31" s="1"/>
  <c r="R277" i="31"/>
  <c r="R278" i="31"/>
  <c r="R279" i="31"/>
  <c r="R280" i="31"/>
  <c r="S280" i="31" s="1"/>
  <c r="R281" i="31"/>
  <c r="R282" i="31"/>
  <c r="R283" i="31"/>
  <c r="R284" i="31"/>
  <c r="S284" i="31" s="1"/>
  <c r="R285" i="31"/>
  <c r="R286" i="31"/>
  <c r="R287" i="31"/>
  <c r="R288" i="31"/>
  <c r="S288" i="31" s="1"/>
  <c r="R289" i="31"/>
  <c r="R290" i="31"/>
  <c r="R291" i="31"/>
  <c r="R292" i="31"/>
  <c r="S292" i="31" s="1"/>
  <c r="R293" i="31"/>
  <c r="R294" i="31"/>
  <c r="R295" i="31"/>
  <c r="R296" i="31"/>
  <c r="S296" i="31" s="1"/>
  <c r="R297" i="31"/>
  <c r="R298" i="31"/>
  <c r="R299" i="31"/>
  <c r="R300" i="31"/>
  <c r="S300" i="31" s="1"/>
  <c r="R301" i="31"/>
  <c r="R302" i="31"/>
  <c r="R303" i="31"/>
  <c r="R304" i="31"/>
  <c r="S304" i="31" s="1"/>
  <c r="R305" i="31"/>
  <c r="R306" i="31"/>
  <c r="R307" i="31"/>
  <c r="R308" i="31"/>
  <c r="S308" i="31" s="1"/>
  <c r="R309" i="31"/>
  <c r="R310" i="31"/>
  <c r="R311" i="31"/>
  <c r="R312" i="31"/>
  <c r="S312" i="31" s="1"/>
  <c r="R313" i="31"/>
  <c r="R314" i="31"/>
  <c r="R315" i="31"/>
  <c r="R316" i="31"/>
  <c r="S316" i="31" s="1"/>
  <c r="R317" i="31"/>
  <c r="R318" i="31"/>
  <c r="R319" i="31"/>
  <c r="R320" i="31"/>
  <c r="S320" i="31" s="1"/>
  <c r="R321" i="31"/>
  <c r="R322" i="31"/>
  <c r="R323" i="31"/>
  <c r="R324" i="31"/>
  <c r="S324" i="31" s="1"/>
  <c r="R325" i="31"/>
  <c r="R326" i="31"/>
  <c r="R327" i="31"/>
  <c r="R328" i="31"/>
  <c r="S328" i="31" s="1"/>
  <c r="R329" i="31"/>
  <c r="R330" i="31"/>
  <c r="R331" i="31"/>
  <c r="R332" i="31"/>
  <c r="S332" i="31" s="1"/>
  <c r="R333" i="31"/>
  <c r="R334" i="31"/>
  <c r="R335" i="31"/>
  <c r="R336" i="31"/>
  <c r="S336" i="31" s="1"/>
  <c r="R337" i="31"/>
  <c r="R338" i="31"/>
  <c r="R339" i="31"/>
  <c r="R340" i="31"/>
  <c r="S340" i="31" s="1"/>
  <c r="R341" i="31"/>
  <c r="R342" i="31"/>
  <c r="R343" i="31"/>
  <c r="R344" i="31"/>
  <c r="S344" i="31" s="1"/>
  <c r="R345" i="31"/>
  <c r="R346" i="31"/>
  <c r="R347" i="31"/>
  <c r="R348" i="31"/>
  <c r="S348" i="31" s="1"/>
  <c r="R349" i="31"/>
  <c r="R350" i="31"/>
  <c r="R351" i="31"/>
  <c r="R352" i="31"/>
  <c r="S352" i="31" s="1"/>
  <c r="R353" i="31"/>
  <c r="R354" i="31"/>
  <c r="R355" i="31"/>
  <c r="R356" i="31"/>
  <c r="S356" i="31" s="1"/>
  <c r="R357" i="31"/>
  <c r="R358" i="31"/>
  <c r="R359" i="31"/>
  <c r="R360" i="31"/>
  <c r="S360" i="31" s="1"/>
  <c r="R361" i="31"/>
  <c r="R362" i="31"/>
  <c r="R363" i="31"/>
  <c r="R364" i="31"/>
  <c r="S364" i="31" s="1"/>
  <c r="R365" i="31"/>
  <c r="R366" i="31"/>
  <c r="R367" i="31"/>
  <c r="R368" i="31"/>
  <c r="S368" i="31" s="1"/>
  <c r="R369" i="31"/>
  <c r="R370" i="31"/>
  <c r="R371" i="31"/>
  <c r="R372" i="31"/>
  <c r="S372" i="31" s="1"/>
  <c r="R373" i="31"/>
  <c r="R374" i="31"/>
  <c r="R375" i="31"/>
  <c r="R376" i="31"/>
  <c r="S376" i="31" s="1"/>
  <c r="R377" i="31"/>
  <c r="R378" i="31"/>
  <c r="R379" i="31"/>
  <c r="R380" i="31"/>
  <c r="S380" i="31" s="1"/>
  <c r="R381" i="31"/>
  <c r="R382" i="31"/>
  <c r="R383" i="31"/>
  <c r="R384" i="31"/>
  <c r="S384" i="31" s="1"/>
  <c r="R385" i="31"/>
  <c r="R386" i="31"/>
  <c r="R387" i="31"/>
  <c r="R388" i="31"/>
  <c r="S388" i="31" s="1"/>
  <c r="R389" i="31"/>
  <c r="R390" i="31"/>
  <c r="R391" i="31"/>
  <c r="R392" i="31"/>
  <c r="S392" i="31" s="1"/>
  <c r="R393" i="31"/>
  <c r="R394" i="31"/>
  <c r="R395" i="31"/>
  <c r="R396" i="31"/>
  <c r="S396" i="31" s="1"/>
  <c r="R397" i="31"/>
  <c r="R398" i="31"/>
  <c r="R399" i="31"/>
  <c r="R400" i="31"/>
  <c r="S400" i="31" s="1"/>
  <c r="R401" i="31"/>
  <c r="R402" i="31"/>
  <c r="R403" i="31"/>
  <c r="R404" i="31"/>
  <c r="S404" i="31" s="1"/>
  <c r="R405" i="31"/>
  <c r="R406" i="31"/>
  <c r="R407" i="31"/>
  <c r="R408" i="31"/>
  <c r="S408" i="31" s="1"/>
  <c r="R409" i="31"/>
  <c r="R410" i="31"/>
  <c r="R411" i="31"/>
  <c r="R412" i="31"/>
  <c r="S412" i="31" s="1"/>
  <c r="R413" i="31"/>
  <c r="R414" i="31"/>
  <c r="R415" i="31"/>
  <c r="R416" i="31"/>
  <c r="S416" i="31" s="1"/>
  <c r="R417" i="31"/>
  <c r="R418" i="31"/>
  <c r="R419" i="31"/>
  <c r="R420" i="31"/>
  <c r="S420" i="31" s="1"/>
  <c r="R421" i="31"/>
  <c r="R422" i="31"/>
  <c r="R423" i="31"/>
  <c r="R424" i="31"/>
  <c r="S424" i="31" s="1"/>
  <c r="R425" i="31"/>
  <c r="R426" i="31"/>
  <c r="S426" i="31"/>
  <c r="R427" i="31"/>
  <c r="R428" i="31"/>
  <c r="S428" i="31" s="1"/>
  <c r="R429" i="31"/>
  <c r="R430" i="31"/>
  <c r="S430" i="31" s="1"/>
  <c r="R431" i="31"/>
  <c r="R432" i="31"/>
  <c r="S432" i="31"/>
  <c r="R433" i="31"/>
  <c r="R434" i="31"/>
  <c r="S434" i="31"/>
  <c r="R435" i="31"/>
  <c r="R436" i="31"/>
  <c r="S436" i="31" s="1"/>
  <c r="R437" i="31"/>
  <c r="R438" i="31"/>
  <c r="S438" i="31" s="1"/>
  <c r="R439" i="31"/>
  <c r="R440" i="31"/>
  <c r="S440" i="31"/>
  <c r="R441" i="31"/>
  <c r="R442" i="31"/>
  <c r="S442" i="31"/>
  <c r="R443" i="31"/>
  <c r="S443" i="31" s="1"/>
  <c r="R444" i="31"/>
  <c r="S444" i="31" s="1"/>
  <c r="R445" i="31"/>
  <c r="R446" i="31"/>
  <c r="S446" i="31" s="1"/>
  <c r="R447" i="31"/>
  <c r="R448" i="31"/>
  <c r="S448" i="31"/>
  <c r="R449" i="31"/>
  <c r="R450" i="31"/>
  <c r="S450" i="31"/>
  <c r="R451" i="31"/>
  <c r="R452" i="31"/>
  <c r="S452" i="31" s="1"/>
  <c r="R453" i="31"/>
  <c r="R454" i="31"/>
  <c r="S454" i="31" s="1"/>
  <c r="R455" i="31"/>
  <c r="R456" i="31"/>
  <c r="S456" i="31"/>
  <c r="R457" i="31"/>
  <c r="R458" i="31"/>
  <c r="S458" i="31"/>
  <c r="R459" i="31"/>
  <c r="S459" i="31" s="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c r="R501" i="31"/>
  <c r="R502" i="31"/>
  <c r="S502" i="31" s="1"/>
  <c r="R503" i="31"/>
  <c r="R504" i="31"/>
  <c r="S504" i="31" s="1"/>
  <c r="R505" i="31"/>
  <c r="R506" i="31"/>
  <c r="S506" i="31"/>
  <c r="R507" i="31"/>
  <c r="R508" i="31"/>
  <c r="S508" i="31"/>
  <c r="R509" i="31"/>
  <c r="R510" i="31"/>
  <c r="S510" i="31" s="1"/>
  <c r="R511" i="31"/>
  <c r="R512" i="31"/>
  <c r="S512" i="31" s="1"/>
  <c r="R513" i="31"/>
  <c r="R514" i="31"/>
  <c r="S514" i="31"/>
  <c r="R515" i="31"/>
  <c r="R516" i="31"/>
  <c r="S516" i="31"/>
  <c r="R517" i="31"/>
  <c r="R518" i="31"/>
  <c r="S518" i="31" s="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E14" i="52" s="1"/>
  <c r="I2" i="46"/>
  <c r="N12" i="46" s="1"/>
  <c r="A7" i="46"/>
  <c r="F41" i="4"/>
  <c r="J52" i="40" s="1"/>
  <c r="H61" i="49"/>
  <c r="H39" i="46"/>
  <c r="H38" i="46"/>
  <c r="H37" i="46"/>
  <c r="H36" i="46"/>
  <c r="H35" i="46"/>
  <c r="H34" i="46"/>
  <c r="H33" i="46"/>
  <c r="J20" i="46"/>
  <c r="C18" i="46"/>
  <c r="F15" i="46"/>
  <c r="E15" i="46"/>
  <c r="D15" i="46"/>
  <c r="C15" i="46"/>
  <c r="C10" i="46"/>
  <c r="C11" i="46" s="1"/>
  <c r="C9" i="46"/>
  <c r="E23" i="6"/>
  <c r="E24" i="6"/>
  <c r="E25" i="6"/>
  <c r="E26" i="6"/>
  <c r="D38" i="4"/>
  <c r="C39" i="4" s="1"/>
  <c r="C35" i="4"/>
  <c r="E16" i="12"/>
  <c r="F14" i="12"/>
  <c r="F15" i="12"/>
  <c r="F17" i="12"/>
  <c r="E19" i="12"/>
  <c r="E21" i="12"/>
  <c r="E22" i="12"/>
  <c r="F23" i="12"/>
  <c r="F24" i="12"/>
  <c r="I73" i="9"/>
  <c r="F73" i="9"/>
  <c r="P73" i="9" s="1"/>
  <c r="D107" i="9"/>
  <c r="C107" i="9" s="1"/>
  <c r="C105" i="9" s="1"/>
  <c r="C17" i="9"/>
  <c r="C18" i="9" s="1"/>
  <c r="D17"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A14" i="3" s="1"/>
  <c r="BD14" i="3"/>
  <c r="BE14" i="3"/>
  <c r="BF14" i="3"/>
  <c r="BG14" i="3"/>
  <c r="BH14" i="3"/>
  <c r="BI14" i="3"/>
  <c r="BJ14" i="3"/>
  <c r="BK14" i="3"/>
  <c r="BB15" i="3"/>
  <c r="BC15" i="3"/>
  <c r="BD15" i="3"/>
  <c r="BE15" i="3"/>
  <c r="BF15" i="3"/>
  <c r="BG15" i="3"/>
  <c r="BH15" i="3"/>
  <c r="BI15" i="3"/>
  <c r="BJ15" i="3"/>
  <c r="BK15" i="3"/>
  <c r="BB16" i="3"/>
  <c r="BC16" i="3"/>
  <c r="BA16" i="3" s="1"/>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19" i="31"/>
  <c r="S418" i="31"/>
  <c r="S417" i="31"/>
  <c r="S415" i="31"/>
  <c r="S414" i="31"/>
  <c r="S413" i="31"/>
  <c r="S411" i="31"/>
  <c r="S410" i="31"/>
  <c r="S409" i="31"/>
  <c r="S407" i="31"/>
  <c r="S406" i="31"/>
  <c r="S405" i="31"/>
  <c r="S403" i="31"/>
  <c r="S402" i="31"/>
  <c r="S401" i="31"/>
  <c r="S399" i="31"/>
  <c r="S398" i="31"/>
  <c r="S397" i="31"/>
  <c r="S395" i="31"/>
  <c r="S394" i="31"/>
  <c r="S393" i="31"/>
  <c r="S391" i="31"/>
  <c r="S390" i="31"/>
  <c r="S389" i="31"/>
  <c r="S387" i="31"/>
  <c r="S386" i="31"/>
  <c r="S385" i="31"/>
  <c r="S383" i="31"/>
  <c r="S382" i="31"/>
  <c r="S381" i="31"/>
  <c r="S379" i="31"/>
  <c r="S378" i="31"/>
  <c r="S377" i="31"/>
  <c r="S375" i="31"/>
  <c r="S374" i="31"/>
  <c r="S373" i="31"/>
  <c r="S371" i="31"/>
  <c r="S370" i="31"/>
  <c r="S369" i="31"/>
  <c r="S367" i="31"/>
  <c r="S366" i="31"/>
  <c r="S365" i="31"/>
  <c r="S363" i="31"/>
  <c r="S362" i="31"/>
  <c r="S361" i="31"/>
  <c r="S359" i="31"/>
  <c r="S358" i="31"/>
  <c r="S357" i="31"/>
  <c r="S355" i="31"/>
  <c r="S354" i="31"/>
  <c r="S353" i="31"/>
  <c r="S351" i="31"/>
  <c r="S350" i="31"/>
  <c r="S349" i="31"/>
  <c r="S347" i="31"/>
  <c r="S346" i="31"/>
  <c r="S345" i="31"/>
  <c r="S343" i="31"/>
  <c r="S342" i="31"/>
  <c r="S341" i="31"/>
  <c r="S339" i="31"/>
  <c r="S338" i="31"/>
  <c r="S337" i="31"/>
  <c r="S335" i="31"/>
  <c r="S334" i="31"/>
  <c r="S333" i="31"/>
  <c r="S331" i="31"/>
  <c r="S330" i="31"/>
  <c r="S329" i="31"/>
  <c r="S327" i="31"/>
  <c r="S326" i="31"/>
  <c r="S325" i="31"/>
  <c r="S323" i="31"/>
  <c r="S322" i="31"/>
  <c r="S321" i="31"/>
  <c r="S423" i="31"/>
  <c r="S319" i="31"/>
  <c r="S318" i="31"/>
  <c r="S317" i="31"/>
  <c r="S315" i="31"/>
  <c r="S314" i="31"/>
  <c r="S313" i="31"/>
  <c r="S311" i="31"/>
  <c r="S310" i="31"/>
  <c r="S309" i="31"/>
  <c r="S307" i="31"/>
  <c r="S306" i="31"/>
  <c r="S305" i="31"/>
  <c r="S303" i="31"/>
  <c r="S302" i="31"/>
  <c r="S301" i="31"/>
  <c r="S299" i="31"/>
  <c r="S298" i="31"/>
  <c r="S297" i="31"/>
  <c r="S295" i="31"/>
  <c r="S294" i="31"/>
  <c r="S293" i="31"/>
  <c r="S291" i="31"/>
  <c r="S290" i="31"/>
  <c r="S289" i="31"/>
  <c r="S287" i="31"/>
  <c r="S286" i="31"/>
  <c r="S285" i="31"/>
  <c r="S283" i="31"/>
  <c r="S282" i="31"/>
  <c r="S281" i="31"/>
  <c r="S279" i="31"/>
  <c r="S278" i="31"/>
  <c r="S277" i="31"/>
  <c r="S275" i="31"/>
  <c r="S274" i="31"/>
  <c r="S273" i="31"/>
  <c r="S271" i="31"/>
  <c r="S270" i="31"/>
  <c r="S269" i="31"/>
  <c r="S267" i="31"/>
  <c r="S266" i="31"/>
  <c r="S265" i="31"/>
  <c r="S263" i="31"/>
  <c r="S262" i="31"/>
  <c r="S261" i="31"/>
  <c r="S259"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1" i="31"/>
  <c r="S439" i="31"/>
  <c r="S437" i="31"/>
  <c r="S435" i="31"/>
  <c r="S433" i="31"/>
  <c r="S431" i="31"/>
  <c r="S121" i="31"/>
  <c r="S119" i="31"/>
  <c r="S115" i="31"/>
  <c r="S113" i="31"/>
  <c r="S467" i="31"/>
  <c r="S465" i="31"/>
  <c r="S463" i="31"/>
  <c r="S461" i="31"/>
  <c r="S457" i="31"/>
  <c r="S455" i="31"/>
  <c r="S453" i="31"/>
  <c r="S451" i="31"/>
  <c r="S51" i="31"/>
  <c r="S49" i="31"/>
  <c r="S47" i="31"/>
  <c r="S43" i="31"/>
  <c r="S41" i="31"/>
  <c r="S39"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c r="I50" i="40"/>
  <c r="J50" i="40" s="1"/>
  <c r="G50" i="40"/>
  <c r="H50" i="40" s="1"/>
  <c r="E50" i="40"/>
  <c r="F50" i="40" s="1"/>
  <c r="I55" i="39"/>
  <c r="J55" i="39" s="1"/>
  <c r="G55" i="39"/>
  <c r="H55" i="39" s="1"/>
  <c r="E55" i="39"/>
  <c r="F55" i="39" s="1"/>
  <c r="I42" i="36"/>
  <c r="J42" i="36"/>
  <c r="G42" i="36"/>
  <c r="H42" i="36" s="1"/>
  <c r="E42" i="36"/>
  <c r="F42" i="36"/>
  <c r="I44" i="35"/>
  <c r="J44" i="35" s="1"/>
  <c r="G44" i="35"/>
  <c r="H44" i="35" s="1"/>
  <c r="E44" i="35"/>
  <c r="F44" i="35" s="1"/>
  <c r="I54" i="33"/>
  <c r="J54" i="33"/>
  <c r="G54" i="33"/>
  <c r="E54" i="33"/>
  <c r="F54" i="33"/>
  <c r="H14" i="3"/>
  <c r="AC14" i="3"/>
  <c r="H15" i="3"/>
  <c r="AC15" i="3"/>
  <c r="H16" i="3"/>
  <c r="AC16" i="3"/>
  <c r="H17" i="3"/>
  <c r="AC17" i="3"/>
  <c r="G17" i="3" s="1"/>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A509" i="3" s="1"/>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s="1"/>
  <c r="AC511" i="3"/>
  <c r="BB511" i="3"/>
  <c r="BA511" i="3" s="1"/>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A513" i="3" s="1"/>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A515" i="3" s="1"/>
  <c r="AZ515" i="3" s="1"/>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A519" i="3" s="1"/>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A521" i="3" s="1"/>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F5" i="3" s="1"/>
  <c r="BG523" i="3"/>
  <c r="BH523" i="3"/>
  <c r="BI523" i="3"/>
  <c r="BJ523" i="3"/>
  <c r="BJ5" i="3" s="1"/>
  <c r="BK523" i="3"/>
  <c r="BM523" i="3"/>
  <c r="BN523" i="3"/>
  <c r="BO523" i="3"/>
  <c r="BL523" i="3" s="1"/>
  <c r="BP523" i="3"/>
  <c r="BQ523" i="3"/>
  <c r="BR523" i="3"/>
  <c r="BS523" i="3"/>
  <c r="BT523" i="3"/>
  <c r="H524" i="3"/>
  <c r="AC524" i="3"/>
  <c r="G524" i="3" s="1"/>
  <c r="BB524" i="3"/>
  <c r="BC524" i="3"/>
  <c r="BD524" i="3"/>
  <c r="BE524" i="3"/>
  <c r="BF524" i="3"/>
  <c r="BG524" i="3"/>
  <c r="BH524" i="3"/>
  <c r="BI524" i="3"/>
  <c r="BJ524" i="3"/>
  <c r="BK524" i="3"/>
  <c r="BM524" i="3"/>
  <c r="BN524" i="3"/>
  <c r="BL524" i="3" s="1"/>
  <c r="BO524" i="3"/>
  <c r="BP524" i="3"/>
  <c r="BR524" i="3"/>
  <c r="BS524" i="3"/>
  <c r="BT524" i="3"/>
  <c r="H525" i="3"/>
  <c r="AC525" i="3"/>
  <c r="G525" i="3"/>
  <c r="BB525" i="3"/>
  <c r="BC525" i="3"/>
  <c r="BD525" i="3"/>
  <c r="BE525" i="3"/>
  <c r="BA525" i="3" s="1"/>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A533" i="3" s="1"/>
  <c r="BD533" i="3"/>
  <c r="BE533" i="3"/>
  <c r="BF533" i="3"/>
  <c r="BG533" i="3"/>
  <c r="BH533" i="3"/>
  <c r="BI533" i="3"/>
  <c r="BJ533" i="3"/>
  <c r="BK533" i="3"/>
  <c r="BK5" i="3" s="1"/>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L536" i="3" s="1"/>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A543" i="3" s="1"/>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A546" i="3" s="1"/>
  <c r="BC546" i="3"/>
  <c r="BD546" i="3"/>
  <c r="BE546" i="3"/>
  <c r="BF546" i="3"/>
  <c r="BG546" i="3"/>
  <c r="BH546" i="3"/>
  <c r="BI546" i="3"/>
  <c r="BJ546" i="3"/>
  <c r="BK546" i="3"/>
  <c r="BM546" i="3"/>
  <c r="BN546" i="3"/>
  <c r="BO546" i="3"/>
  <c r="BL546" i="3" s="1"/>
  <c r="BP546" i="3"/>
  <c r="BR546" i="3"/>
  <c r="BS546" i="3"/>
  <c r="BT546" i="3"/>
  <c r="H547" i="3"/>
  <c r="AC547" i="3"/>
  <c r="G547" i="3"/>
  <c r="BB547" i="3"/>
  <c r="BC547" i="3"/>
  <c r="BD547" i="3"/>
  <c r="BE547" i="3"/>
  <c r="BF547" i="3"/>
  <c r="BG547" i="3"/>
  <c r="BH547" i="3"/>
  <c r="BI547" i="3"/>
  <c r="BJ547" i="3"/>
  <c r="BK547" i="3"/>
  <c r="BM547" i="3"/>
  <c r="BN547" i="3"/>
  <c r="BO547" i="3"/>
  <c r="BL547" i="3" s="1"/>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L549" i="3" s="1"/>
  <c r="AZ549" i="3" s="1"/>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A553" i="3" s="1"/>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L557" i="3" s="1"/>
  <c r="BP557" i="3"/>
  <c r="BQ557" i="3"/>
  <c r="BR557" i="3"/>
  <c r="BS557" i="3"/>
  <c r="BT557" i="3"/>
  <c r="H558" i="3"/>
  <c r="AC558" i="3"/>
  <c r="BB558" i="3"/>
  <c r="BA558" i="3" s="1"/>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A560" i="3" s="1"/>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A564" i="3" s="1"/>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A566" i="3" s="1"/>
  <c r="AZ566" i="3" s="1"/>
  <c r="BC566" i="3"/>
  <c r="BD566" i="3"/>
  <c r="BE566" i="3"/>
  <c r="BF566" i="3"/>
  <c r="BG566" i="3"/>
  <c r="BH566" i="3"/>
  <c r="BI566" i="3"/>
  <c r="BJ566" i="3"/>
  <c r="BK566" i="3"/>
  <c r="BM566" i="3"/>
  <c r="BN566" i="3"/>
  <c r="BO566" i="3"/>
  <c r="BP566" i="3"/>
  <c r="BR566" i="3"/>
  <c r="BS566" i="3"/>
  <c r="BT566" i="3"/>
  <c r="H567" i="3"/>
  <c r="G567" i="3" s="1"/>
  <c r="AC567" i="3"/>
  <c r="BB567" i="3"/>
  <c r="BA567" i="3" s="1"/>
  <c r="BC567" i="3"/>
  <c r="BD567" i="3"/>
  <c r="BE567" i="3"/>
  <c r="BF567" i="3"/>
  <c r="BG567" i="3"/>
  <c r="BH567" i="3"/>
  <c r="BI567" i="3"/>
  <c r="BJ567" i="3"/>
  <c r="BK567" i="3"/>
  <c r="BM567" i="3"/>
  <c r="BN567" i="3"/>
  <c r="BO567" i="3"/>
  <c r="BP567" i="3"/>
  <c r="BL567" i="3" s="1"/>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F30" i="36"/>
  <c r="C26" i="35"/>
  <c r="C79" i="35" s="1"/>
  <c r="J31" i="35"/>
  <c r="AC31" i="35" s="1"/>
  <c r="H31" i="35"/>
  <c r="AB31" i="35" s="1"/>
  <c r="F31" i="35"/>
  <c r="AA31" i="35" s="1"/>
  <c r="D87" i="35"/>
  <c r="E87" i="35" s="1"/>
  <c r="F87" i="35" s="1"/>
  <c r="G87" i="35" s="1"/>
  <c r="H34" i="37"/>
  <c r="AB34" i="37"/>
  <c r="D101" i="37"/>
  <c r="F34" i="37"/>
  <c r="D99" i="37"/>
  <c r="E99" i="37"/>
  <c r="F99" i="37" s="1"/>
  <c r="G99" i="37" s="1"/>
  <c r="H99" i="37" s="1"/>
  <c r="I99" i="37" s="1"/>
  <c r="J99" i="37" s="1"/>
  <c r="K99" i="37" s="1"/>
  <c r="L99" i="37" s="1"/>
  <c r="M99" i="37" s="1"/>
  <c r="H42" i="34"/>
  <c r="J42" i="34"/>
  <c r="F42" i="34"/>
  <c r="J38" i="34"/>
  <c r="W38" i="34" s="1"/>
  <c r="D114" i="34"/>
  <c r="F38" i="34"/>
  <c r="AA38" i="34" s="1"/>
  <c r="D112" i="34"/>
  <c r="E112" i="34"/>
  <c r="F112" i="34" s="1"/>
  <c r="G112" i="34"/>
  <c r="H112" i="34" s="1"/>
  <c r="I112" i="34" s="1"/>
  <c r="J112" i="34" s="1"/>
  <c r="K112" i="34" s="1"/>
  <c r="L112" i="34" s="1"/>
  <c r="M112" i="34" s="1"/>
  <c r="F40" i="33"/>
  <c r="AA40" i="33" s="1"/>
  <c r="J41" i="33"/>
  <c r="D113" i="33"/>
  <c r="F37" i="33"/>
  <c r="AA37" i="33"/>
  <c r="D111" i="33"/>
  <c r="E111" i="33"/>
  <c r="F111" i="33"/>
  <c r="G111" i="33"/>
  <c r="H111" i="33" s="1"/>
  <c r="I111" i="33"/>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F13" i="40"/>
  <c r="AA13" i="40" s="1"/>
  <c r="S13" i="40"/>
  <c r="B122" i="40"/>
  <c r="F42" i="40" s="1"/>
  <c r="AA42" i="40"/>
  <c r="B120" i="40"/>
  <c r="B118" i="40"/>
  <c r="F40" i="40" s="1"/>
  <c r="AA40" i="40" s="1"/>
  <c r="D117" i="40"/>
  <c r="E117" i="40" s="1"/>
  <c r="F117" i="40" s="1"/>
  <c r="G117" i="40" s="1"/>
  <c r="H117" i="40" s="1"/>
  <c r="I117" i="40" s="1"/>
  <c r="J117" i="40" s="1"/>
  <c r="K117" i="40" s="1"/>
  <c r="L117" i="40" s="1"/>
  <c r="M117" i="40" s="1"/>
  <c r="D115" i="40"/>
  <c r="J38" i="40"/>
  <c r="W38" i="40" s="1"/>
  <c r="AC38" i="40"/>
  <c r="E115" i="40"/>
  <c r="F115" i="40" s="1"/>
  <c r="G115" i="40"/>
  <c r="H115" i="40"/>
  <c r="I115" i="40"/>
  <c r="J115" i="40" s="1"/>
  <c r="K115" i="40" s="1"/>
  <c r="L115" i="40"/>
  <c r="M115" i="40" s="1"/>
  <c r="H38" i="40"/>
  <c r="AB38" i="40"/>
  <c r="D113" i="40"/>
  <c r="E113" i="40" s="1"/>
  <c r="F113" i="40" s="1"/>
  <c r="M109" i="40"/>
  <c r="L109" i="40"/>
  <c r="K109" i="40"/>
  <c r="J109" i="40"/>
  <c r="I109" i="40"/>
  <c r="H109" i="40"/>
  <c r="G109" i="40"/>
  <c r="F109" i="40"/>
  <c r="E109" i="40"/>
  <c r="D109" i="40"/>
  <c r="C109" i="40"/>
  <c r="B107" i="40"/>
  <c r="B105" i="40"/>
  <c r="F34" i="40" s="1"/>
  <c r="S34" i="40" s="1"/>
  <c r="AA34" i="40"/>
  <c r="B103" i="40"/>
  <c r="D102" i="40"/>
  <c r="E102" i="40" s="1"/>
  <c r="F102" i="40"/>
  <c r="G102" i="40" s="1"/>
  <c r="H102" i="40"/>
  <c r="I102" i="40" s="1"/>
  <c r="J102" i="40" s="1"/>
  <c r="K102" i="40" s="1"/>
  <c r="L102" i="40" s="1"/>
  <c r="M102" i="40" s="1"/>
  <c r="D100" i="40"/>
  <c r="E100" i="40" s="1"/>
  <c r="F100" i="40" s="1"/>
  <c r="D98" i="40"/>
  <c r="E98" i="40"/>
  <c r="B97" i="40"/>
  <c r="D94" i="40"/>
  <c r="D92" i="40"/>
  <c r="D90" i="40"/>
  <c r="E90" i="40" s="1"/>
  <c r="F90" i="40" s="1"/>
  <c r="H21" i="40"/>
  <c r="AB21" i="40" s="1"/>
  <c r="D88" i="40"/>
  <c r="E88" i="40" s="1"/>
  <c r="D86" i="40"/>
  <c r="E86" i="40" s="1"/>
  <c r="F86" i="40" s="1"/>
  <c r="G86" i="40" s="1"/>
  <c r="J17" i="40"/>
  <c r="B83" i="40"/>
  <c r="F16" i="40" s="1"/>
  <c r="AA16" i="40" s="1"/>
  <c r="B81" i="40"/>
  <c r="B79"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D122" i="39"/>
  <c r="E122" i="39" s="1"/>
  <c r="F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F45" i="39" s="1"/>
  <c r="AA45" i="39" s="1"/>
  <c r="D128" i="39"/>
  <c r="D124" i="39"/>
  <c r="H42" i="39" s="1"/>
  <c r="B106" i="39"/>
  <c r="D99" i="39"/>
  <c r="D97" i="39"/>
  <c r="D95" i="39"/>
  <c r="E95" i="39" s="1"/>
  <c r="F95" i="39" s="1"/>
  <c r="G95" i="39" s="1"/>
  <c r="D93" i="39"/>
  <c r="E93" i="39" s="1"/>
  <c r="F93" i="39" s="1"/>
  <c r="G93" i="39" s="1"/>
  <c r="D91" i="39"/>
  <c r="B88" i="39"/>
  <c r="F16" i="39" s="1"/>
  <c r="AA16" i="39" s="1"/>
  <c r="B86" i="39"/>
  <c r="B84" i="39"/>
  <c r="M81" i="39"/>
  <c r="L81" i="39"/>
  <c r="K81" i="39"/>
  <c r="J81" i="39"/>
  <c r="I81" i="39"/>
  <c r="H81" i="39"/>
  <c r="G81" i="39"/>
  <c r="F81" i="39"/>
  <c r="E81" i="39"/>
  <c r="D81" i="39"/>
  <c r="C81" i="39"/>
  <c r="P50" i="39"/>
  <c r="P49" i="39"/>
  <c r="V48" i="39"/>
  <c r="T48" i="39"/>
  <c r="R48" i="39"/>
  <c r="P48" i="39"/>
  <c r="Q37" i="39"/>
  <c r="Z37" i="39" s="1"/>
  <c r="Q36" i="39"/>
  <c r="Z36" i="39"/>
  <c r="Q34" i="39"/>
  <c r="Z34" i="39" s="1"/>
  <c r="Q33" i="39"/>
  <c r="Z33" i="39" s="1"/>
  <c r="Q29" i="39"/>
  <c r="Z29" i="39"/>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U10" i="39"/>
  <c r="C9" i="39"/>
  <c r="C70" i="39"/>
  <c r="C72" i="39" s="1"/>
  <c r="C20" i="36"/>
  <c r="C20" i="35"/>
  <c r="C16" i="36"/>
  <c r="C16" i="35"/>
  <c r="C14" i="36"/>
  <c r="C14" i="35"/>
  <c r="B80" i="37"/>
  <c r="H25" i="37"/>
  <c r="U25" i="37"/>
  <c r="B110" i="37"/>
  <c r="J39" i="37" s="1"/>
  <c r="AC39" i="37"/>
  <c r="B108" i="37"/>
  <c r="J38" i="37" s="1"/>
  <c r="C23" i="37"/>
  <c r="C19" i="37"/>
  <c r="C17" i="37"/>
  <c r="C15" i="37"/>
  <c r="B112" i="37"/>
  <c r="F40" i="37" s="1"/>
  <c r="AA40" i="37" s="1"/>
  <c r="D107" i="37"/>
  <c r="E107" i="37"/>
  <c r="D105" i="37"/>
  <c r="E105" i="37"/>
  <c r="F105" i="37" s="1"/>
  <c r="H36" i="37"/>
  <c r="D103" i="37"/>
  <c r="J35" i="37"/>
  <c r="AC35" i="37"/>
  <c r="F97" i="37"/>
  <c r="E97" i="37"/>
  <c r="D97" i="37"/>
  <c r="C97" i="37"/>
  <c r="D96" i="37"/>
  <c r="E96" i="37"/>
  <c r="D94" i="37"/>
  <c r="E94" i="37" s="1"/>
  <c r="F94" i="37" s="1"/>
  <c r="G94" i="37" s="1"/>
  <c r="M90" i="37"/>
  <c r="L90" i="37"/>
  <c r="K90" i="37"/>
  <c r="J90" i="37"/>
  <c r="I90" i="37"/>
  <c r="H90" i="37"/>
  <c r="G90" i="37"/>
  <c r="F90" i="37"/>
  <c r="E90" i="37"/>
  <c r="D90" i="37"/>
  <c r="C90" i="37"/>
  <c r="D89" i="37"/>
  <c r="B86" i="37"/>
  <c r="J28" i="37" s="1"/>
  <c r="AC28" i="37" s="1"/>
  <c r="B84" i="37"/>
  <c r="H27" i="37"/>
  <c r="U27" i="37"/>
  <c r="B82" i="37"/>
  <c r="D79" i="37"/>
  <c r="E79" i="37"/>
  <c r="F79" i="37" s="1"/>
  <c r="G79" i="37" s="1"/>
  <c r="D75" i="37"/>
  <c r="E75" i="37"/>
  <c r="F75" i="37" s="1"/>
  <c r="G75" i="37" s="1"/>
  <c r="D73" i="37"/>
  <c r="E73" i="37"/>
  <c r="F73" i="37"/>
  <c r="G73" i="37" s="1"/>
  <c r="D71" i="37"/>
  <c r="E71" i="37" s="1"/>
  <c r="F71" i="37" s="1"/>
  <c r="G71" i="37" s="1"/>
  <c r="F15" i="37"/>
  <c r="AA15" i="37"/>
  <c r="B68" i="37"/>
  <c r="H14" i="37" s="1"/>
  <c r="U14" i="37"/>
  <c r="B66" i="37"/>
  <c r="F13" i="37" s="1"/>
  <c r="S13" i="37" s="1"/>
  <c r="B64" i="37"/>
  <c r="D63" i="37"/>
  <c r="E63" i="37"/>
  <c r="F63" i="37"/>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AC30" i="37" s="1"/>
  <c r="W30" i="37"/>
  <c r="H30" i="37"/>
  <c r="AB30" i="37" s="1"/>
  <c r="F30" i="37"/>
  <c r="Q29" i="37"/>
  <c r="Z29" i="37"/>
  <c r="H29" i="37"/>
  <c r="U29" i="37"/>
  <c r="Q28" i="37"/>
  <c r="Z28" i="37"/>
  <c r="Q27" i="37"/>
  <c r="Z27" i="37"/>
  <c r="Q26" i="37"/>
  <c r="Z26" i="37"/>
  <c r="H26" i="37"/>
  <c r="AB26" i="37" s="1"/>
  <c r="Q25" i="37"/>
  <c r="Z25" i="37"/>
  <c r="J25" i="37"/>
  <c r="W25" i="37" s="1"/>
  <c r="F25" i="37"/>
  <c r="S25" i="37" s="1"/>
  <c r="AA25" i="37"/>
  <c r="Q23" i="37"/>
  <c r="Z23" i="37" s="1"/>
  <c r="Q19" i="37"/>
  <c r="Z19" i="37"/>
  <c r="Q17" i="37"/>
  <c r="Z17" i="37" s="1"/>
  <c r="Q15" i="37"/>
  <c r="Z15" i="37" s="1"/>
  <c r="Q14" i="37"/>
  <c r="Z14" i="37" s="1"/>
  <c r="Q13" i="37"/>
  <c r="Z13" i="37"/>
  <c r="Q12" i="37"/>
  <c r="Z12" i="37" s="1"/>
  <c r="Q11" i="37"/>
  <c r="Z11" i="37" s="1"/>
  <c r="Q10" i="37"/>
  <c r="Z10" i="37" s="1"/>
  <c r="F10" i="37"/>
  <c r="AA10" i="37"/>
  <c r="Q9" i="37"/>
  <c r="Z9" i="37" s="1"/>
  <c r="J8" i="37"/>
  <c r="W8" i="37" s="1"/>
  <c r="H8" i="37"/>
  <c r="AB8" i="37" s="1"/>
  <c r="F8" i="37"/>
  <c r="C7" i="37"/>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F79" i="36"/>
  <c r="E79" i="36"/>
  <c r="D79" i="36"/>
  <c r="C79" i="36"/>
  <c r="B93" i="36"/>
  <c r="F33" i="36" s="1"/>
  <c r="B91" i="36"/>
  <c r="B95" i="36"/>
  <c r="D83" i="36"/>
  <c r="E83" i="36"/>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J24" i="36" s="1"/>
  <c r="W24" i="36" s="1"/>
  <c r="B71" i="36"/>
  <c r="D70" i="36"/>
  <c r="H22" i="36"/>
  <c r="AB22" i="36" s="1"/>
  <c r="D68" i="36"/>
  <c r="E68" i="36" s="1"/>
  <c r="D64" i="36"/>
  <c r="E64" i="36" s="1"/>
  <c r="D62" i="36"/>
  <c r="E62" i="36" s="1"/>
  <c r="F62" i="36" s="1"/>
  <c r="G62" i="36" s="1"/>
  <c r="B59" i="36"/>
  <c r="F13" i="36" s="1"/>
  <c r="S13" i="36" s="1"/>
  <c r="B57" i="36"/>
  <c r="J12" i="36" s="1"/>
  <c r="B55" i="36"/>
  <c r="J11" i="36" s="1"/>
  <c r="F54" i="36"/>
  <c r="G54" i="36"/>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AB26" i="36" s="1"/>
  <c r="Q25" i="36"/>
  <c r="Z25" i="36" s="1"/>
  <c r="Q24" i="36"/>
  <c r="Z24" i="36" s="1"/>
  <c r="Q23" i="36"/>
  <c r="Z23" i="36" s="1"/>
  <c r="Q22" i="36"/>
  <c r="Z22" i="36"/>
  <c r="J22" i="36"/>
  <c r="AC22" i="36"/>
  <c r="Q20" i="36"/>
  <c r="Z20" i="36"/>
  <c r="Q16" i="36"/>
  <c r="Z16" i="36"/>
  <c r="Q14" i="36"/>
  <c r="Z14" i="36"/>
  <c r="Q13" i="36"/>
  <c r="Z13" i="36"/>
  <c r="Q12" i="36"/>
  <c r="Z12" i="36"/>
  <c r="H12" i="36"/>
  <c r="U12" i="36"/>
  <c r="Q11" i="36"/>
  <c r="Z11" i="36"/>
  <c r="Q10" i="36"/>
  <c r="Z10" i="36"/>
  <c r="F10" i="36"/>
  <c r="Q9" i="36"/>
  <c r="Z9" i="36" s="1"/>
  <c r="J8" i="36"/>
  <c r="AC8" i="36" s="1"/>
  <c r="H8" i="36"/>
  <c r="U8" i="36" s="1"/>
  <c r="F8" i="36"/>
  <c r="AA8" i="36" s="1"/>
  <c r="C7" i="36"/>
  <c r="C46" i="36" s="1"/>
  <c r="D46" i="36" s="1"/>
  <c r="E46" i="36" s="1"/>
  <c r="F46" i="36" s="1"/>
  <c r="G46" i="36" s="1"/>
  <c r="H46" i="36" s="1"/>
  <c r="I46" i="36" s="1"/>
  <c r="J46" i="36" s="1"/>
  <c r="K46" i="36" s="1"/>
  <c r="L46" i="36" s="1"/>
  <c r="M46" i="36" s="1"/>
  <c r="N46" i="36" s="1"/>
  <c r="O46" i="36" s="1"/>
  <c r="D89" i="35"/>
  <c r="H30" i="35" s="1"/>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B77" i="35"/>
  <c r="B75" i="35"/>
  <c r="J24" i="35" s="1"/>
  <c r="B73" i="35"/>
  <c r="J23" i="35" s="1"/>
  <c r="B57" i="35"/>
  <c r="J11" i="35" s="1"/>
  <c r="B61" i="35"/>
  <c r="F13" i="35" s="1"/>
  <c r="B59" i="35"/>
  <c r="H12" i="35"/>
  <c r="B131" i="34"/>
  <c r="F47" i="34" s="1"/>
  <c r="AA47" i="34" s="1"/>
  <c r="B129" i="34"/>
  <c r="B127" i="34"/>
  <c r="B99" i="34"/>
  <c r="B97" i="34"/>
  <c r="B95" i="34"/>
  <c r="B93" i="34"/>
  <c r="B75" i="34"/>
  <c r="B73" i="34"/>
  <c r="F13" i="34" s="1"/>
  <c r="AA13" i="34" s="1"/>
  <c r="B71" i="34"/>
  <c r="B130" i="33"/>
  <c r="B128" i="33"/>
  <c r="F45" i="33" s="1"/>
  <c r="H45" i="33"/>
  <c r="U45" i="33" s="1"/>
  <c r="B126" i="33"/>
  <c r="B98" i="33"/>
  <c r="F31" i="33"/>
  <c r="AA31" i="33" s="1"/>
  <c r="B96" i="33"/>
  <c r="F30" i="33" s="1"/>
  <c r="B94" i="33"/>
  <c r="B74" i="33"/>
  <c r="B72" i="33"/>
  <c r="B70" i="33"/>
  <c r="D96" i="35"/>
  <c r="E96" i="35" s="1"/>
  <c r="F96" i="35" s="1"/>
  <c r="G96" i="35" s="1"/>
  <c r="D94" i="35"/>
  <c r="F32" i="35" s="1"/>
  <c r="D84" i="35"/>
  <c r="E84" i="35" s="1"/>
  <c r="F84" i="35" s="1"/>
  <c r="G84" i="35" s="1"/>
  <c r="H84" i="35" s="1"/>
  <c r="I84" i="35" s="1"/>
  <c r="J84" i="35" s="1"/>
  <c r="K84" i="35" s="1"/>
  <c r="L84" i="35" s="1"/>
  <c r="M84" i="35" s="1"/>
  <c r="D80" i="35"/>
  <c r="D72" i="35"/>
  <c r="E72" i="35" s="1"/>
  <c r="F72" i="35" s="1"/>
  <c r="G72" i="35" s="1"/>
  <c r="D70" i="35"/>
  <c r="E70" i="35" s="1"/>
  <c r="D66" i="35"/>
  <c r="E66" i="35" s="1"/>
  <c r="D64" i="35"/>
  <c r="E64" i="35" s="1"/>
  <c r="F14" i="35" s="1"/>
  <c r="S14" i="35" s="1"/>
  <c r="F56" i="35"/>
  <c r="G56" i="35" s="1"/>
  <c r="H56" i="35" s="1"/>
  <c r="I56" i="35" s="1"/>
  <c r="C53" i="35"/>
  <c r="H9" i="35" s="1"/>
  <c r="AB9" i="35" s="1"/>
  <c r="P39" i="35"/>
  <c r="P38" i="35"/>
  <c r="V37" i="35"/>
  <c r="T37" i="35"/>
  <c r="R37" i="35"/>
  <c r="P37" i="35"/>
  <c r="Q36" i="35"/>
  <c r="Z36" i="35" s="1"/>
  <c r="J36" i="35"/>
  <c r="AC36" i="35"/>
  <c r="Q35" i="35"/>
  <c r="Z35" i="35" s="1"/>
  <c r="Q34" i="35"/>
  <c r="Z34" i="35" s="1"/>
  <c r="Q33" i="35"/>
  <c r="Z33" i="35" s="1"/>
  <c r="Q32" i="35"/>
  <c r="Z32" i="35"/>
  <c r="H32" i="35"/>
  <c r="AB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c r="H10" i="34"/>
  <c r="AB10" i="34"/>
  <c r="D126" i="34"/>
  <c r="E126" i="34"/>
  <c r="F126" i="34" s="1"/>
  <c r="G126" i="34"/>
  <c r="D124" i="34"/>
  <c r="E124" i="34" s="1"/>
  <c r="F124" i="34" s="1"/>
  <c r="G124" i="34" s="1"/>
  <c r="H124" i="34" s="1"/>
  <c r="I124" i="34"/>
  <c r="J124" i="34" s="1"/>
  <c r="K124" i="34" s="1"/>
  <c r="L124" i="34"/>
  <c r="M124" i="34" s="1"/>
  <c r="J43" i="34"/>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c r="G109" i="34" s="1"/>
  <c r="H109" i="34"/>
  <c r="I109" i="34" s="1"/>
  <c r="J109" i="34" s="1"/>
  <c r="K109" i="34" s="1"/>
  <c r="L109" i="34" s="1"/>
  <c r="M109" i="34"/>
  <c r="J36" i="34"/>
  <c r="D107" i="34"/>
  <c r="E107" i="34"/>
  <c r="F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s="1"/>
  <c r="H92" i="34" s="1"/>
  <c r="I92" i="34" s="1"/>
  <c r="J92" i="34" s="1"/>
  <c r="K92" i="34"/>
  <c r="L92" i="34" s="1"/>
  <c r="M92" i="34" s="1"/>
  <c r="B91" i="34"/>
  <c r="F28" i="34"/>
  <c r="AA28" i="34" s="1"/>
  <c r="S28" i="34"/>
  <c r="B89" i="34"/>
  <c r="J27" i="34" s="1"/>
  <c r="D88" i="34"/>
  <c r="E88" i="34"/>
  <c r="F88" i="34"/>
  <c r="G88" i="34" s="1"/>
  <c r="H88" i="34" s="1"/>
  <c r="I88" i="34" s="1"/>
  <c r="J88" i="34" s="1"/>
  <c r="K88" i="34" s="1"/>
  <c r="L88" i="34" s="1"/>
  <c r="M88" i="34" s="1"/>
  <c r="D86" i="34"/>
  <c r="E86" i="34" s="1"/>
  <c r="D82" i="34"/>
  <c r="E82" i="34" s="1"/>
  <c r="F82" i="34" s="1"/>
  <c r="G82" i="34" s="1"/>
  <c r="D80" i="34"/>
  <c r="D78" i="34"/>
  <c r="E78" i="34" s="1"/>
  <c r="D70" i="34"/>
  <c r="E70" i="34" s="1"/>
  <c r="F70" i="34" s="1"/>
  <c r="G70" i="34" s="1"/>
  <c r="H70" i="34" s="1"/>
  <c r="I70" i="34" s="1"/>
  <c r="J70" i="34"/>
  <c r="K70" i="34" s="1"/>
  <c r="L70" i="34"/>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H44" i="34"/>
  <c r="AB44" i="34" s="1"/>
  <c r="Q43" i="34"/>
  <c r="Z43" i="34" s="1"/>
  <c r="F43" i="34"/>
  <c r="Q42" i="34"/>
  <c r="Z42" i="34" s="1"/>
  <c r="Q41" i="34"/>
  <c r="Z41" i="34" s="1"/>
  <c r="Q40" i="34"/>
  <c r="Z40" i="34"/>
  <c r="F40" i="34"/>
  <c r="S40" i="34" s="1"/>
  <c r="Q39" i="34"/>
  <c r="Z39" i="34"/>
  <c r="J39" i="34"/>
  <c r="AC39" i="34" s="1"/>
  <c r="H39" i="34"/>
  <c r="U39" i="34" s="1"/>
  <c r="F39" i="34"/>
  <c r="Q38" i="34"/>
  <c r="Z38" i="34"/>
  <c r="Q37" i="34"/>
  <c r="Z37" i="34"/>
  <c r="Q36" i="34"/>
  <c r="Z36" i="34"/>
  <c r="Q35" i="34"/>
  <c r="Z35" i="34"/>
  <c r="Q34" i="34"/>
  <c r="Z34" i="34"/>
  <c r="J34" i="34"/>
  <c r="H34" i="34"/>
  <c r="AB34" i="34" s="1"/>
  <c r="F34" i="34"/>
  <c r="S34" i="34" s="1"/>
  <c r="AA34" i="34"/>
  <c r="Q33" i="34"/>
  <c r="Z33" i="34" s="1"/>
  <c r="Q32" i="34"/>
  <c r="Z32" i="34"/>
  <c r="Q31" i="34"/>
  <c r="Z31" i="34" s="1"/>
  <c r="Q30" i="34"/>
  <c r="Z30" i="34"/>
  <c r="Q29" i="34"/>
  <c r="Z29" i="34" s="1"/>
  <c r="Q28" i="34"/>
  <c r="Z28" i="34" s="1"/>
  <c r="Q27" i="34"/>
  <c r="Z27" i="34" s="1"/>
  <c r="Q25" i="34"/>
  <c r="Z25" i="34"/>
  <c r="Q23" i="34"/>
  <c r="Z23" i="34" s="1"/>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U9" i="34" s="1"/>
  <c r="AB9" i="34"/>
  <c r="F9" i="34"/>
  <c r="AA9" i="34"/>
  <c r="J8" i="34"/>
  <c r="W8" i="34" s="1"/>
  <c r="AC8" i="34"/>
  <c r="H8" i="34"/>
  <c r="U8" i="34"/>
  <c r="F8" i="34"/>
  <c r="AA8" i="34"/>
  <c r="C7" i="34"/>
  <c r="C59" i="34" s="1"/>
  <c r="D121" i="33"/>
  <c r="F109" i="33"/>
  <c r="E109" i="33"/>
  <c r="D109" i="33"/>
  <c r="C109" i="33"/>
  <c r="D91" i="33"/>
  <c r="E91" i="33"/>
  <c r="F91" i="33" s="1"/>
  <c r="G91" i="33" s="1"/>
  <c r="H91" i="33"/>
  <c r="I91" i="33" s="1"/>
  <c r="J91" i="33" s="1"/>
  <c r="K91" i="33" s="1"/>
  <c r="L91" i="33" s="1"/>
  <c r="M91" i="33"/>
  <c r="B88" i="33"/>
  <c r="J26" i="33"/>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c r="D115" i="33"/>
  <c r="E115" i="33" s="1"/>
  <c r="F115" i="33" s="1"/>
  <c r="G115" i="33" s="1"/>
  <c r="H115" i="33" s="1"/>
  <c r="I115" i="33" s="1"/>
  <c r="J115" i="33" s="1"/>
  <c r="K115" i="33" s="1"/>
  <c r="L115" i="33" s="1"/>
  <c r="M115" i="33" s="1"/>
  <c r="D108" i="33"/>
  <c r="E108" i="33"/>
  <c r="F108" i="33"/>
  <c r="G108" i="33" s="1"/>
  <c r="H108" i="33" s="1"/>
  <c r="I108" i="33" s="1"/>
  <c r="J108" i="33" s="1"/>
  <c r="K108" i="33"/>
  <c r="L108" i="33" s="1"/>
  <c r="M108" i="33"/>
  <c r="D106" i="33"/>
  <c r="M102" i="33"/>
  <c r="L102" i="33"/>
  <c r="K102" i="33"/>
  <c r="J102" i="33"/>
  <c r="I102" i="33"/>
  <c r="H102" i="33"/>
  <c r="G102" i="33"/>
  <c r="F102" i="33"/>
  <c r="E102" i="33"/>
  <c r="D102" i="33"/>
  <c r="C102" i="33"/>
  <c r="D101" i="33"/>
  <c r="E101" i="33" s="1"/>
  <c r="F101" i="33" s="1"/>
  <c r="G101" i="33"/>
  <c r="H101" i="33"/>
  <c r="I101" i="33"/>
  <c r="J101" i="33" s="1"/>
  <c r="K101" i="33" s="1"/>
  <c r="L101" i="33" s="1"/>
  <c r="M101" i="33" s="1"/>
  <c r="B92" i="33"/>
  <c r="B90" i="33"/>
  <c r="H27" i="33"/>
  <c r="U27" i="33"/>
  <c r="D87" i="33"/>
  <c r="E87" i="33"/>
  <c r="D85" i="33"/>
  <c r="E85" i="33"/>
  <c r="D81" i="33"/>
  <c r="E81" i="33"/>
  <c r="F81" i="33"/>
  <c r="G81" i="33"/>
  <c r="D79" i="33"/>
  <c r="E79" i="33"/>
  <c r="D77" i="33"/>
  <c r="E77" i="33"/>
  <c r="F77" i="33" s="1"/>
  <c r="G77" i="33"/>
  <c r="D69" i="33"/>
  <c r="E69" i="33"/>
  <c r="F69" i="33" s="1"/>
  <c r="G69" i="33"/>
  <c r="H69" i="33"/>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c r="Q40" i="33"/>
  <c r="Z40" i="33" s="1"/>
  <c r="J40" i="33"/>
  <c r="AC40" i="33" s="1"/>
  <c r="H40" i="33"/>
  <c r="AB40" i="33" s="1"/>
  <c r="Q39" i="33"/>
  <c r="Z39" i="33" s="1"/>
  <c r="J39" i="33"/>
  <c r="AC39" i="33" s="1"/>
  <c r="Q38" i="33"/>
  <c r="Z38" i="33"/>
  <c r="J38" i="33"/>
  <c r="H38" i="33"/>
  <c r="AB38" i="33"/>
  <c r="F38" i="33"/>
  <c r="AA38" i="33" s="1"/>
  <c r="Q37" i="33"/>
  <c r="Z37" i="33" s="1"/>
  <c r="Q36" i="33"/>
  <c r="Z36" i="33" s="1"/>
  <c r="Q35" i="33"/>
  <c r="Z35" i="33"/>
  <c r="H35" i="33"/>
  <c r="AB35" i="33" s="1"/>
  <c r="Q34" i="33"/>
  <c r="Z34" i="33"/>
  <c r="Q33" i="33"/>
  <c r="Z33" i="33" s="1"/>
  <c r="J33" i="33"/>
  <c r="AC33" i="33"/>
  <c r="H33" i="33"/>
  <c r="F33" i="33"/>
  <c r="AA33" i="33" s="1"/>
  <c r="Q32" i="33"/>
  <c r="Z32" i="33" s="1"/>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J9" i="33"/>
  <c r="AC9" i="33"/>
  <c r="H9" i="33"/>
  <c r="F9" i="33"/>
  <c r="AA9" i="33"/>
  <c r="J8" i="33"/>
  <c r="H8" i="33"/>
  <c r="F8" i="33"/>
  <c r="AA8" i="33" s="1"/>
  <c r="C7" i="33"/>
  <c r="C58" i="33" s="1"/>
  <c r="M102" i="21"/>
  <c r="D102" i="21"/>
  <c r="E102" i="21"/>
  <c r="F102" i="21"/>
  <c r="G102" i="21"/>
  <c r="H102" i="21"/>
  <c r="I102" i="21"/>
  <c r="J102" i="21"/>
  <c r="K102" i="21"/>
  <c r="L102" i="21"/>
  <c r="C102" i="21"/>
  <c r="C63" i="21"/>
  <c r="G18" i="20"/>
  <c r="B87" i="46" s="1"/>
  <c r="C25" i="40"/>
  <c r="G16" i="20"/>
  <c r="C19" i="40" s="1"/>
  <c r="B81" i="46"/>
  <c r="G15" i="20"/>
  <c r="B80" i="46"/>
  <c r="C24" i="20"/>
  <c r="B72" i="46"/>
  <c r="C21" i="20"/>
  <c r="B73" i="46"/>
  <c r="C20" i="20"/>
  <c r="C27" i="39" s="1"/>
  <c r="B76" i="46"/>
  <c r="C18" i="20"/>
  <c r="B70" i="46"/>
  <c r="C17" i="20"/>
  <c r="C21" i="39" s="1"/>
  <c r="B58" i="46"/>
  <c r="C16" i="20"/>
  <c r="B47" i="46"/>
  <c r="C15" i="20"/>
  <c r="B69" i="46"/>
  <c r="E54" i="21"/>
  <c r="F54" i="21" s="1"/>
  <c r="I54" i="21"/>
  <c r="J54" i="21" s="1"/>
  <c r="G54" i="21"/>
  <c r="H54" i="21" s="1"/>
  <c r="D125" i="21"/>
  <c r="E125" i="21" s="1"/>
  <c r="F125" i="21" s="1"/>
  <c r="G125" i="21" s="1"/>
  <c r="D123" i="21"/>
  <c r="E123" i="21" s="1"/>
  <c r="F123" i="21" s="1"/>
  <c r="H42" i="21"/>
  <c r="AB42" i="21" s="1"/>
  <c r="D119" i="21"/>
  <c r="E119" i="21" s="1"/>
  <c r="D117" i="21"/>
  <c r="E117" i="21" s="1"/>
  <c r="F117" i="21" s="1"/>
  <c r="G117" i="21" s="1"/>
  <c r="D115" i="2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D81" i="21"/>
  <c r="E81" i="21" s="1"/>
  <c r="D77" i="21"/>
  <c r="E77" i="21" s="1"/>
  <c r="B130" i="21"/>
  <c r="F46" i="21" s="1"/>
  <c r="AA46" i="21" s="1"/>
  <c r="B128" i="21"/>
  <c r="B126" i="21"/>
  <c r="F44" i="21" s="1"/>
  <c r="AA44" i="21" s="1"/>
  <c r="B98" i="21"/>
  <c r="H31" i="21" s="1"/>
  <c r="U31" i="21" s="1"/>
  <c r="B96" i="21"/>
  <c r="H30" i="21" s="1"/>
  <c r="U30" i="21" s="1"/>
  <c r="B94" i="21"/>
  <c r="B92" i="21"/>
  <c r="B90" i="21"/>
  <c r="H27" i="21" s="1"/>
  <c r="AB27" i="21" s="1"/>
  <c r="B74" i="21"/>
  <c r="B72" i="21"/>
  <c r="B70" i="21"/>
  <c r="F12" i="21"/>
  <c r="AA12" i="21" s="1"/>
  <c r="F10" i="21"/>
  <c r="AA10" i="21" s="1"/>
  <c r="C7" i="21"/>
  <c r="C58" i="21" s="1"/>
  <c r="C19" i="21"/>
  <c r="C17" i="21"/>
  <c r="C23" i="21"/>
  <c r="Q9" i="21"/>
  <c r="Z9" i="21"/>
  <c r="Q10" i="21"/>
  <c r="Z10" i="21"/>
  <c r="Q11" i="21"/>
  <c r="Z11" i="21"/>
  <c r="Q12" i="21"/>
  <c r="Z12" i="21" s="1"/>
  <c r="Q13" i="21"/>
  <c r="Z13" i="21" s="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c r="Q34" i="21"/>
  <c r="Z34" i="21" s="1"/>
  <c r="J35" i="21"/>
  <c r="W35" i="21" s="1"/>
  <c r="Q35" i="21"/>
  <c r="Z35" i="21"/>
  <c r="Q36" i="21"/>
  <c r="Z36" i="21"/>
  <c r="Q37" i="21"/>
  <c r="Z37" i="21"/>
  <c r="Q38" i="21"/>
  <c r="Z38" i="21"/>
  <c r="J39" i="21"/>
  <c r="AC39" i="21" s="1"/>
  <c r="Q39" i="21"/>
  <c r="Z39" i="21"/>
  <c r="Q40" i="21"/>
  <c r="Z40" i="21"/>
  <c r="Q41" i="21"/>
  <c r="Z41" i="21"/>
  <c r="Q42" i="21"/>
  <c r="Z42" i="21"/>
  <c r="Q43" i="21"/>
  <c r="Z43" i="2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H5" i="3" s="1"/>
  <c r="BI13" i="3"/>
  <c r="BI5" i="3" s="1"/>
  <c r="BJ13" i="3"/>
  <c r="BK13" i="3"/>
  <c r="BM13" i="3"/>
  <c r="BM5" i="3" s="1"/>
  <c r="BN13" i="3"/>
  <c r="BO13" i="3"/>
  <c r="BP13" i="3"/>
  <c r="BS13" i="3"/>
  <c r="BT13" i="3"/>
  <c r="BT5" i="3" s="1"/>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E9" i="6" s="1"/>
  <c r="AI5" i="3"/>
  <c r="AJ5" i="3"/>
  <c r="AK5" i="3"/>
  <c r="AM5" i="3"/>
  <c r="AN5" i="3"/>
  <c r="AO5" i="3"/>
  <c r="AP5" i="3"/>
  <c r="AQ5" i="3"/>
  <c r="AR5" i="3"/>
  <c r="AS5" i="3"/>
  <c r="AT5" i="3"/>
  <c r="I5" i="3"/>
  <c r="F19" i="6" s="1"/>
  <c r="E19" i="6" s="1"/>
  <c r="C9" i="12" s="1"/>
  <c r="L5" i="3"/>
  <c r="M5" i="3"/>
  <c r="N5" i="3"/>
  <c r="O5" i="3"/>
  <c r="P5" i="3"/>
  <c r="Q5" i="3"/>
  <c r="R5" i="3"/>
  <c r="S5" i="3"/>
  <c r="T5" i="3"/>
  <c r="U5" i="3"/>
  <c r="V5" i="3"/>
  <c r="W5" i="3"/>
  <c r="X5" i="3"/>
  <c r="Y5" i="3"/>
  <c r="Z5" i="3"/>
  <c r="AA5" i="3"/>
  <c r="AB5" i="3"/>
  <c r="H570" i="3"/>
  <c r="G570" i="3"/>
  <c r="H571" i="3"/>
  <c r="H572" i="3"/>
  <c r="F5" i="3"/>
  <c r="F34" i="21"/>
  <c r="H34" i="21"/>
  <c r="U34" i="21" s="1"/>
  <c r="F43" i="21"/>
  <c r="S43" i="21" s="1"/>
  <c r="H43" i="21"/>
  <c r="AB43" i="21" s="1"/>
  <c r="F32" i="21"/>
  <c r="AA32" i="21" s="1"/>
  <c r="F36" i="21"/>
  <c r="S36" i="21" s="1"/>
  <c r="F39" i="21"/>
  <c r="AA39" i="21" s="1"/>
  <c r="J40" i="21"/>
  <c r="W40" i="21" s="1"/>
  <c r="H35" i="21"/>
  <c r="AB35" i="21" s="1"/>
  <c r="J8" i="21"/>
  <c r="AC8" i="21" s="1"/>
  <c r="H8" i="21"/>
  <c r="AB8" i="21" s="1"/>
  <c r="H10" i="21"/>
  <c r="U10" i="21" s="1"/>
  <c r="H39" i="21"/>
  <c r="AB39" i="21" s="1"/>
  <c r="J34" i="21"/>
  <c r="W34" i="21" s="1"/>
  <c r="H36" i="21"/>
  <c r="U36" i="21" s="1"/>
  <c r="F35" i="21"/>
  <c r="AA35" i="21" s="1"/>
  <c r="J33" i="21"/>
  <c r="W33" i="21" s="1"/>
  <c r="H33" i="21"/>
  <c r="U33" i="21" s="1"/>
  <c r="F33" i="21"/>
  <c r="AA33" i="21" s="1"/>
  <c r="J10" i="21"/>
  <c r="AC10" i="21" s="1"/>
  <c r="H26" i="21"/>
  <c r="AB26" i="21" s="1"/>
  <c r="J12" i="21"/>
  <c r="H12" i="21"/>
  <c r="J26" i="21"/>
  <c r="W26" i="21"/>
  <c r="F26" i="21"/>
  <c r="AA26" i="21"/>
  <c r="S41" i="21"/>
  <c r="AA41" i="21"/>
  <c r="W41" i="21"/>
  <c r="S10" i="39"/>
  <c r="U30" i="37"/>
  <c r="E103" i="37"/>
  <c r="F103" i="37" s="1"/>
  <c r="G103" i="37" s="1"/>
  <c r="H103" i="37" s="1"/>
  <c r="I103" i="37" s="1"/>
  <c r="F39" i="37"/>
  <c r="S39" i="37"/>
  <c r="W39" i="37"/>
  <c r="F29" i="36"/>
  <c r="AA29" i="36" s="1"/>
  <c r="U22" i="36"/>
  <c r="W22" i="36"/>
  <c r="AC31" i="36"/>
  <c r="AC27" i="35"/>
  <c r="W36" i="35"/>
  <c r="S31" i="35"/>
  <c r="W31" i="35"/>
  <c r="F36" i="34"/>
  <c r="S36" i="34"/>
  <c r="W9" i="34"/>
  <c r="W39" i="34"/>
  <c r="H39" i="33"/>
  <c r="AB39" i="33"/>
  <c r="F26" i="33"/>
  <c r="AA26" i="33"/>
  <c r="S40" i="33"/>
  <c r="S33" i="33"/>
  <c r="W33" i="33"/>
  <c r="U38" i="33"/>
  <c r="H39" i="37"/>
  <c r="S10" i="40"/>
  <c r="W10" i="40"/>
  <c r="S11" i="40"/>
  <c r="U11" i="40"/>
  <c r="S36" i="40"/>
  <c r="U36" i="40"/>
  <c r="S36" i="39"/>
  <c r="C29" i="39"/>
  <c r="C23" i="39"/>
  <c r="U36" i="39"/>
  <c r="H32" i="33"/>
  <c r="AB32" i="33" s="1"/>
  <c r="J30" i="35"/>
  <c r="W30" i="35" s="1"/>
  <c r="F22" i="35"/>
  <c r="AA22" i="35" s="1"/>
  <c r="H10" i="35"/>
  <c r="J29" i="36"/>
  <c r="AC29" i="36" s="1"/>
  <c r="F12" i="36"/>
  <c r="AB8" i="36"/>
  <c r="W8" i="35"/>
  <c r="F35" i="37"/>
  <c r="E101" i="37"/>
  <c r="F101" i="37"/>
  <c r="G101" i="37"/>
  <c r="H101" i="37" s="1"/>
  <c r="I101" i="37" s="1"/>
  <c r="J101" i="37" s="1"/>
  <c r="K101" i="37"/>
  <c r="L101" i="37" s="1"/>
  <c r="M101" i="37" s="1"/>
  <c r="J34" i="37"/>
  <c r="W34" i="37"/>
  <c r="AA39" i="37"/>
  <c r="H43" i="34"/>
  <c r="U42" i="34"/>
  <c r="E114" i="34"/>
  <c r="H36" i="34"/>
  <c r="U36" i="34"/>
  <c r="F37" i="34"/>
  <c r="AA37" i="34"/>
  <c r="F33" i="34"/>
  <c r="S33" i="34"/>
  <c r="F19" i="34"/>
  <c r="AA19" i="34" s="1"/>
  <c r="J10" i="34"/>
  <c r="W10" i="34" s="1"/>
  <c r="J28" i="34"/>
  <c r="AC28" i="34" s="1"/>
  <c r="W28" i="34"/>
  <c r="S38" i="33"/>
  <c r="E113" i="33"/>
  <c r="F36" i="33"/>
  <c r="AA36" i="33" s="1"/>
  <c r="S36" i="33"/>
  <c r="F19" i="33"/>
  <c r="S19" i="33" s="1"/>
  <c r="J19" i="33"/>
  <c r="W40" i="33"/>
  <c r="H29" i="35"/>
  <c r="U34" i="37"/>
  <c r="AC43" i="34"/>
  <c r="AB42" i="34"/>
  <c r="W36" i="34"/>
  <c r="J19" i="34"/>
  <c r="AC19" i="34" s="1"/>
  <c r="F113" i="33"/>
  <c r="G113" i="33" s="1"/>
  <c r="H113" i="33"/>
  <c r="I113" i="33"/>
  <c r="J113" i="33" s="1"/>
  <c r="K113" i="33" s="1"/>
  <c r="L113" i="33" s="1"/>
  <c r="M113" i="33" s="1"/>
  <c r="H37" i="33"/>
  <c r="S37" i="33"/>
  <c r="W43" i="34"/>
  <c r="AA42" i="34"/>
  <c r="S42" i="34"/>
  <c r="S38" i="34"/>
  <c r="J37" i="33"/>
  <c r="J44" i="34"/>
  <c r="AC44" i="34"/>
  <c r="F44" i="34"/>
  <c r="J10" i="35"/>
  <c r="W10" i="35" s="1"/>
  <c r="AL5" i="3"/>
  <c r="BQ13" i="3"/>
  <c r="J14" i="21"/>
  <c r="H28" i="21"/>
  <c r="AB28" i="21" s="1"/>
  <c r="F28" i="21"/>
  <c r="AA28" i="21" s="1"/>
  <c r="J28" i="21"/>
  <c r="AC28" i="21" s="1"/>
  <c r="F30" i="21"/>
  <c r="J44" i="21"/>
  <c r="AC44" i="21" s="1"/>
  <c r="H44" i="21"/>
  <c r="H46" i="21"/>
  <c r="H26" i="33"/>
  <c r="U26" i="33"/>
  <c r="H28" i="33"/>
  <c r="F28" i="33"/>
  <c r="AA28" i="33" s="1"/>
  <c r="J28" i="33"/>
  <c r="AC28" i="33" s="1"/>
  <c r="W28" i="33"/>
  <c r="F33" i="35"/>
  <c r="S33" i="35" s="1"/>
  <c r="F30" i="35"/>
  <c r="AA30" i="35" s="1"/>
  <c r="E89" i="35"/>
  <c r="F89" i="35"/>
  <c r="G89" i="35" s="1"/>
  <c r="H89" i="35" s="1"/>
  <c r="I89" i="35" s="1"/>
  <c r="J89" i="35" s="1"/>
  <c r="K89" i="35" s="1"/>
  <c r="L89" i="35" s="1"/>
  <c r="M89" i="35" s="1"/>
  <c r="H10" i="36"/>
  <c r="AB10" i="36" s="1"/>
  <c r="F28" i="36"/>
  <c r="S28" i="36" s="1"/>
  <c r="H13" i="21"/>
  <c r="U13" i="21" s="1"/>
  <c r="J13" i="21"/>
  <c r="AC13" i="21" s="1"/>
  <c r="F13" i="21"/>
  <c r="AA13" i="21" s="1"/>
  <c r="J27" i="21"/>
  <c r="W27" i="21" s="1"/>
  <c r="F27" i="21"/>
  <c r="J29" i="21"/>
  <c r="AC29" i="21" s="1"/>
  <c r="H29" i="21"/>
  <c r="U29" i="21" s="1"/>
  <c r="F29" i="21"/>
  <c r="S29" i="21" s="1"/>
  <c r="J31" i="21"/>
  <c r="AC31" i="21" s="1"/>
  <c r="F31" i="21"/>
  <c r="S31" i="21" s="1"/>
  <c r="J45" i="21"/>
  <c r="W45" i="21" s="1"/>
  <c r="F45" i="21"/>
  <c r="AA45" i="21" s="1"/>
  <c r="H45" i="21"/>
  <c r="U45" i="21" s="1"/>
  <c r="J27" i="33"/>
  <c r="F27" i="33"/>
  <c r="F13" i="33"/>
  <c r="AA13" i="33" s="1"/>
  <c r="S13" i="33"/>
  <c r="J31" i="33"/>
  <c r="AC31" i="33"/>
  <c r="H31" i="33"/>
  <c r="U31" i="33" s="1"/>
  <c r="S31" i="33"/>
  <c r="J45" i="33"/>
  <c r="W45" i="33"/>
  <c r="S45" i="33"/>
  <c r="H28" i="36"/>
  <c r="U28" i="36" s="1"/>
  <c r="J32" i="36"/>
  <c r="H13" i="36"/>
  <c r="AB13" i="36"/>
  <c r="J13" i="36"/>
  <c r="E89" i="37"/>
  <c r="F89" i="37" s="1"/>
  <c r="G89" i="37" s="1"/>
  <c r="H89" i="37" s="1"/>
  <c r="I89" i="37" s="1"/>
  <c r="J89" i="37" s="1"/>
  <c r="K89" i="37" s="1"/>
  <c r="L89" i="37" s="1"/>
  <c r="M89" i="37" s="1"/>
  <c r="J29" i="37"/>
  <c r="W29" i="37"/>
  <c r="F29" i="37"/>
  <c r="AA29" i="37" s="1"/>
  <c r="AB36" i="37"/>
  <c r="F107" i="37"/>
  <c r="G107" i="37" s="1"/>
  <c r="H107" i="37" s="1"/>
  <c r="I107" i="37" s="1"/>
  <c r="J37" i="37"/>
  <c r="H37" i="37"/>
  <c r="U37" i="37"/>
  <c r="H40" i="37"/>
  <c r="H14" i="33"/>
  <c r="U14" i="33"/>
  <c r="F14" i="33"/>
  <c r="AA14" i="33"/>
  <c r="J14" i="33"/>
  <c r="AC14" i="33"/>
  <c r="S30" i="33"/>
  <c r="J30" i="33"/>
  <c r="AC30" i="33" s="1"/>
  <c r="F44" i="33"/>
  <c r="S44" i="33" s="1"/>
  <c r="J46" i="33"/>
  <c r="W46" i="33" s="1"/>
  <c r="AC46" i="33"/>
  <c r="F46" i="33"/>
  <c r="AA46" i="33" s="1"/>
  <c r="H46" i="33"/>
  <c r="AB46" i="33" s="1"/>
  <c r="H13" i="34"/>
  <c r="U13" i="34" s="1"/>
  <c r="J13" i="34"/>
  <c r="W13" i="34"/>
  <c r="J29" i="34"/>
  <c r="AC29" i="34"/>
  <c r="F29" i="34"/>
  <c r="H29" i="34"/>
  <c r="U29" i="34"/>
  <c r="J31" i="34"/>
  <c r="H31" i="34"/>
  <c r="AB31" i="34" s="1"/>
  <c r="F31" i="34"/>
  <c r="S31" i="34" s="1"/>
  <c r="H45" i="34"/>
  <c r="U45" i="34"/>
  <c r="J45" i="34"/>
  <c r="W45" i="34" s="1"/>
  <c r="F45" i="34"/>
  <c r="S45" i="34" s="1"/>
  <c r="AA45" i="34"/>
  <c r="H47" i="34"/>
  <c r="J47" i="34"/>
  <c r="AC47" i="34" s="1"/>
  <c r="J13" i="35"/>
  <c r="AC13" i="35" s="1"/>
  <c r="J25" i="35"/>
  <c r="AC25" i="35" s="1"/>
  <c r="F25" i="35"/>
  <c r="AA25" i="35" s="1"/>
  <c r="H25" i="35"/>
  <c r="AB25" i="35" s="1"/>
  <c r="J35" i="35"/>
  <c r="AC35" i="35" s="1"/>
  <c r="F35" i="35"/>
  <c r="S35" i="35" s="1"/>
  <c r="H35" i="35"/>
  <c r="U35" i="35" s="1"/>
  <c r="J25" i="36"/>
  <c r="W25" i="36" s="1"/>
  <c r="F25" i="36"/>
  <c r="H25" i="36"/>
  <c r="AB25" i="36" s="1"/>
  <c r="H13" i="37"/>
  <c r="AB13" i="37" s="1"/>
  <c r="J13" i="37"/>
  <c r="AC13" i="37"/>
  <c r="F28" i="37"/>
  <c r="H38" i="37"/>
  <c r="AB38" i="37" s="1"/>
  <c r="F38" i="37"/>
  <c r="S38" i="37"/>
  <c r="F14" i="37"/>
  <c r="AA14" i="37" s="1"/>
  <c r="F27" i="37"/>
  <c r="AA27" i="37"/>
  <c r="J14" i="37"/>
  <c r="W14" i="37" s="1"/>
  <c r="J27" i="37"/>
  <c r="W27" i="37"/>
  <c r="AA38" i="37"/>
  <c r="J36" i="37"/>
  <c r="AC36" i="37" s="1"/>
  <c r="G105" i="37"/>
  <c r="AB31" i="21"/>
  <c r="AB30" i="21"/>
  <c r="S46" i="33"/>
  <c r="U36" i="37"/>
  <c r="AB45" i="33"/>
  <c r="AB31" i="33"/>
  <c r="AB27" i="33"/>
  <c r="U28" i="21"/>
  <c r="G529" i="3"/>
  <c r="G508" i="3"/>
  <c r="G499" i="3"/>
  <c r="G493" i="3"/>
  <c r="G565" i="3"/>
  <c r="G561" i="3"/>
  <c r="G549" i="3"/>
  <c r="G545" i="3"/>
  <c r="BL561" i="3"/>
  <c r="BL545" i="3"/>
  <c r="BL535" i="3"/>
  <c r="BL527" i="3"/>
  <c r="BL491" i="3"/>
  <c r="G16" i="3"/>
  <c r="BL559" i="3"/>
  <c r="BL555" i="3"/>
  <c r="BL551" i="3"/>
  <c r="G518" i="3"/>
  <c r="G514" i="3"/>
  <c r="BL485" i="3"/>
  <c r="BA569" i="3"/>
  <c r="BA561" i="3"/>
  <c r="BA559" i="3"/>
  <c r="AZ559" i="3" s="1"/>
  <c r="BA557" i="3"/>
  <c r="BA551" i="3"/>
  <c r="AZ551" i="3"/>
  <c r="BA541" i="3"/>
  <c r="AZ541" i="3"/>
  <c r="BA493" i="3"/>
  <c r="BA562" i="3"/>
  <c r="AZ562" i="3" s="1"/>
  <c r="BA556" i="3"/>
  <c r="BA554" i="3"/>
  <c r="BA544" i="3"/>
  <c r="BA536" i="3"/>
  <c r="BA532" i="3"/>
  <c r="BA516" i="3"/>
  <c r="BA492" i="3"/>
  <c r="AZ492" i="3" s="1"/>
  <c r="BA20" i="3"/>
  <c r="G566" i="3"/>
  <c r="G562" i="3"/>
  <c r="G560" i="3"/>
  <c r="G558" i="3"/>
  <c r="G554" i="3"/>
  <c r="G550" i="3"/>
  <c r="G546" i="3"/>
  <c r="BA542" i="3"/>
  <c r="AC542" i="3"/>
  <c r="BQ542" i="3"/>
  <c r="BQ568" i="3"/>
  <c r="BQ566" i="3"/>
  <c r="BQ564" i="3"/>
  <c r="BQ562" i="3"/>
  <c r="BL562" i="3"/>
  <c r="BQ560" i="3"/>
  <c r="BQ558" i="3"/>
  <c r="BL558" i="3"/>
  <c r="BQ556" i="3"/>
  <c r="BQ554" i="3"/>
  <c r="BQ552" i="3"/>
  <c r="BQ550" i="3"/>
  <c r="BL550" i="3"/>
  <c r="BQ548" i="3"/>
  <c r="BQ546" i="3"/>
  <c r="BQ544" i="3"/>
  <c r="BL544" i="3"/>
  <c r="G544" i="3"/>
  <c r="G534" i="3"/>
  <c r="G526" i="3"/>
  <c r="BQ540" i="3"/>
  <c r="BQ538" i="3"/>
  <c r="BL538" i="3"/>
  <c r="BQ536" i="3"/>
  <c r="BQ534" i="3"/>
  <c r="BQ532" i="3"/>
  <c r="BL532" i="3"/>
  <c r="BQ530" i="3"/>
  <c r="BQ528" i="3"/>
  <c r="BQ526" i="3"/>
  <c r="BL526" i="3"/>
  <c r="BQ524" i="3"/>
  <c r="BQ522" i="3"/>
  <c r="BQ520" i="3"/>
  <c r="BQ518" i="3"/>
  <c r="BQ516" i="3"/>
  <c r="BL516" i="3"/>
  <c r="BQ514" i="3"/>
  <c r="BQ512" i="3"/>
  <c r="BQ510" i="3"/>
  <c r="BQ508" i="3"/>
  <c r="AC506" i="3"/>
  <c r="BQ506" i="3"/>
  <c r="G502" i="3"/>
  <c r="BQ504" i="3"/>
  <c r="BQ502" i="3"/>
  <c r="BL502" i="3"/>
  <c r="BQ500" i="3"/>
  <c r="BQ498" i="3"/>
  <c r="BQ496" i="3"/>
  <c r="AC494" i="3"/>
  <c r="BQ494" i="3"/>
  <c r="G492" i="3"/>
  <c r="G488" i="3"/>
  <c r="BQ492" i="3"/>
  <c r="BL492" i="3"/>
  <c r="BQ490" i="3"/>
  <c r="BQ488" i="3"/>
  <c r="BQ486" i="3"/>
  <c r="BL486" i="3" s="1"/>
  <c r="BQ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c r="H17" i="37"/>
  <c r="U17" i="37"/>
  <c r="F23" i="37"/>
  <c r="S23" i="37"/>
  <c r="AB27" i="37"/>
  <c r="F39" i="33"/>
  <c r="AA39" i="33"/>
  <c r="F42" i="33"/>
  <c r="H28" i="34"/>
  <c r="AB28" i="34"/>
  <c r="F22" i="36"/>
  <c r="S22" i="36" s="1"/>
  <c r="H35" i="34"/>
  <c r="U35" i="34"/>
  <c r="F41" i="34"/>
  <c r="H41" i="34"/>
  <c r="U41" i="34"/>
  <c r="J41" i="34"/>
  <c r="F10" i="35"/>
  <c r="AA10" i="35" s="1"/>
  <c r="F24" i="35"/>
  <c r="AA24" i="35" s="1"/>
  <c r="H24" i="35"/>
  <c r="AB24" i="35" s="1"/>
  <c r="H23" i="37"/>
  <c r="AB23" i="37" s="1"/>
  <c r="J32" i="37"/>
  <c r="AC32" i="37"/>
  <c r="F36" i="37"/>
  <c r="S36" i="37" s="1"/>
  <c r="F37" i="37"/>
  <c r="AA37" i="37"/>
  <c r="U23" i="37"/>
  <c r="H42" i="33"/>
  <c r="U42" i="33"/>
  <c r="J43" i="33"/>
  <c r="AC43" i="33" s="1"/>
  <c r="J23" i="37"/>
  <c r="AC23" i="37" s="1"/>
  <c r="W23" i="37"/>
  <c r="F17" i="37"/>
  <c r="AA17" i="37"/>
  <c r="AB43" i="33"/>
  <c r="AC12" i="35"/>
  <c r="S27" i="37"/>
  <c r="AC8" i="37"/>
  <c r="AC36" i="34"/>
  <c r="AB8" i="34"/>
  <c r="AC45" i="33"/>
  <c r="S39" i="33"/>
  <c r="F43" i="33"/>
  <c r="AA43" i="33"/>
  <c r="AA23" i="37"/>
  <c r="J107" i="37"/>
  <c r="K107" i="37" s="1"/>
  <c r="L107" i="37" s="1"/>
  <c r="M107" i="37" s="1"/>
  <c r="H19" i="34"/>
  <c r="AB19" i="34" s="1"/>
  <c r="J10" i="37"/>
  <c r="AC10" i="37" s="1"/>
  <c r="W10" i="37"/>
  <c r="F36" i="35"/>
  <c r="S36" i="35" s="1"/>
  <c r="J9" i="37"/>
  <c r="W9" i="37"/>
  <c r="H9" i="37"/>
  <c r="U9" i="37" s="1"/>
  <c r="F9" i="37"/>
  <c r="S9" i="37"/>
  <c r="F11" i="37"/>
  <c r="S11" i="37" s="1"/>
  <c r="H12" i="37"/>
  <c r="AB12" i="37" s="1"/>
  <c r="H15" i="37"/>
  <c r="U15" i="37"/>
  <c r="F31" i="37"/>
  <c r="H94" i="37"/>
  <c r="I94" i="37"/>
  <c r="J94" i="37" s="1"/>
  <c r="K94" i="37" s="1"/>
  <c r="L94" i="37" s="1"/>
  <c r="M94" i="37"/>
  <c r="H31" i="37"/>
  <c r="J15" i="37"/>
  <c r="W15" i="37"/>
  <c r="J11" i="37"/>
  <c r="W11" i="37" s="1"/>
  <c r="F21" i="40"/>
  <c r="S21" i="40"/>
  <c r="W36" i="40"/>
  <c r="J21" i="40"/>
  <c r="AC21" i="40"/>
  <c r="G90" i="40"/>
  <c r="S27" i="31"/>
  <c r="G507" i="3"/>
  <c r="G501" i="3"/>
  <c r="BL17" i="3"/>
  <c r="BL15" i="3"/>
  <c r="J57" i="39"/>
  <c r="H13" i="40"/>
  <c r="H12" i="48"/>
  <c r="I4" i="4"/>
  <c r="K141" i="21"/>
  <c r="K143" i="21"/>
  <c r="K144" i="21"/>
  <c r="I59" i="40"/>
  <c r="C59" i="40" s="1"/>
  <c r="I60" i="40"/>
  <c r="C60" i="40" s="1"/>
  <c r="W9" i="33"/>
  <c r="G297" i="3"/>
  <c r="BL298" i="3"/>
  <c r="G299" i="3"/>
  <c r="BL300" i="3"/>
  <c r="AZ300" i="3" s="1"/>
  <c r="BA302" i="3"/>
  <c r="AZ302" i="3" s="1"/>
  <c r="BA303" i="3"/>
  <c r="BL303" i="3"/>
  <c r="G304" i="3"/>
  <c r="BA305" i="3"/>
  <c r="G321" i="3"/>
  <c r="BL322" i="3"/>
  <c r="G323" i="3"/>
  <c r="BL324" i="3"/>
  <c r="BA326" i="3"/>
  <c r="AZ326" i="3" s="1"/>
  <c r="BA327" i="3"/>
  <c r="BL327" i="3"/>
  <c r="AZ327" i="3" s="1"/>
  <c r="G328" i="3"/>
  <c r="BA329" i="3"/>
  <c r="AZ329" i="3"/>
  <c r="G337" i="3"/>
  <c r="BL338" i="3"/>
  <c r="G339" i="3"/>
  <c r="BL340" i="3"/>
  <c r="AZ340" i="3" s="1"/>
  <c r="BA342" i="3"/>
  <c r="AZ342" i="3" s="1"/>
  <c r="BA343" i="3"/>
  <c r="BL343" i="3"/>
  <c r="AZ343" i="3"/>
  <c r="G344" i="3"/>
  <c r="BA345" i="3"/>
  <c r="AZ345" i="3"/>
  <c r="G353" i="3"/>
  <c r="BL354" i="3"/>
  <c r="G355" i="3"/>
  <c r="BL356" i="3"/>
  <c r="AZ356" i="3" s="1"/>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BL115" i="3"/>
  <c r="AZ115" i="3"/>
  <c r="G116" i="3"/>
  <c r="BA118" i="3"/>
  <c r="AZ118" i="3"/>
  <c r="BL119" i="3"/>
  <c r="G120" i="3"/>
  <c r="BA122" i="3"/>
  <c r="AZ122" i="3"/>
  <c r="BL123" i="3"/>
  <c r="G124" i="3"/>
  <c r="BA126" i="3"/>
  <c r="AZ126" i="3"/>
  <c r="BL127" i="3"/>
  <c r="G128" i="3"/>
  <c r="BA130" i="3"/>
  <c r="BL131" i="3"/>
  <c r="AZ131" i="3"/>
  <c r="G132" i="3"/>
  <c r="BA134" i="3"/>
  <c r="AZ134" i="3" s="1"/>
  <c r="BL135" i="3"/>
  <c r="G136" i="3"/>
  <c r="BA138" i="3"/>
  <c r="AZ138" i="3"/>
  <c r="BL139" i="3"/>
  <c r="G140" i="3"/>
  <c r="BA142" i="3"/>
  <c r="AZ142" i="3"/>
  <c r="BL143" i="3"/>
  <c r="G144" i="3"/>
  <c r="BA146" i="3"/>
  <c r="AZ146" i="3"/>
  <c r="BL147" i="3"/>
  <c r="G148" i="3"/>
  <c r="BA150" i="3"/>
  <c r="BL151" i="3"/>
  <c r="AZ151" i="3"/>
  <c r="BA153" i="3"/>
  <c r="BL154" i="3"/>
  <c r="G155" i="3"/>
  <c r="BA157" i="3"/>
  <c r="AZ157" i="3"/>
  <c r="BL158" i="3"/>
  <c r="G159" i="3"/>
  <c r="BA161" i="3"/>
  <c r="AZ161" i="3"/>
  <c r="BL162" i="3"/>
  <c r="G163" i="3"/>
  <c r="BA165" i="3"/>
  <c r="BL166" i="3"/>
  <c r="G167" i="3"/>
  <c r="BA169" i="3"/>
  <c r="AZ169" i="3"/>
  <c r="BL170" i="3"/>
  <c r="G171" i="3"/>
  <c r="BA173" i="3"/>
  <c r="AZ173" i="3"/>
  <c r="BL174" i="3"/>
  <c r="G175" i="3"/>
  <c r="BA178" i="3"/>
  <c r="AZ178" i="3"/>
  <c r="BL179" i="3"/>
  <c r="G180" i="3"/>
  <c r="AZ51" i="3"/>
  <c r="G537" i="3"/>
  <c r="BL181" i="3"/>
  <c r="AZ181" i="3"/>
  <c r="G182" i="3"/>
  <c r="BA184" i="3"/>
  <c r="AZ184" i="3" s="1"/>
  <c r="BL185" i="3"/>
  <c r="G186" i="3"/>
  <c r="BA188" i="3"/>
  <c r="BL189" i="3"/>
  <c r="G190" i="3"/>
  <c r="BA192" i="3"/>
  <c r="AZ192" i="3"/>
  <c r="BL193" i="3"/>
  <c r="AZ193" i="3"/>
  <c r="G194" i="3"/>
  <c r="BA196" i="3"/>
  <c r="BL197" i="3"/>
  <c r="AZ197" i="3" s="1"/>
  <c r="G198" i="3"/>
  <c r="BA200" i="3"/>
  <c r="BL201" i="3"/>
  <c r="AZ66" i="3"/>
  <c r="AZ82" i="3"/>
  <c r="AZ185" i="3"/>
  <c r="AZ201" i="3"/>
  <c r="AZ84" i="3"/>
  <c r="AZ90" i="3"/>
  <c r="AZ98" i="3"/>
  <c r="AZ102" i="3"/>
  <c r="AZ106" i="3"/>
  <c r="AZ110" i="3"/>
  <c r="BA298" i="3"/>
  <c r="AZ298" i="3"/>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AZ339" i="3" s="1"/>
  <c r="BL339" i="3"/>
  <c r="G340" i="3"/>
  <c r="G343" i="3"/>
  <c r="BL344" i="3"/>
  <c r="AZ344" i="3" s="1"/>
  <c r="BA346" i="3"/>
  <c r="BA347" i="3"/>
  <c r="BL347" i="3"/>
  <c r="G348" i="3"/>
  <c r="G351" i="3"/>
  <c r="BL352" i="3"/>
  <c r="BA354" i="3"/>
  <c r="BA355" i="3"/>
  <c r="AZ355" i="3" s="1"/>
  <c r="BL355" i="3"/>
  <c r="G356" i="3"/>
  <c r="AZ143" i="3"/>
  <c r="BA358" i="3"/>
  <c r="AZ358" i="3" s="1"/>
  <c r="BA359" i="3"/>
  <c r="AZ359" i="3" s="1"/>
  <c r="BL359" i="3"/>
  <c r="G360" i="3"/>
  <c r="G361" i="3"/>
  <c r="BL362" i="3"/>
  <c r="AZ362" i="3" s="1"/>
  <c r="BA364" i="3"/>
  <c r="AZ364" i="3" s="1"/>
  <c r="BA365" i="3"/>
  <c r="BL365" i="3"/>
  <c r="AZ365" i="3" s="1"/>
  <c r="G366" i="3"/>
  <c r="G369" i="3"/>
  <c r="BL370" i="3"/>
  <c r="AZ370" i="3"/>
  <c r="BA372" i="3"/>
  <c r="AZ372" i="3"/>
  <c r="BA373" i="3"/>
  <c r="BL373" i="3"/>
  <c r="G374" i="3"/>
  <c r="G377" i="3"/>
  <c r="BL378" i="3"/>
  <c r="BA380" i="3"/>
  <c r="AZ380" i="3"/>
  <c r="BA381" i="3"/>
  <c r="AZ381" i="3"/>
  <c r="BL381" i="3"/>
  <c r="G382" i="3"/>
  <c r="G385" i="3"/>
  <c r="AZ154" i="3"/>
  <c r="AZ158" i="3"/>
  <c r="AZ162" i="3"/>
  <c r="AZ166" i="3"/>
  <c r="AZ170" i="3"/>
  <c r="AZ179" i="3"/>
  <c r="AZ183" i="3"/>
  <c r="AZ191" i="3"/>
  <c r="AZ195" i="3"/>
  <c r="AZ199" i="3"/>
  <c r="BL297" i="3"/>
  <c r="AZ297" i="3"/>
  <c r="G298" i="3"/>
  <c r="BA300" i="3"/>
  <c r="BL301" i="3"/>
  <c r="AZ301" i="3"/>
  <c r="G302" i="3"/>
  <c r="BA304" i="3"/>
  <c r="AZ304" i="3"/>
  <c r="BL305" i="3"/>
  <c r="AZ305" i="3" s="1"/>
  <c r="G306" i="3"/>
  <c r="BA308" i="3"/>
  <c r="BL309" i="3"/>
  <c r="G310" i="3"/>
  <c r="BA310" i="3"/>
  <c r="AZ310" i="3"/>
  <c r="BL311" i="3"/>
  <c r="G312" i="3"/>
  <c r="BA312" i="3"/>
  <c r="AZ312" i="3"/>
  <c r="BL313" i="3"/>
  <c r="G314" i="3"/>
  <c r="BA314" i="3"/>
  <c r="AZ314" i="3"/>
  <c r="BL315" i="3"/>
  <c r="G316" i="3"/>
  <c r="BA316" i="3"/>
  <c r="AZ316" i="3"/>
  <c r="BL317" i="3"/>
  <c r="AZ317" i="3" s="1"/>
  <c r="G318" i="3"/>
  <c r="BA320" i="3"/>
  <c r="AZ320" i="3"/>
  <c r="BL321" i="3"/>
  <c r="AZ321" i="3" s="1"/>
  <c r="G322" i="3"/>
  <c r="BA324" i="3"/>
  <c r="AZ324" i="3"/>
  <c r="BL325" i="3"/>
  <c r="AZ325" i="3" s="1"/>
  <c r="G326" i="3"/>
  <c r="BA328" i="3"/>
  <c r="AZ328" i="3"/>
  <c r="BL329" i="3"/>
  <c r="G330" i="3"/>
  <c r="BA332" i="3"/>
  <c r="BL333" i="3"/>
  <c r="AZ333" i="3" s="1"/>
  <c r="G334" i="3"/>
  <c r="BA336" i="3"/>
  <c r="AZ336" i="3"/>
  <c r="BL337" i="3"/>
  <c r="G338" i="3"/>
  <c r="BA340" i="3"/>
  <c r="BL341" i="3"/>
  <c r="AZ341" i="3" s="1"/>
  <c r="G342" i="3"/>
  <c r="BA344" i="3"/>
  <c r="BL345" i="3"/>
  <c r="G346" i="3"/>
  <c r="BA348" i="3"/>
  <c r="BL349" i="3"/>
  <c r="AZ349" i="3" s="1"/>
  <c r="G350" i="3"/>
  <c r="BA352" i="3"/>
  <c r="AZ352" i="3"/>
  <c r="BL353" i="3"/>
  <c r="AZ353" i="3" s="1"/>
  <c r="G354" i="3"/>
  <c r="BA356" i="3"/>
  <c r="BL357" i="3"/>
  <c r="G358" i="3"/>
  <c r="BA362" i="3"/>
  <c r="BL363" i="3"/>
  <c r="G364" i="3"/>
  <c r="BA366" i="3"/>
  <c r="AZ366" i="3"/>
  <c r="BL367" i="3"/>
  <c r="AZ209" i="3"/>
  <c r="AZ217" i="3"/>
  <c r="AZ221" i="3"/>
  <c r="AZ225" i="3"/>
  <c r="AZ229" i="3"/>
  <c r="AZ233" i="3"/>
  <c r="AZ241" i="3"/>
  <c r="AZ309" i="3"/>
  <c r="AZ337" i="3"/>
  <c r="AZ357" i="3"/>
  <c r="G368" i="3"/>
  <c r="BA370" i="3"/>
  <c r="BL371" i="3"/>
  <c r="AZ371" i="3"/>
  <c r="G372" i="3"/>
  <c r="BA374" i="3"/>
  <c r="BL375" i="3"/>
  <c r="AZ375" i="3" s="1"/>
  <c r="G376" i="3"/>
  <c r="BA378" i="3"/>
  <c r="BL379" i="3"/>
  <c r="AZ379" i="3"/>
  <c r="G380" i="3"/>
  <c r="BA382" i="3"/>
  <c r="AZ382" i="3"/>
  <c r="BL383" i="3"/>
  <c r="G384" i="3"/>
  <c r="AZ253" i="3"/>
  <c r="AZ257" i="3"/>
  <c r="AZ265" i="3"/>
  <c r="AZ286" i="3"/>
  <c r="AZ290" i="3"/>
  <c r="AZ315" i="3"/>
  <c r="AZ335" i="3"/>
  <c r="AZ347" i="3"/>
  <c r="AZ351" i="3"/>
  <c r="AZ369" i="3"/>
  <c r="AZ414" i="3"/>
  <c r="AZ422" i="3"/>
  <c r="AZ426" i="3"/>
  <c r="AZ430" i="3"/>
  <c r="AZ438" i="3"/>
  <c r="AZ446" i="3"/>
  <c r="AZ450" i="3"/>
  <c r="AZ455" i="3"/>
  <c r="AZ463" i="3"/>
  <c r="AZ467" i="3"/>
  <c r="AZ471" i="3"/>
  <c r="AZ475" i="3"/>
  <c r="AZ479" i="3"/>
  <c r="H7" i="48"/>
  <c r="F33" i="46"/>
  <c r="H16" i="48"/>
  <c r="H9" i="48"/>
  <c r="H8" i="48"/>
  <c r="C12" i="46"/>
  <c r="AB15" i="37"/>
  <c r="AA43" i="21"/>
  <c r="E78" i="40"/>
  <c r="F78" i="40"/>
  <c r="G78" i="40"/>
  <c r="H78" i="40" s="1"/>
  <c r="I78" i="40" s="1"/>
  <c r="J78" i="40" s="1"/>
  <c r="K78" i="40" s="1"/>
  <c r="L78" i="40" s="1"/>
  <c r="M78" i="40" s="1"/>
  <c r="R16" i="4"/>
  <c r="P16" i="4"/>
  <c r="G4" i="4"/>
  <c r="S37" i="34"/>
  <c r="W25" i="35"/>
  <c r="AZ354" i="3"/>
  <c r="H11" i="37"/>
  <c r="AB11" i="37" s="1"/>
  <c r="AA30" i="33"/>
  <c r="AA36" i="37"/>
  <c r="U32" i="33"/>
  <c r="AB17" i="37"/>
  <c r="AZ516" i="3"/>
  <c r="AA45" i="33"/>
  <c r="AC10" i="36"/>
  <c r="AB45" i="34"/>
  <c r="W30" i="33"/>
  <c r="AC29" i="37"/>
  <c r="J33" i="34"/>
  <c r="AB36" i="34"/>
  <c r="J40" i="34"/>
  <c r="W40" i="34"/>
  <c r="W42" i="33"/>
  <c r="J35" i="34"/>
  <c r="W35" i="34" s="1"/>
  <c r="G107" i="34"/>
  <c r="H107" i="34"/>
  <c r="I107" i="34"/>
  <c r="J107" i="34" s="1"/>
  <c r="K107" i="34" s="1"/>
  <c r="L107" i="34" s="1"/>
  <c r="M107" i="34" s="1"/>
  <c r="J103" i="37"/>
  <c r="K103" i="37"/>
  <c r="L103" i="37" s="1"/>
  <c r="M103" i="37" s="1"/>
  <c r="H35" i="37"/>
  <c r="U35" i="37" s="1"/>
  <c r="AB35" i="37"/>
  <c r="S26" i="21"/>
  <c r="H32" i="21"/>
  <c r="U32" i="21" s="1"/>
  <c r="J32" i="21"/>
  <c r="AC32" i="21" s="1"/>
  <c r="H17" i="21"/>
  <c r="AB17" i="21" s="1"/>
  <c r="J17" i="21"/>
  <c r="AC17" i="21" s="1"/>
  <c r="F40" i="21"/>
  <c r="S40" i="21" s="1"/>
  <c r="H40" i="21"/>
  <c r="AB40" i="21" s="1"/>
  <c r="F119" i="21"/>
  <c r="G119" i="21" s="1"/>
  <c r="H119" i="21" s="1"/>
  <c r="I119" i="21" s="1"/>
  <c r="J119" i="21" s="1"/>
  <c r="K119" i="21" s="1"/>
  <c r="L119" i="21" s="1"/>
  <c r="M119" i="21" s="1"/>
  <c r="S8" i="33"/>
  <c r="H66" i="33"/>
  <c r="F10" i="33"/>
  <c r="AA10" i="33"/>
  <c r="F11" i="33"/>
  <c r="S11" i="33"/>
  <c r="J15" i="33"/>
  <c r="W15" i="33"/>
  <c r="H19" i="33"/>
  <c r="AB19" i="33"/>
  <c r="F32" i="33"/>
  <c r="AA32" i="33"/>
  <c r="J32" i="33"/>
  <c r="AC32" i="33"/>
  <c r="F35" i="33"/>
  <c r="AA35" i="33"/>
  <c r="AB39" i="34"/>
  <c r="F11" i="34"/>
  <c r="S11" i="34" s="1"/>
  <c r="E80" i="34"/>
  <c r="F80" i="34"/>
  <c r="G80" i="34" s="1"/>
  <c r="H17" i="34"/>
  <c r="AB17" i="34" s="1"/>
  <c r="AC27" i="34"/>
  <c r="W27" i="34"/>
  <c r="S12" i="35"/>
  <c r="J13" i="33"/>
  <c r="W13" i="33"/>
  <c r="H13" i="33"/>
  <c r="U13" i="33" s="1"/>
  <c r="H29" i="33"/>
  <c r="AB29" i="33" s="1"/>
  <c r="J12" i="34"/>
  <c r="AC12" i="34" s="1"/>
  <c r="H12" i="34"/>
  <c r="AB12" i="34" s="1"/>
  <c r="F12" i="34"/>
  <c r="AA12" i="34" s="1"/>
  <c r="S12" i="34"/>
  <c r="J14" i="34"/>
  <c r="W14" i="34" s="1"/>
  <c r="F14" i="34"/>
  <c r="S14" i="34"/>
  <c r="H14" i="34"/>
  <c r="H30" i="34"/>
  <c r="AB30" i="34" s="1"/>
  <c r="F30" i="34"/>
  <c r="S30" i="34" s="1"/>
  <c r="J30" i="34"/>
  <c r="AC30" i="34" s="1"/>
  <c r="W30" i="34"/>
  <c r="H32" i="34"/>
  <c r="AB32" i="34" s="1"/>
  <c r="F32" i="34"/>
  <c r="AA32" i="34"/>
  <c r="J32" i="34"/>
  <c r="W32" i="34" s="1"/>
  <c r="H46" i="34"/>
  <c r="AB46" i="34"/>
  <c r="F46" i="34"/>
  <c r="AA46" i="34" s="1"/>
  <c r="J46" i="34"/>
  <c r="AC46" i="34" s="1"/>
  <c r="H11" i="35"/>
  <c r="U11" i="35" s="1"/>
  <c r="AC11" i="35"/>
  <c r="F96" i="37"/>
  <c r="G96" i="37" s="1"/>
  <c r="H32" i="37"/>
  <c r="AB32" i="37" s="1"/>
  <c r="F19" i="39"/>
  <c r="S19" i="39" s="1"/>
  <c r="H19" i="39"/>
  <c r="U19" i="39" s="1"/>
  <c r="J19" i="39"/>
  <c r="W19" i="39" s="1"/>
  <c r="AC27" i="37"/>
  <c r="U25" i="35"/>
  <c r="U31" i="34"/>
  <c r="AC45" i="21"/>
  <c r="S28" i="33"/>
  <c r="AC19" i="33"/>
  <c r="W19" i="33"/>
  <c r="AC34" i="37"/>
  <c r="S35" i="37"/>
  <c r="AA35" i="37"/>
  <c r="BL570" i="3"/>
  <c r="U40" i="33"/>
  <c r="E90" i="34"/>
  <c r="H27" i="34"/>
  <c r="U27" i="34" s="1"/>
  <c r="AB27" i="34"/>
  <c r="S9"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W32" i="35" s="1"/>
  <c r="F11" i="36"/>
  <c r="S11" i="36" s="1"/>
  <c r="F26" i="36"/>
  <c r="S26" i="36" s="1"/>
  <c r="AC25" i="37"/>
  <c r="AB29" i="37"/>
  <c r="AA30" i="37"/>
  <c r="S30" i="37"/>
  <c r="AB14" i="37"/>
  <c r="F21" i="39"/>
  <c r="S21" i="39" s="1"/>
  <c r="H21" i="39"/>
  <c r="AB21" i="39" s="1"/>
  <c r="J21" i="39"/>
  <c r="F33" i="39"/>
  <c r="H33" i="39"/>
  <c r="U33" i="39"/>
  <c r="J33" i="39"/>
  <c r="W33" i="39" s="1"/>
  <c r="F46" i="39"/>
  <c r="S46" i="39" s="1"/>
  <c r="H46" i="39"/>
  <c r="U46" i="39" s="1"/>
  <c r="J46" i="39"/>
  <c r="W46" i="39" s="1"/>
  <c r="F29" i="39"/>
  <c r="AA29" i="39" s="1"/>
  <c r="E103" i="39"/>
  <c r="H29" i="39" s="1"/>
  <c r="U29" i="39" s="1"/>
  <c r="F103" i="39"/>
  <c r="G103" i="39" s="1"/>
  <c r="F34" i="39"/>
  <c r="H34" i="39"/>
  <c r="AB34" i="39" s="1"/>
  <c r="J34" i="39"/>
  <c r="AC34" i="39" s="1"/>
  <c r="J39" i="39"/>
  <c r="AC39" i="39" s="1"/>
  <c r="W30" i="36"/>
  <c r="AC30" i="36"/>
  <c r="H37" i="39"/>
  <c r="U37" i="39" s="1"/>
  <c r="BL566" i="3"/>
  <c r="BL554" i="3"/>
  <c r="AZ554" i="3"/>
  <c r="BA552" i="3"/>
  <c r="BA549" i="3"/>
  <c r="BL548" i="3"/>
  <c r="BA548" i="3"/>
  <c r="BA547" i="3"/>
  <c r="BL539" i="3"/>
  <c r="BA539" i="3"/>
  <c r="AZ539" i="3" s="1"/>
  <c r="BL537" i="3"/>
  <c r="AZ536" i="3"/>
  <c r="BA535" i="3"/>
  <c r="AZ535" i="3" s="1"/>
  <c r="BL530" i="3"/>
  <c r="BA529" i="3"/>
  <c r="BL528" i="3"/>
  <c r="BA526" i="3"/>
  <c r="AZ526" i="3" s="1"/>
  <c r="BL522" i="3"/>
  <c r="BA522" i="3"/>
  <c r="AZ522" i="3" s="1"/>
  <c r="BA518" i="3"/>
  <c r="BL515" i="3"/>
  <c r="BL513" i="3"/>
  <c r="BL512" i="3"/>
  <c r="BA510" i="3"/>
  <c r="BL507" i="3"/>
  <c r="BA507" i="3"/>
  <c r="AZ507" i="3" s="1"/>
  <c r="BA506" i="3"/>
  <c r="BL504" i="3"/>
  <c r="BA504" i="3"/>
  <c r="BA500" i="3"/>
  <c r="BL498" i="3"/>
  <c r="BA497" i="3"/>
  <c r="BL496" i="3"/>
  <c r="BA495" i="3"/>
  <c r="G494" i="3"/>
  <c r="BL490" i="3"/>
  <c r="BA490" i="3"/>
  <c r="AZ490" i="3" s="1"/>
  <c r="BA489" i="3"/>
  <c r="BA486" i="3"/>
  <c r="BA483" i="3"/>
  <c r="BL481" i="3"/>
  <c r="BB5" i="3"/>
  <c r="BL19" i="3"/>
  <c r="F36" i="44"/>
  <c r="F114" i="34"/>
  <c r="G114" i="34"/>
  <c r="H114" i="34" s="1"/>
  <c r="I114" i="34" s="1"/>
  <c r="J114" i="34"/>
  <c r="K114" i="34" s="1"/>
  <c r="L114" i="34" s="1"/>
  <c r="M114" i="34" s="1"/>
  <c r="H38" i="34"/>
  <c r="U38" i="34"/>
  <c r="H30" i="40"/>
  <c r="AB30" i="40"/>
  <c r="G100" i="40"/>
  <c r="H100" i="40" s="1"/>
  <c r="J30" i="40"/>
  <c r="AC30" i="40" s="1"/>
  <c r="F38" i="40"/>
  <c r="AA38" i="40"/>
  <c r="AA36" i="34"/>
  <c r="AC12" i="21"/>
  <c r="W12" i="21"/>
  <c r="S35" i="21"/>
  <c r="U8" i="21"/>
  <c r="AC36" i="21"/>
  <c r="AB8" i="33"/>
  <c r="U8" i="33"/>
  <c r="E106" i="33"/>
  <c r="H34" i="33"/>
  <c r="U34" i="33"/>
  <c r="F34" i="33"/>
  <c r="E121" i="33"/>
  <c r="F41" i="33"/>
  <c r="AA41" i="33" s="1"/>
  <c r="S41" i="33"/>
  <c r="AC34" i="34"/>
  <c r="W34" i="34"/>
  <c r="AA39" i="34"/>
  <c r="S39" i="34"/>
  <c r="F15" i="34"/>
  <c r="S15" i="34" s="1"/>
  <c r="AC28" i="35"/>
  <c r="W28" i="35"/>
  <c r="H22" i="35"/>
  <c r="AB22" i="35" s="1"/>
  <c r="H23" i="35"/>
  <c r="AB23" i="35" s="1"/>
  <c r="F23" i="35"/>
  <c r="AA23" i="35" s="1"/>
  <c r="AB36" i="35"/>
  <c r="U36" i="35"/>
  <c r="U31" i="36"/>
  <c r="F14" i="39"/>
  <c r="AA14" i="39" s="1"/>
  <c r="H14" i="39"/>
  <c r="AB14" i="39" s="1"/>
  <c r="J14" i="39"/>
  <c r="AC14" i="39" s="1"/>
  <c r="F15" i="40"/>
  <c r="S15" i="40" s="1"/>
  <c r="AA15" i="40"/>
  <c r="E92" i="40"/>
  <c r="F92" i="40" s="1"/>
  <c r="G92" i="40" s="1"/>
  <c r="H23" i="40"/>
  <c r="U23" i="40"/>
  <c r="H41" i="40"/>
  <c r="AB41" i="40" s="1"/>
  <c r="F41" i="40"/>
  <c r="S41" i="40" s="1"/>
  <c r="AA41" i="40"/>
  <c r="J41" i="40"/>
  <c r="H36" i="33"/>
  <c r="AB36" i="33"/>
  <c r="H37" i="34"/>
  <c r="AB37" i="34" s="1"/>
  <c r="F15" i="39"/>
  <c r="AA15" i="39" s="1"/>
  <c r="H15" i="39"/>
  <c r="U15" i="39" s="1"/>
  <c r="J15" i="39"/>
  <c r="AC15" i="39" s="1"/>
  <c r="H25" i="39"/>
  <c r="U25" i="39" s="1"/>
  <c r="J25" i="39"/>
  <c r="AC25" i="39" s="1"/>
  <c r="H45" i="39"/>
  <c r="J45" i="39"/>
  <c r="AC45" i="39" s="1"/>
  <c r="F47" i="39"/>
  <c r="AA47" i="39" s="1"/>
  <c r="H47" i="39"/>
  <c r="AB47" i="39" s="1"/>
  <c r="J47" i="39"/>
  <c r="W47" i="39" s="1"/>
  <c r="E94" i="40"/>
  <c r="F94" i="40" s="1"/>
  <c r="J25" i="40"/>
  <c r="AC25" i="40"/>
  <c r="J32" i="40"/>
  <c r="AC32" i="40"/>
  <c r="H32" i="40"/>
  <c r="U32" i="40"/>
  <c r="H33" i="40"/>
  <c r="AB33" i="40"/>
  <c r="F33" i="40"/>
  <c r="AA33" i="40"/>
  <c r="J33" i="40"/>
  <c r="AC33" i="40"/>
  <c r="H35" i="40"/>
  <c r="AB35" i="40"/>
  <c r="F35" i="40"/>
  <c r="S35" i="40" s="1"/>
  <c r="AA35" i="40"/>
  <c r="J35" i="40"/>
  <c r="AC35" i="40"/>
  <c r="J38" i="39"/>
  <c r="W38" i="39"/>
  <c r="H38" i="39"/>
  <c r="U38" i="39"/>
  <c r="J16" i="40"/>
  <c r="AC16" i="40" s="1"/>
  <c r="W16" i="40"/>
  <c r="H42" i="40"/>
  <c r="U42" i="40" s="1"/>
  <c r="H40" i="40"/>
  <c r="U40" i="40" s="1"/>
  <c r="H34" i="40"/>
  <c r="U34" i="40"/>
  <c r="AZ391" i="3"/>
  <c r="AZ399" i="3"/>
  <c r="AZ403" i="3"/>
  <c r="AZ407" i="3"/>
  <c r="AZ423" i="3"/>
  <c r="AZ431" i="3"/>
  <c r="AZ439" i="3"/>
  <c r="B41" i="1"/>
  <c r="F27" i="43" s="1"/>
  <c r="C27" i="43" s="1"/>
  <c r="J42" i="40"/>
  <c r="AC42" i="40"/>
  <c r="J40" i="40"/>
  <c r="AC40" i="40" s="1"/>
  <c r="J34" i="40"/>
  <c r="AC34" i="40"/>
  <c r="H16" i="40"/>
  <c r="F32" i="40"/>
  <c r="AA32" i="40" s="1"/>
  <c r="AZ428" i="3"/>
  <c r="AZ433" i="3"/>
  <c r="AZ436" i="3"/>
  <c r="AZ441" i="3"/>
  <c r="AZ444" i="3"/>
  <c r="AZ452" i="3"/>
  <c r="M1" i="46"/>
  <c r="M6" i="46"/>
  <c r="M10" i="46"/>
  <c r="N2" i="46"/>
  <c r="N5" i="46"/>
  <c r="F58" i="46"/>
  <c r="H61" i="46" s="1"/>
  <c r="N7" i="46"/>
  <c r="AZ458" i="3"/>
  <c r="AZ461" i="3"/>
  <c r="AZ474" i="3"/>
  <c r="AZ388" i="3"/>
  <c r="AZ212" i="3"/>
  <c r="AZ220" i="3"/>
  <c r="AZ228" i="3"/>
  <c r="AZ236" i="3"/>
  <c r="AZ239" i="3"/>
  <c r="AZ244" i="3"/>
  <c r="AZ247" i="3"/>
  <c r="AZ252" i="3"/>
  <c r="AZ255" i="3"/>
  <c r="AZ281" i="3"/>
  <c r="AZ284" i="3"/>
  <c r="AZ289" i="3"/>
  <c r="AZ292" i="3"/>
  <c r="AZ121" i="3"/>
  <c r="AZ137" i="3"/>
  <c r="AZ152" i="3"/>
  <c r="M7" i="46"/>
  <c r="M11" i="46"/>
  <c r="N3" i="46"/>
  <c r="N6" i="46"/>
  <c r="N10" i="46"/>
  <c r="AZ164" i="3"/>
  <c r="AZ177" i="3"/>
  <c r="AZ180" i="3"/>
  <c r="AZ91" i="3"/>
  <c r="AZ99" i="3"/>
  <c r="AZ107" i="3"/>
  <c r="AZ112" i="3"/>
  <c r="J13" i="40"/>
  <c r="W13" i="40" s="1"/>
  <c r="F34" i="44"/>
  <c r="F71" i="9"/>
  <c r="W35" i="40"/>
  <c r="S33" i="40"/>
  <c r="AB32" i="40"/>
  <c r="S47" i="39"/>
  <c r="U37" i="34"/>
  <c r="U41" i="40"/>
  <c r="J23" i="40"/>
  <c r="F23" i="40"/>
  <c r="S23" i="40" s="1"/>
  <c r="W14" i="39"/>
  <c r="U23" i="35"/>
  <c r="H15" i="34"/>
  <c r="AB15" i="34"/>
  <c r="F78" i="34"/>
  <c r="G78" i="34"/>
  <c r="J15" i="34"/>
  <c r="H41" i="33"/>
  <c r="U41" i="33"/>
  <c r="F121" i="33"/>
  <c r="G121" i="33" s="1"/>
  <c r="H121" i="33" s="1"/>
  <c r="I121" i="33"/>
  <c r="J121" i="33" s="1"/>
  <c r="K121" i="33" s="1"/>
  <c r="L121" i="33" s="1"/>
  <c r="M121" i="33" s="1"/>
  <c r="F30" i="40"/>
  <c r="I100" i="40"/>
  <c r="J100" i="40" s="1"/>
  <c r="K100" i="40" s="1"/>
  <c r="L100" i="40" s="1"/>
  <c r="M100" i="40" s="1"/>
  <c r="AB38" i="34"/>
  <c r="AZ504" i="3"/>
  <c r="AZ547" i="3"/>
  <c r="AB37" i="39"/>
  <c r="J29" i="39"/>
  <c r="AC29" i="39" s="1"/>
  <c r="AA11" i="36"/>
  <c r="F33" i="37"/>
  <c r="AB19" i="39"/>
  <c r="U46" i="34"/>
  <c r="AA14" i="34"/>
  <c r="AC13" i="33"/>
  <c r="U17" i="34"/>
  <c r="AA11" i="34"/>
  <c r="W32" i="33"/>
  <c r="H15" i="33"/>
  <c r="U15" i="33"/>
  <c r="AA11" i="33"/>
  <c r="U17" i="21"/>
  <c r="W34" i="40"/>
  <c r="AB34" i="40"/>
  <c r="W32" i="40"/>
  <c r="H25" i="40"/>
  <c r="AB25" i="40" s="1"/>
  <c r="G94" i="40"/>
  <c r="U47" i="39"/>
  <c r="J37" i="34"/>
  <c r="AC37" i="34"/>
  <c r="J36" i="33"/>
  <c r="W36" i="33" s="1"/>
  <c r="AB23" i="40"/>
  <c r="J23" i="39"/>
  <c r="AC23" i="39" s="1"/>
  <c r="AA15" i="34"/>
  <c r="F106" i="33"/>
  <c r="G106" i="33"/>
  <c r="H106" i="33" s="1"/>
  <c r="I106" i="33" s="1"/>
  <c r="J106" i="33" s="1"/>
  <c r="K106" i="33" s="1"/>
  <c r="L106" i="33" s="1"/>
  <c r="M106" i="33" s="1"/>
  <c r="J34" i="33"/>
  <c r="AC34" i="33" s="1"/>
  <c r="U30" i="40"/>
  <c r="W39" i="39"/>
  <c r="AC33" i="39"/>
  <c r="AA33" i="39"/>
  <c r="S33" i="39"/>
  <c r="F90" i="34"/>
  <c r="G90" i="34"/>
  <c r="H90" i="34"/>
  <c r="I90" i="34" s="1"/>
  <c r="J90" i="34" s="1"/>
  <c r="K90" i="34" s="1"/>
  <c r="L90" i="34" s="1"/>
  <c r="M90" i="34" s="1"/>
  <c r="F27" i="34"/>
  <c r="AA27" i="34" s="1"/>
  <c r="AA19" i="39"/>
  <c r="H96" i="37"/>
  <c r="I96" i="37"/>
  <c r="J96" i="37" s="1"/>
  <c r="K96" i="37" s="1"/>
  <c r="L96" i="37" s="1"/>
  <c r="M96" i="37" s="1"/>
  <c r="F32" i="37"/>
  <c r="AB11" i="35"/>
  <c r="U32" i="34"/>
  <c r="AC14" i="34"/>
  <c r="U12" i="34"/>
  <c r="AB13" i="33"/>
  <c r="F17" i="34"/>
  <c r="S17" i="34" s="1"/>
  <c r="AA17" i="34"/>
  <c r="J17" i="34"/>
  <c r="AC17" i="34" s="1"/>
  <c r="H11" i="34"/>
  <c r="AB11" i="34"/>
  <c r="J35" i="33"/>
  <c r="W35" i="33" s="1"/>
  <c r="S32" i="33"/>
  <c r="AC15" i="33"/>
  <c r="H11" i="33"/>
  <c r="H10" i="33"/>
  <c r="U10" i="33" s="1"/>
  <c r="I66" i="33"/>
  <c r="J10" i="33"/>
  <c r="AC10" i="33"/>
  <c r="U11" i="37"/>
  <c r="J11" i="34"/>
  <c r="W11" i="34"/>
  <c r="F25" i="40"/>
  <c r="AA25" i="40"/>
  <c r="J11" i="33"/>
  <c r="W11" i="33"/>
  <c r="H33" i="37"/>
  <c r="AB33" i="37"/>
  <c r="W15" i="34"/>
  <c r="AC15" i="34"/>
  <c r="D73" i="9"/>
  <c r="N73" i="9"/>
  <c r="AP11" i="1"/>
  <c r="B11" i="1"/>
  <c r="E11" i="1"/>
  <c r="K11" i="1"/>
  <c r="M11" i="1" s="1"/>
  <c r="O11" i="1" s="1"/>
  <c r="B9" i="1"/>
  <c r="E9" i="1" s="1"/>
  <c r="B7" i="1"/>
  <c r="E7" i="1" s="1"/>
  <c r="C20" i="43"/>
  <c r="F6" i="1"/>
  <c r="G11" i="1"/>
  <c r="F29" i="12"/>
  <c r="F31" i="43"/>
  <c r="C31" i="43" s="1"/>
  <c r="S8" i="36"/>
  <c r="AA28" i="36"/>
  <c r="U25" i="36"/>
  <c r="J14" i="36"/>
  <c r="W14" i="36" s="1"/>
  <c r="AB12" i="36"/>
  <c r="S29" i="36"/>
  <c r="AC9" i="35"/>
  <c r="S8" i="35"/>
  <c r="U18" i="35"/>
  <c r="AB18" i="35"/>
  <c r="AA35" i="35"/>
  <c r="S27" i="35"/>
  <c r="S28" i="35"/>
  <c r="AA9" i="37"/>
  <c r="S17" i="37"/>
  <c r="W28" i="37"/>
  <c r="AB37" i="37"/>
  <c r="S33" i="37"/>
  <c r="AA33" i="37"/>
  <c r="U32" i="37"/>
  <c r="J33" i="37"/>
  <c r="W33" i="37" s="1"/>
  <c r="S29" i="37"/>
  <c r="J19" i="37"/>
  <c r="W19" i="37" s="1"/>
  <c r="AC19" i="37"/>
  <c r="F19" i="37"/>
  <c r="AA19" i="37"/>
  <c r="H19" i="37"/>
  <c r="AB19" i="37" s="1"/>
  <c r="J17" i="37"/>
  <c r="S15" i="37"/>
  <c r="AC21" i="37"/>
  <c r="W21" i="37"/>
  <c r="AC9" i="37"/>
  <c r="W32" i="37"/>
  <c r="U8" i="37"/>
  <c r="AB25" i="37"/>
  <c r="AB21" i="37"/>
  <c r="U21" i="37"/>
  <c r="S37" i="37"/>
  <c r="S40" i="37"/>
  <c r="S10" i="37"/>
  <c r="W46" i="34"/>
  <c r="AC45" i="34"/>
  <c r="AA40" i="34"/>
  <c r="U30" i="34"/>
  <c r="S32" i="34"/>
  <c r="AB33" i="34"/>
  <c r="AC35" i="34"/>
  <c r="AA30" i="34"/>
  <c r="AC32" i="34"/>
  <c r="AA33" i="34"/>
  <c r="U44" i="34"/>
  <c r="U34" i="34"/>
  <c r="U28" i="34"/>
  <c r="J25" i="34"/>
  <c r="W25" i="34" s="1"/>
  <c r="H25" i="34"/>
  <c r="U25" i="34" s="1"/>
  <c r="F25" i="34"/>
  <c r="AA25" i="34" s="1"/>
  <c r="J23" i="34"/>
  <c r="F86" i="34"/>
  <c r="G86" i="34"/>
  <c r="F23" i="34"/>
  <c r="AA23" i="34" s="1"/>
  <c r="H23" i="34"/>
  <c r="W17" i="34"/>
  <c r="AC11" i="34"/>
  <c r="U11" i="34"/>
  <c r="U10" i="34"/>
  <c r="W37" i="34"/>
  <c r="AC40" i="34"/>
  <c r="W44" i="34"/>
  <c r="W19" i="34"/>
  <c r="W29" i="34"/>
  <c r="AC21" i="34"/>
  <c r="W21" i="34"/>
  <c r="U15" i="34"/>
  <c r="AB21" i="34"/>
  <c r="U21" i="34"/>
  <c r="U19" i="34"/>
  <c r="AB41" i="34"/>
  <c r="S9" i="34"/>
  <c r="S10" i="34"/>
  <c r="U39" i="33"/>
  <c r="S35" i="33"/>
  <c r="AB41" i="33"/>
  <c r="U36" i="33"/>
  <c r="W31" i="33"/>
  <c r="W43" i="33"/>
  <c r="W39" i="33"/>
  <c r="U35" i="33"/>
  <c r="AB34" i="33"/>
  <c r="W26" i="33"/>
  <c r="AB26" i="33"/>
  <c r="H25" i="33"/>
  <c r="U25" i="33" s="1"/>
  <c r="AB25" i="33"/>
  <c r="J25" i="33"/>
  <c r="F87" i="33"/>
  <c r="G87" i="33"/>
  <c r="H87" i="33"/>
  <c r="I87" i="33" s="1"/>
  <c r="J87" i="33" s="1"/>
  <c r="K87" i="33" s="1"/>
  <c r="L87" i="33" s="1"/>
  <c r="M87" i="33" s="1"/>
  <c r="F25" i="33"/>
  <c r="AA25" i="33" s="1"/>
  <c r="F85" i="33"/>
  <c r="G85" i="33"/>
  <c r="J23" i="33"/>
  <c r="F23" i="33"/>
  <c r="S23" i="33" s="1"/>
  <c r="H23" i="33"/>
  <c r="U19" i="33"/>
  <c r="F79" i="33"/>
  <c r="G79" i="33"/>
  <c r="F17" i="33"/>
  <c r="H17" i="33"/>
  <c r="U17" i="33" s="1"/>
  <c r="J17" i="33"/>
  <c r="AB15" i="33"/>
  <c r="AC11" i="33"/>
  <c r="S10" i="33"/>
  <c r="S14" i="33"/>
  <c r="W10" i="33"/>
  <c r="AC21" i="33"/>
  <c r="W21" i="33"/>
  <c r="W14" i="33"/>
  <c r="AB10" i="33"/>
  <c r="AB21" i="33"/>
  <c r="U21" i="33"/>
  <c r="AA21" i="33"/>
  <c r="S21" i="33"/>
  <c r="S44" i="21"/>
  <c r="AC34" i="21"/>
  <c r="AC26" i="21"/>
  <c r="AC21" i="21"/>
  <c r="W21" i="21"/>
  <c r="W44" i="21"/>
  <c r="AB21" i="21"/>
  <c r="U21" i="21"/>
  <c r="AB29" i="21"/>
  <c r="AA31" i="21"/>
  <c r="W33" i="40"/>
  <c r="U33" i="40"/>
  <c r="S16" i="40"/>
  <c r="W11" i="40"/>
  <c r="AA21" i="40"/>
  <c r="W25" i="40"/>
  <c r="W42" i="40"/>
  <c r="U35" i="40"/>
  <c r="F37" i="40"/>
  <c r="J37" i="40"/>
  <c r="AC37" i="40"/>
  <c r="H37" i="40"/>
  <c r="G113" i="40"/>
  <c r="H113" i="40"/>
  <c r="I113" i="40"/>
  <c r="J113" i="40" s="1"/>
  <c r="K113" i="40"/>
  <c r="L113" i="40" s="1"/>
  <c r="M113" i="40" s="1"/>
  <c r="F39" i="40"/>
  <c r="S38" i="40"/>
  <c r="H39" i="40"/>
  <c r="J39" i="40"/>
  <c r="AC39" i="40" s="1"/>
  <c r="F29" i="40"/>
  <c r="AA29" i="40" s="1"/>
  <c r="H29" i="40"/>
  <c r="U29" i="40" s="1"/>
  <c r="J29" i="40"/>
  <c r="F98" i="40"/>
  <c r="G98" i="40"/>
  <c r="H98" i="40"/>
  <c r="I98" i="40" s="1"/>
  <c r="J98" i="40" s="1"/>
  <c r="K98" i="40" s="1"/>
  <c r="L98" i="40" s="1"/>
  <c r="M98" i="40" s="1"/>
  <c r="S25" i="40"/>
  <c r="F88" i="40"/>
  <c r="G88" i="40" s="1"/>
  <c r="F19" i="40"/>
  <c r="AA19" i="40" s="1"/>
  <c r="H19" i="40"/>
  <c r="J19" i="40"/>
  <c r="W17" i="40"/>
  <c r="AC17" i="40"/>
  <c r="F17" i="40"/>
  <c r="AA17" i="40"/>
  <c r="H17" i="40"/>
  <c r="AB17" i="40"/>
  <c r="W21" i="40"/>
  <c r="U10" i="40"/>
  <c r="U27" i="40"/>
  <c r="AB27" i="40"/>
  <c r="S11" i="39"/>
  <c r="AA21" i="39"/>
  <c r="AC19" i="39"/>
  <c r="AC38" i="39"/>
  <c r="S14" i="39"/>
  <c r="U11" i="39"/>
  <c r="AB38" i="39"/>
  <c r="U31" i="39"/>
  <c r="AB31" i="39"/>
  <c r="S38" i="39"/>
  <c r="S22" i="31"/>
  <c r="B20" i="31" s="1"/>
  <c r="D18" i="9"/>
  <c r="M44" i="9" s="1"/>
  <c r="M43" i="9"/>
  <c r="D96" i="9"/>
  <c r="M18" i="15"/>
  <c r="BA17" i="3"/>
  <c r="F3" i="35"/>
  <c r="K1" i="43"/>
  <c r="K1" i="12"/>
  <c r="G1" i="44"/>
  <c r="BO5" i="3"/>
  <c r="BN5" i="3"/>
  <c r="BL18" i="3"/>
  <c r="BR5" i="3"/>
  <c r="BS5" i="3"/>
  <c r="BL16" i="3"/>
  <c r="G28" i="12"/>
  <c r="G22" i="43"/>
  <c r="G26" i="12"/>
  <c r="D24" i="44"/>
  <c r="D26" i="44"/>
  <c r="G27" i="12"/>
  <c r="G23" i="43"/>
  <c r="G21" i="43"/>
  <c r="N8" i="46"/>
  <c r="N4" i="46"/>
  <c r="N1" i="46"/>
  <c r="F47" i="46"/>
  <c r="M9" i="46"/>
  <c r="C6" i="46" s="1"/>
  <c r="M2" i="46"/>
  <c r="N11" i="46"/>
  <c r="N9" i="46"/>
  <c r="F69" i="46" s="1"/>
  <c r="M4" i="46"/>
  <c r="M12" i="46"/>
  <c r="M8" i="46"/>
  <c r="M3" i="46"/>
  <c r="M5" i="46"/>
  <c r="H6" i="48"/>
  <c r="H15" i="48"/>
  <c r="H5" i="48"/>
  <c r="H14" i="48"/>
  <c r="F36" i="46"/>
  <c r="K17" i="46"/>
  <c r="F39" i="46"/>
  <c r="H13" i="48"/>
  <c r="H11" i="48"/>
  <c r="D17" i="46"/>
  <c r="D71" i="46"/>
  <c r="D84" i="46"/>
  <c r="E80" i="46" s="1"/>
  <c r="B78" i="46" s="1"/>
  <c r="D69" i="46"/>
  <c r="E69" i="46"/>
  <c r="B67" i="46" s="1"/>
  <c r="E47" i="46"/>
  <c r="E58" i="46"/>
  <c r="B56" i="46"/>
  <c r="A4" i="64"/>
  <c r="A4" i="51"/>
  <c r="B6" i="63" s="1"/>
  <c r="C51" i="10"/>
  <c r="I100" i="46"/>
  <c r="C24" i="46"/>
  <c r="N100" i="46"/>
  <c r="H100" i="46"/>
  <c r="F108" i="46"/>
  <c r="H80" i="46"/>
  <c r="B45" i="46"/>
  <c r="E100" i="46"/>
  <c r="G100" i="46"/>
  <c r="H84" i="46"/>
  <c r="C100" i="46"/>
  <c r="J100" i="46"/>
  <c r="M100" i="46"/>
  <c r="U12" i="35"/>
  <c r="AB12" i="35"/>
  <c r="W11" i="35"/>
  <c r="S14" i="37"/>
  <c r="U13" i="37"/>
  <c r="S13" i="21"/>
  <c r="C24" i="9"/>
  <c r="C25" i="9"/>
  <c r="G9" i="1"/>
  <c r="G8" i="1"/>
  <c r="I20" i="46"/>
  <c r="B46" i="50"/>
  <c r="B4" i="63"/>
  <c r="C48" i="35"/>
  <c r="D48" i="35" s="1"/>
  <c r="E48" i="35" s="1"/>
  <c r="F48" i="35" s="1"/>
  <c r="G48" i="35" s="1"/>
  <c r="H48" i="35" s="1"/>
  <c r="I48" i="35" s="1"/>
  <c r="J48" i="35" s="1"/>
  <c r="C52" i="37"/>
  <c r="D52" i="37"/>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c r="S12" i="1"/>
  <c r="G1" i="15"/>
  <c r="F66" i="36"/>
  <c r="H18" i="36"/>
  <c r="U18" i="36" s="1"/>
  <c r="W28" i="36"/>
  <c r="U13" i="36"/>
  <c r="AA22" i="36"/>
  <c r="U10" i="36"/>
  <c r="AA13" i="36"/>
  <c r="W29" i="36"/>
  <c r="W8" i="36"/>
  <c r="AC30" i="35"/>
  <c r="U32" i="35"/>
  <c r="W22" i="35"/>
  <c r="W35" i="37"/>
  <c r="U33" i="37"/>
  <c r="AC15" i="37"/>
  <c r="AA13" i="37"/>
  <c r="W36" i="37"/>
  <c r="U26" i="37"/>
  <c r="W13" i="37"/>
  <c r="U38" i="37"/>
  <c r="AB35" i="34"/>
  <c r="W47" i="34"/>
  <c r="AB29" i="34"/>
  <c r="AB13" i="34"/>
  <c r="AC13" i="34"/>
  <c r="S19" i="34"/>
  <c r="S8" i="34"/>
  <c r="AA19" i="33"/>
  <c r="S43" i="33"/>
  <c r="AB42" i="33"/>
  <c r="AB14" i="33"/>
  <c r="S26" i="33"/>
  <c r="S15" i="33"/>
  <c r="S9" i="33"/>
  <c r="S39" i="21"/>
  <c r="AB25" i="21"/>
  <c r="AB45" i="21"/>
  <c r="W25" i="21"/>
  <c r="AA29" i="21"/>
  <c r="U27" i="21"/>
  <c r="W31" i="21"/>
  <c r="AC27" i="21"/>
  <c r="W29" i="21"/>
  <c r="G96" i="40"/>
  <c r="J27" i="40"/>
  <c r="W37" i="40"/>
  <c r="S17" i="40"/>
  <c r="U17" i="40"/>
  <c r="U38" i="40"/>
  <c r="S40" i="40"/>
  <c r="S42" i="40"/>
  <c r="J31" i="39"/>
  <c r="W31" i="39" s="1"/>
  <c r="AB33" i="39"/>
  <c r="W36" i="39"/>
  <c r="U14" i="39"/>
  <c r="AA46" i="39"/>
  <c r="W10" i="39"/>
  <c r="W11" i="39"/>
  <c r="S32" i="40"/>
  <c r="C17" i="40"/>
  <c r="C17" i="39"/>
  <c r="C19" i="39"/>
  <c r="C23" i="40"/>
  <c r="B48" i="46"/>
  <c r="B51" i="46"/>
  <c r="B59" i="46"/>
  <c r="B62" i="46"/>
  <c r="B66" i="46"/>
  <c r="B53" i="46"/>
  <c r="B64" i="46"/>
  <c r="D24" i="15"/>
  <c r="S19" i="37"/>
  <c r="AC17" i="37"/>
  <c r="W17" i="37"/>
  <c r="AB25" i="34"/>
  <c r="S25" i="34"/>
  <c r="AC25" i="34"/>
  <c r="U23" i="34"/>
  <c r="AB23" i="34"/>
  <c r="S23" i="34"/>
  <c r="AC23" i="34"/>
  <c r="W23" i="34"/>
  <c r="U23" i="33"/>
  <c r="AB23" i="33"/>
  <c r="W23" i="33"/>
  <c r="AC23" i="33"/>
  <c r="AA23" i="33"/>
  <c r="W17" i="33"/>
  <c r="AC17" i="33"/>
  <c r="AA17" i="33"/>
  <c r="S17" i="33"/>
  <c r="AB17" i="33"/>
  <c r="AB39" i="40"/>
  <c r="U39" i="40"/>
  <c r="W39" i="40"/>
  <c r="AA39" i="40"/>
  <c r="S39" i="40"/>
  <c r="U37" i="40"/>
  <c r="AB37" i="40"/>
  <c r="AA37" i="40"/>
  <c r="S37" i="40"/>
  <c r="AC29" i="40"/>
  <c r="W29" i="40"/>
  <c r="W19" i="40"/>
  <c r="AC19" i="40"/>
  <c r="AB19" i="40"/>
  <c r="U19" i="40"/>
  <c r="AC27" i="40"/>
  <c r="W27" i="40"/>
  <c r="E5" i="6"/>
  <c r="D21" i="12" s="1"/>
  <c r="C21" i="12" s="1"/>
  <c r="A9" i="64"/>
  <c r="A9" i="51"/>
  <c r="B9" i="63" s="1"/>
  <c r="E4" i="4"/>
  <c r="C4" i="4"/>
  <c r="B20" i="55" s="1"/>
  <c r="B70" i="63" s="1"/>
  <c r="G66" i="36"/>
  <c r="J18" i="36"/>
  <c r="AC18" i="36" s="1"/>
  <c r="AE8" i="1"/>
  <c r="AE6" i="1"/>
  <c r="AG6" i="1"/>
  <c r="B21" i="55"/>
  <c r="B72" i="63" s="1"/>
  <c r="N76" i="9"/>
  <c r="C46" i="9"/>
  <c r="I14" i="66" s="1"/>
  <c r="B8" i="66" s="1"/>
  <c r="K33" i="9"/>
  <c r="K34" i="9" s="1"/>
  <c r="O41" i="9"/>
  <c r="R8" i="54" s="1"/>
  <c r="B54" i="63" s="1"/>
  <c r="D70" i="39"/>
  <c r="E70" i="39" s="1"/>
  <c r="E72" i="39" s="1"/>
  <c r="C67" i="40"/>
  <c r="D65" i="40"/>
  <c r="E65" i="40" s="1"/>
  <c r="H58" i="46"/>
  <c r="J17" i="46"/>
  <c r="C17" i="46"/>
  <c r="F34" i="46"/>
  <c r="F38" i="46"/>
  <c r="F37" i="46"/>
  <c r="H113" i="46"/>
  <c r="H49" i="46"/>
  <c r="H53" i="46"/>
  <c r="D13" i="59"/>
  <c r="C12" i="59"/>
  <c r="D12" i="59"/>
  <c r="F13" i="59"/>
  <c r="F12" i="59"/>
  <c r="F11" i="59"/>
  <c r="F10" i="59"/>
  <c r="F9" i="59" s="1"/>
  <c r="F8" i="59" s="1"/>
  <c r="F7" i="59" s="1"/>
  <c r="F6" i="59" s="1"/>
  <c r="Y12" i="59"/>
  <c r="Z12" i="59"/>
  <c r="AA12" i="59"/>
  <c r="AB12" i="59"/>
  <c r="Y11" i="59"/>
  <c r="Z11" i="59"/>
  <c r="Y10" i="59"/>
  <c r="Z10" i="59" s="1"/>
  <c r="Y9" i="59"/>
  <c r="Z9" i="59" s="1"/>
  <c r="AB11" i="59"/>
  <c r="AB10" i="59"/>
  <c r="AB9" i="59"/>
  <c r="AA14" i="59"/>
  <c r="X12" i="59"/>
  <c r="X10" i="59"/>
  <c r="X9" i="59"/>
  <c r="AA10" i="59"/>
  <c r="AA9" i="59"/>
  <c r="C25" i="12"/>
  <c r="H1" i="65"/>
  <c r="X7" i="46"/>
  <c r="E17" i="46"/>
  <c r="N17" i="46"/>
  <c r="O17" i="46"/>
  <c r="M17" i="46"/>
  <c r="L17" i="46"/>
  <c r="O13" i="1"/>
  <c r="O12" i="1"/>
  <c r="AP7" i="1"/>
  <c r="G13" i="1"/>
  <c r="H50" i="46"/>
  <c r="F35" i="46"/>
  <c r="I17" i="46"/>
  <c r="G17" i="46" s="1"/>
  <c r="C16" i="46" s="1"/>
  <c r="H63" i="46"/>
  <c r="H66" i="46"/>
  <c r="D100" i="46"/>
  <c r="H62" i="46"/>
  <c r="AF12" i="46"/>
  <c r="K100" i="46"/>
  <c r="AB12" i="46"/>
  <c r="AJ12" i="46"/>
  <c r="H59" i="46"/>
  <c r="H65" i="46"/>
  <c r="E10" i="46"/>
  <c r="C7" i="46" s="1"/>
  <c r="E9" i="46"/>
  <c r="E11" i="46"/>
  <c r="E8" i="46"/>
  <c r="H55" i="46"/>
  <c r="H54" i="46"/>
  <c r="AD12" i="46"/>
  <c r="AH12" i="46"/>
  <c r="C11" i="59"/>
  <c r="C10" i="59" s="1"/>
  <c r="C9" i="59" s="1"/>
  <c r="C8" i="59" s="1"/>
  <c r="D11" i="59"/>
  <c r="D72" i="39"/>
  <c r="V10" i="59"/>
  <c r="F70" i="39"/>
  <c r="M6" i="15"/>
  <c r="J17" i="44"/>
  <c r="M26" i="44"/>
  <c r="B10" i="67"/>
  <c r="N5" i="65"/>
  <c r="N7" i="65"/>
  <c r="B12" i="67"/>
  <c r="F9" i="15"/>
  <c r="F16" i="15"/>
  <c r="M10" i="44"/>
  <c r="M26" i="15"/>
  <c r="E12" i="67"/>
  <c r="L48" i="44"/>
  <c r="F18" i="44"/>
  <c r="F6" i="15"/>
  <c r="F11" i="67"/>
  <c r="F40" i="15"/>
  <c r="B8" i="67"/>
  <c r="M29" i="44"/>
  <c r="N4" i="65"/>
  <c r="F46" i="44"/>
  <c r="N3" i="65"/>
  <c r="F43" i="44"/>
  <c r="M24" i="44"/>
  <c r="M8" i="44"/>
  <c r="M30" i="44"/>
  <c r="B13" i="67"/>
  <c r="M25" i="44"/>
  <c r="E9" i="67"/>
  <c r="J36" i="15"/>
  <c r="N6" i="65"/>
  <c r="F13" i="15"/>
  <c r="M9" i="15"/>
  <c r="F12" i="67"/>
  <c r="F36" i="15"/>
  <c r="L47" i="15"/>
  <c r="B14" i="67"/>
  <c r="L48" i="15"/>
  <c r="J5" i="65"/>
  <c r="F38" i="44"/>
  <c r="M27" i="15"/>
  <c r="L49" i="44"/>
  <c r="M11" i="44"/>
  <c r="F8" i="44"/>
  <c r="F40" i="44"/>
  <c r="M22" i="15"/>
  <c r="J15" i="15"/>
  <c r="I3" i="65"/>
  <c r="F14" i="67"/>
  <c r="F10" i="44"/>
  <c r="F45" i="44"/>
  <c r="M28" i="15"/>
  <c r="F26" i="15"/>
  <c r="M24" i="15"/>
  <c r="E8" i="67"/>
  <c r="E14" i="67"/>
  <c r="F38" i="15"/>
  <c r="E13" i="67"/>
  <c r="F9" i="67"/>
  <c r="B9" i="67"/>
  <c r="E10" i="67"/>
  <c r="F10" i="67"/>
  <c r="E11" i="67"/>
  <c r="F13" i="67"/>
  <c r="B11" i="67"/>
  <c r="F8" i="15"/>
  <c r="M23" i="15"/>
  <c r="F42" i="15"/>
  <c r="F8" i="67"/>
  <c r="F37" i="15"/>
  <c r="M8" i="15"/>
  <c r="H71" i="46" l="1"/>
  <c r="H73" i="46"/>
  <c r="H69" i="46"/>
  <c r="H74" i="46"/>
  <c r="H72" i="46"/>
  <c r="H77" i="46"/>
  <c r="F14" i="36"/>
  <c r="AA14" i="36" s="1"/>
  <c r="H14" i="36"/>
  <c r="U14" i="36" s="1"/>
  <c r="W18" i="35"/>
  <c r="AB14" i="35"/>
  <c r="F15" i="21"/>
  <c r="S15" i="21" s="1"/>
  <c r="F77" i="21"/>
  <c r="G77" i="21" s="1"/>
  <c r="W40" i="39"/>
  <c r="S40" i="39"/>
  <c r="AA33" i="36"/>
  <c r="S33" i="36"/>
  <c r="AZ564" i="3"/>
  <c r="F65" i="40"/>
  <c r="E67" i="40"/>
  <c r="AZ196" i="3"/>
  <c r="AB31" i="37"/>
  <c r="U31" i="37"/>
  <c r="S31" i="37"/>
  <c r="AA31" i="37"/>
  <c r="AZ532" i="3"/>
  <c r="AA28" i="37"/>
  <c r="S28" i="37"/>
  <c r="U47" i="34"/>
  <c r="AB47" i="34"/>
  <c r="AC31" i="34"/>
  <c r="W31" i="34"/>
  <c r="U40" i="37"/>
  <c r="AB40" i="37"/>
  <c r="AC32" i="36"/>
  <c r="W32" i="36"/>
  <c r="U28" i="33"/>
  <c r="AB28" i="33"/>
  <c r="AB46" i="21"/>
  <c r="U46" i="21"/>
  <c r="S30" i="21"/>
  <c r="AA30" i="21"/>
  <c r="W14" i="21"/>
  <c r="AC14" i="21"/>
  <c r="W37" i="33"/>
  <c r="AC37" i="33"/>
  <c r="AC10" i="34"/>
  <c r="S12" i="36"/>
  <c r="AA12" i="36"/>
  <c r="AB39" i="37"/>
  <c r="U39" i="37"/>
  <c r="F9" i="21"/>
  <c r="J9" i="21"/>
  <c r="AC9" i="21" s="1"/>
  <c r="U8" i="35"/>
  <c r="AB8" i="35"/>
  <c r="J29" i="33"/>
  <c r="F29" i="33"/>
  <c r="H44" i="33"/>
  <c r="J44" i="33"/>
  <c r="H24" i="36"/>
  <c r="J9" i="36"/>
  <c r="AC9" i="36" s="1"/>
  <c r="H9" i="36"/>
  <c r="F9" i="36"/>
  <c r="W11" i="36"/>
  <c r="AC11" i="36"/>
  <c r="F64" i="36"/>
  <c r="G64" i="36" s="1"/>
  <c r="F16" i="36"/>
  <c r="J23" i="36"/>
  <c r="F23" i="36"/>
  <c r="F32" i="36"/>
  <c r="H32" i="36"/>
  <c r="S31" i="36"/>
  <c r="AA31" i="36"/>
  <c r="S8" i="37"/>
  <c r="AA8" i="37"/>
  <c r="J12" i="37"/>
  <c r="F12" i="37"/>
  <c r="AA30" i="36"/>
  <c r="S30" i="36"/>
  <c r="BL568" i="3"/>
  <c r="BA568" i="3"/>
  <c r="AZ568" i="3" s="1"/>
  <c r="BL565" i="3"/>
  <c r="BA565" i="3"/>
  <c r="AZ565" i="3" s="1"/>
  <c r="BL564" i="3"/>
  <c r="BA523" i="3"/>
  <c r="AZ523" i="3" s="1"/>
  <c r="BL521" i="3"/>
  <c r="AZ521" i="3" s="1"/>
  <c r="BL520" i="3"/>
  <c r="BA520" i="3"/>
  <c r="AZ513" i="3"/>
  <c r="AZ509" i="3"/>
  <c r="F72" i="39"/>
  <c r="G70" i="39"/>
  <c r="G72" i="39" s="1"/>
  <c r="C7" i="59"/>
  <c r="D8" i="59"/>
  <c r="F5" i="59"/>
  <c r="V6" i="59"/>
  <c r="W21" i="39"/>
  <c r="AC21" i="39"/>
  <c r="AB14" i="34"/>
  <c r="U14" i="34"/>
  <c r="AB29" i="40"/>
  <c r="E8" i="6"/>
  <c r="AZ299" i="3"/>
  <c r="U13" i="40"/>
  <c r="AB13" i="40"/>
  <c r="U12" i="37"/>
  <c r="W13" i="36"/>
  <c r="AC13" i="36"/>
  <c r="W8" i="21"/>
  <c r="BL572" i="3"/>
  <c r="BA572" i="3"/>
  <c r="AZ572" i="3" s="1"/>
  <c r="BL571" i="3"/>
  <c r="AZ571" i="3" s="1"/>
  <c r="BA570" i="3"/>
  <c r="AZ570" i="3" s="1"/>
  <c r="H14" i="21"/>
  <c r="U14" i="21" s="1"/>
  <c r="F14" i="21"/>
  <c r="AC41" i="33"/>
  <c r="W41" i="33"/>
  <c r="AZ558" i="3"/>
  <c r="BG5" i="3"/>
  <c r="AP6" i="1"/>
  <c r="C12" i="39"/>
  <c r="AC33" i="34"/>
  <c r="W33" i="34"/>
  <c r="D9" i="59"/>
  <c r="R22" i="31"/>
  <c r="B21" i="31" s="1"/>
  <c r="AC23" i="40"/>
  <c r="W23" i="40"/>
  <c r="AZ373" i="3"/>
  <c r="AZ346" i="3"/>
  <c r="S41" i="34"/>
  <c r="AA41" i="34"/>
  <c r="S44" i="34"/>
  <c r="AA44" i="34"/>
  <c r="U29" i="35"/>
  <c r="AB29" i="35"/>
  <c r="AA34" i="21"/>
  <c r="S34" i="21"/>
  <c r="AB10" i="37"/>
  <c r="U10" i="37"/>
  <c r="F23" i="39"/>
  <c r="AA23" i="39" s="1"/>
  <c r="E97" i="39"/>
  <c r="E128" i="39"/>
  <c r="F128" i="39" s="1"/>
  <c r="G128" i="39" s="1"/>
  <c r="H128" i="39" s="1"/>
  <c r="I128" i="39" s="1"/>
  <c r="J128" i="39" s="1"/>
  <c r="K128" i="39" s="1"/>
  <c r="L128" i="39" s="1"/>
  <c r="M128" i="39" s="1"/>
  <c r="F44" i="39"/>
  <c r="H44" i="39"/>
  <c r="U44" i="39" s="1"/>
  <c r="F14" i="40"/>
  <c r="J14" i="40"/>
  <c r="H14" i="40"/>
  <c r="AZ567" i="3"/>
  <c r="S29" i="40"/>
  <c r="S25" i="33"/>
  <c r="U19" i="37"/>
  <c r="H51" i="46"/>
  <c r="H47" i="46"/>
  <c r="BA13" i="3"/>
  <c r="BC5" i="3"/>
  <c r="E14" i="6" s="1"/>
  <c r="E61" i="40" s="1"/>
  <c r="AB40" i="40"/>
  <c r="AA23" i="40"/>
  <c r="U25" i="40"/>
  <c r="AA44" i="33"/>
  <c r="AC35" i="33"/>
  <c r="W34" i="33"/>
  <c r="AA11" i="37"/>
  <c r="AC36" i="33"/>
  <c r="AC13" i="40"/>
  <c r="S46" i="34"/>
  <c r="U29" i="33"/>
  <c r="AB16" i="40"/>
  <c r="U16" i="40"/>
  <c r="J16" i="39"/>
  <c r="AC16" i="39" s="1"/>
  <c r="AZ486" i="3"/>
  <c r="H11" i="36"/>
  <c r="H16" i="36"/>
  <c r="AA36" i="21"/>
  <c r="AC41" i="34"/>
  <c r="W41" i="34"/>
  <c r="AA25" i="36"/>
  <c r="S25" i="36"/>
  <c r="AA27" i="21"/>
  <c r="S27" i="21"/>
  <c r="AB37" i="33"/>
  <c r="U37" i="33"/>
  <c r="AB9" i="33"/>
  <c r="U9" i="33"/>
  <c r="AA43" i="34"/>
  <c r="S43" i="34"/>
  <c r="AA10" i="36"/>
  <c r="S10" i="36"/>
  <c r="W31" i="37"/>
  <c r="AC31" i="37"/>
  <c r="J26" i="37"/>
  <c r="F26" i="37"/>
  <c r="E91" i="39"/>
  <c r="E99" i="39"/>
  <c r="F99" i="39" s="1"/>
  <c r="G99" i="39" s="1"/>
  <c r="F25" i="39"/>
  <c r="AA25" i="39" s="1"/>
  <c r="J15" i="40"/>
  <c r="H15" i="40"/>
  <c r="BL540" i="3"/>
  <c r="BA538" i="3"/>
  <c r="AZ538" i="3" s="1"/>
  <c r="BL534" i="3"/>
  <c r="BA534" i="3"/>
  <c r="AZ534" i="3" s="1"/>
  <c r="BL533" i="3"/>
  <c r="AZ533" i="3" s="1"/>
  <c r="BL531" i="3"/>
  <c r="BL529" i="3"/>
  <c r="BA527" i="3"/>
  <c r="AZ527" i="3" s="1"/>
  <c r="BL511" i="3"/>
  <c r="AZ511" i="3" s="1"/>
  <c r="BL510" i="3"/>
  <c r="AZ510" i="3" s="1"/>
  <c r="BL509" i="3"/>
  <c r="BA503" i="3"/>
  <c r="BA502" i="3"/>
  <c r="AZ502" i="3" s="1"/>
  <c r="BL501" i="3"/>
  <c r="BL500" i="3"/>
  <c r="AZ500" i="3" s="1"/>
  <c r="BL499" i="3"/>
  <c r="BA499" i="3"/>
  <c r="AZ499" i="3" s="1"/>
  <c r="BL497" i="3"/>
  <c r="AZ497" i="3" s="1"/>
  <c r="BA485" i="3"/>
  <c r="AZ485" i="3" s="1"/>
  <c r="BD5" i="3"/>
  <c r="S32" i="37"/>
  <c r="AA32" i="37"/>
  <c r="AC41" i="40"/>
  <c r="W41" i="40"/>
  <c r="W17" i="21"/>
  <c r="AB9" i="37"/>
  <c r="U11" i="33"/>
  <c r="AB11" i="33"/>
  <c r="AA30" i="40"/>
  <c r="S30" i="40"/>
  <c r="W27" i="33"/>
  <c r="AC27" i="33"/>
  <c r="F29" i="6"/>
  <c r="J33" i="36"/>
  <c r="W33" i="36" s="1"/>
  <c r="H33" i="36"/>
  <c r="BL525" i="3"/>
  <c r="AZ525" i="3" s="1"/>
  <c r="D67" i="40"/>
  <c r="D10" i="59"/>
  <c r="T10" i="59"/>
  <c r="H52" i="46"/>
  <c r="H48" i="46"/>
  <c r="S19" i="40"/>
  <c r="B55" i="46"/>
  <c r="W30" i="40"/>
  <c r="S47" i="34"/>
  <c r="AC33" i="37"/>
  <c r="S24" i="35"/>
  <c r="AZ17" i="3"/>
  <c r="W13" i="21"/>
  <c r="W28" i="21"/>
  <c r="W25" i="33"/>
  <c r="AC25" i="33"/>
  <c r="U46" i="33"/>
  <c r="S13" i="34"/>
  <c r="AC11" i="37"/>
  <c r="S27" i="34"/>
  <c r="AB42" i="40"/>
  <c r="W12" i="34"/>
  <c r="W40" i="40"/>
  <c r="H64" i="46"/>
  <c r="H60" i="46"/>
  <c r="U45" i="39"/>
  <c r="AB45" i="39"/>
  <c r="H16" i="39"/>
  <c r="U16" i="39" s="1"/>
  <c r="S34" i="33"/>
  <c r="AA34" i="33"/>
  <c r="AZ529" i="3"/>
  <c r="AZ548" i="3"/>
  <c r="AA34" i="39"/>
  <c r="S34" i="39"/>
  <c r="J44" i="39"/>
  <c r="W44" i="39" s="1"/>
  <c r="AA35" i="34"/>
  <c r="U26" i="21"/>
  <c r="AC14" i="37"/>
  <c r="AZ303" i="3"/>
  <c r="AZ557" i="3"/>
  <c r="S28" i="21"/>
  <c r="H28" i="37"/>
  <c r="S29" i="34"/>
  <c r="AA29" i="34"/>
  <c r="J40" i="37"/>
  <c r="AC37" i="37"/>
  <c r="W37" i="37"/>
  <c r="J46" i="21"/>
  <c r="J30" i="21"/>
  <c r="U43" i="34"/>
  <c r="AB43" i="34"/>
  <c r="F24" i="36"/>
  <c r="U10" i="35"/>
  <c r="AB10" i="35"/>
  <c r="W8" i="33"/>
  <c r="AC8" i="33"/>
  <c r="AB33" i="33"/>
  <c r="U33" i="33"/>
  <c r="AC38" i="37"/>
  <c r="W38" i="37"/>
  <c r="F39" i="39"/>
  <c r="H39" i="39"/>
  <c r="W42" i="34"/>
  <c r="AC42" i="34"/>
  <c r="AA34" i="37"/>
  <c r="S34" i="37"/>
  <c r="H87" i="35"/>
  <c r="I87" i="35" s="1"/>
  <c r="J87" i="35" s="1"/>
  <c r="K87" i="35" s="1"/>
  <c r="L87" i="35" s="1"/>
  <c r="M87" i="35" s="1"/>
  <c r="J29" i="35"/>
  <c r="AC29" i="35" s="1"/>
  <c r="F29" i="35"/>
  <c r="S29" i="35" s="1"/>
  <c r="BL563" i="3"/>
  <c r="BA563" i="3"/>
  <c r="AZ563" i="3" s="1"/>
  <c r="AZ546" i="3"/>
  <c r="BL542" i="3"/>
  <c r="AZ542" i="3" s="1"/>
  <c r="BA537" i="3"/>
  <c r="AZ537" i="3" s="1"/>
  <c r="BA530" i="3"/>
  <c r="AZ530" i="3" s="1"/>
  <c r="BA528" i="3"/>
  <c r="AZ528" i="3" s="1"/>
  <c r="BL518" i="3"/>
  <c r="AZ518" i="3" s="1"/>
  <c r="BA517" i="3"/>
  <c r="AZ517" i="3" s="1"/>
  <c r="BL514" i="3"/>
  <c r="BA514" i="3"/>
  <c r="AZ514" i="3" s="1"/>
  <c r="BL508" i="3"/>
  <c r="BA508" i="3"/>
  <c r="AZ508" i="3" s="1"/>
  <c r="BL506" i="3"/>
  <c r="AZ506" i="3" s="1"/>
  <c r="BL505" i="3"/>
  <c r="BA505" i="3"/>
  <c r="BL503" i="3"/>
  <c r="BA496" i="3"/>
  <c r="AZ496" i="3" s="1"/>
  <c r="BL495" i="3"/>
  <c r="AZ495" i="3" s="1"/>
  <c r="BL494" i="3"/>
  <c r="BA494" i="3"/>
  <c r="AZ494" i="3" s="1"/>
  <c r="BL493" i="3"/>
  <c r="AZ493" i="3" s="1"/>
  <c r="BA491" i="3"/>
  <c r="AZ491" i="3" s="1"/>
  <c r="BL489" i="3"/>
  <c r="AZ489" i="3" s="1"/>
  <c r="BL488" i="3"/>
  <c r="BA488" i="3"/>
  <c r="AZ488" i="3" s="1"/>
  <c r="BL487" i="3"/>
  <c r="BA487" i="3"/>
  <c r="BL484" i="3"/>
  <c r="BA484" i="3"/>
  <c r="AZ484" i="3" s="1"/>
  <c r="BL483" i="3"/>
  <c r="AZ483" i="3" s="1"/>
  <c r="BA482" i="3"/>
  <c r="AZ482" i="3" s="1"/>
  <c r="BA481" i="3"/>
  <c r="AZ481" i="3" s="1"/>
  <c r="BA19" i="3"/>
  <c r="BP5" i="3"/>
  <c r="G29" i="6" s="1"/>
  <c r="BA18" i="3"/>
  <c r="BA15" i="3"/>
  <c r="AA42" i="33"/>
  <c r="S42" i="33"/>
  <c r="S27" i="33"/>
  <c r="AA27" i="33"/>
  <c r="U44" i="21"/>
  <c r="AB44" i="21"/>
  <c r="BL13" i="3"/>
  <c r="U12" i="21"/>
  <c r="AB12" i="21"/>
  <c r="E115" i="21"/>
  <c r="F115" i="21" s="1"/>
  <c r="G115" i="21" s="1"/>
  <c r="H115" i="21" s="1"/>
  <c r="I115" i="21" s="1"/>
  <c r="J115" i="21" s="1"/>
  <c r="K115" i="21" s="1"/>
  <c r="L115" i="21" s="1"/>
  <c r="M115" i="21" s="1"/>
  <c r="J38" i="21"/>
  <c r="W38" i="21" s="1"/>
  <c r="F38" i="21"/>
  <c r="S38" i="21" s="1"/>
  <c r="U41" i="21"/>
  <c r="AB41" i="21"/>
  <c r="U30" i="36"/>
  <c r="AB30" i="36"/>
  <c r="BL519" i="3"/>
  <c r="AZ519" i="3" s="1"/>
  <c r="BA512" i="3"/>
  <c r="AZ512" i="3" s="1"/>
  <c r="BE5" i="3"/>
  <c r="AZ374" i="3"/>
  <c r="AZ544" i="3"/>
  <c r="AZ561" i="3"/>
  <c r="J12" i="33"/>
  <c r="F12" i="33"/>
  <c r="BA550" i="3"/>
  <c r="AZ550" i="3" s="1"/>
  <c r="BA545" i="3"/>
  <c r="AZ545" i="3" s="1"/>
  <c r="G542" i="3"/>
  <c r="G541" i="3"/>
  <c r="G532" i="3"/>
  <c r="BA531" i="3"/>
  <c r="AZ531" i="3" s="1"/>
  <c r="G530" i="3"/>
  <c r="BA524" i="3"/>
  <c r="AZ524" i="3" s="1"/>
  <c r="G503" i="3"/>
  <c r="BA501" i="3"/>
  <c r="AZ501" i="3" s="1"/>
  <c r="BA498" i="3"/>
  <c r="AZ498" i="3" s="1"/>
  <c r="H76" i="46"/>
  <c r="H75" i="46"/>
  <c r="H70" i="46"/>
  <c r="AA25" i="21"/>
  <c r="AA31" i="34"/>
  <c r="U21" i="40"/>
  <c r="H15" i="21"/>
  <c r="U15" i="21" s="1"/>
  <c r="J37" i="39"/>
  <c r="F17" i="21"/>
  <c r="S17" i="21" s="1"/>
  <c r="S25" i="35"/>
  <c r="AZ378" i="3"/>
  <c r="H30" i="33"/>
  <c r="F11" i="35"/>
  <c r="AC38" i="34"/>
  <c r="AB40" i="34"/>
  <c r="AC5" i="3"/>
  <c r="H12" i="33"/>
  <c r="AC38" i="33"/>
  <c r="W38" i="33"/>
  <c r="AB28" i="35"/>
  <c r="U28" i="35"/>
  <c r="H34" i="36"/>
  <c r="J34" i="36"/>
  <c r="W34" i="36" s="1"/>
  <c r="F34" i="36"/>
  <c r="AB29" i="36"/>
  <c r="U29" i="36"/>
  <c r="BL569" i="3"/>
  <c r="AZ569" i="3" s="1"/>
  <c r="BL560" i="3"/>
  <c r="AZ560" i="3" s="1"/>
  <c r="BL556" i="3"/>
  <c r="AZ556" i="3" s="1"/>
  <c r="G556" i="3"/>
  <c r="BA555" i="3"/>
  <c r="AZ555" i="3" s="1"/>
  <c r="BL553" i="3"/>
  <c r="AZ553" i="3" s="1"/>
  <c r="BL552" i="3"/>
  <c r="AZ552" i="3" s="1"/>
  <c r="BL543" i="3"/>
  <c r="AZ543" i="3" s="1"/>
  <c r="BA540" i="3"/>
  <c r="AZ540" i="3" s="1"/>
  <c r="H5" i="3"/>
  <c r="G536" i="3"/>
  <c r="G533" i="3"/>
  <c r="AZ389" i="3"/>
  <c r="AZ395" i="3"/>
  <c r="AZ400" i="3"/>
  <c r="AZ409" i="3"/>
  <c r="AZ432" i="3"/>
  <c r="BL14" i="3"/>
  <c r="AZ14" i="3" s="1"/>
  <c r="BA390" i="3"/>
  <c r="AZ390" i="3" s="1"/>
  <c r="AZ392" i="3"/>
  <c r="G397" i="3"/>
  <c r="BA401" i="3"/>
  <c r="AZ401" i="3" s="1"/>
  <c r="BA404" i="3"/>
  <c r="AZ404" i="3" s="1"/>
  <c r="G408" i="3"/>
  <c r="BA410" i="3"/>
  <c r="AZ410" i="3" s="1"/>
  <c r="BL413" i="3"/>
  <c r="AZ413" i="3" s="1"/>
  <c r="BL415" i="3"/>
  <c r="AZ415" i="3" s="1"/>
  <c r="BL418" i="3"/>
  <c r="AZ418" i="3" s="1"/>
  <c r="AZ448" i="3"/>
  <c r="AZ472" i="3"/>
  <c r="BA313" i="3"/>
  <c r="AZ313" i="3" s="1"/>
  <c r="G423" i="3"/>
  <c r="BL424" i="3"/>
  <c r="AZ424" i="3" s="1"/>
  <c r="G431" i="3"/>
  <c r="BL432" i="3"/>
  <c r="BL434" i="3"/>
  <c r="AZ434" i="3" s="1"/>
  <c r="BA440" i="3"/>
  <c r="AZ440" i="3" s="1"/>
  <c r="BA442" i="3"/>
  <c r="AZ442" i="3" s="1"/>
  <c r="BA445" i="3"/>
  <c r="AZ445" i="3" s="1"/>
  <c r="BA449" i="3"/>
  <c r="AZ449" i="3" s="1"/>
  <c r="BA456" i="3"/>
  <c r="AZ456" i="3" s="1"/>
  <c r="AZ457" i="3"/>
  <c r="BL466" i="3"/>
  <c r="AZ466" i="3" s="1"/>
  <c r="BA368" i="3"/>
  <c r="AZ368" i="3" s="1"/>
  <c r="BA447" i="3"/>
  <c r="AZ447" i="3" s="1"/>
  <c r="G453" i="3"/>
  <c r="G458" i="3"/>
  <c r="BA462" i="3"/>
  <c r="AZ462" i="3" s="1"/>
  <c r="BA465" i="3"/>
  <c r="AZ465" i="3" s="1"/>
  <c r="BL469" i="3"/>
  <c r="AZ469" i="3" s="1"/>
  <c r="BL472" i="3"/>
  <c r="G476" i="3"/>
  <c r="BL308" i="3"/>
  <c r="AZ308" i="3" s="1"/>
  <c r="BA318" i="3"/>
  <c r="AZ318" i="3" s="1"/>
  <c r="BL332" i="3"/>
  <c r="AZ332" i="3" s="1"/>
  <c r="BL346" i="3"/>
  <c r="BA367" i="3"/>
  <c r="AZ367" i="3" s="1"/>
  <c r="BL384" i="3"/>
  <c r="AZ384" i="3" s="1"/>
  <c r="BL385" i="3"/>
  <c r="AZ385" i="3" s="1"/>
  <c r="BL386" i="3"/>
  <c r="G387" i="3"/>
  <c r="BL207" i="3"/>
  <c r="AZ207" i="3" s="1"/>
  <c r="G208" i="3"/>
  <c r="BA213" i="3"/>
  <c r="AZ213" i="3" s="1"/>
  <c r="G217" i="3"/>
  <c r="BL218" i="3"/>
  <c r="AZ218" i="3" s="1"/>
  <c r="BL223" i="3"/>
  <c r="AZ223" i="3" s="1"/>
  <c r="G232" i="3"/>
  <c r="G235" i="3"/>
  <c r="AZ129" i="3"/>
  <c r="C92" i="9"/>
  <c r="AZ464" i="3"/>
  <c r="BL368" i="3"/>
  <c r="AZ386" i="3"/>
  <c r="BA387" i="3"/>
  <c r="AZ387" i="3" s="1"/>
  <c r="BA208" i="3"/>
  <c r="AZ208" i="3" s="1"/>
  <c r="G212" i="3"/>
  <c r="AZ234" i="3"/>
  <c r="AZ240" i="3"/>
  <c r="AZ243" i="3"/>
  <c r="AZ250" i="3"/>
  <c r="AZ45" i="3"/>
  <c r="C110" i="9"/>
  <c r="A30" i="51"/>
  <c r="B22" i="63" s="1"/>
  <c r="G448" i="3"/>
  <c r="BL454" i="3"/>
  <c r="AZ454" i="3" s="1"/>
  <c r="BA459" i="3"/>
  <c r="AZ459" i="3" s="1"/>
  <c r="G463" i="3"/>
  <c r="G466" i="3"/>
  <c r="BA470" i="3"/>
  <c r="AZ470" i="3" s="1"/>
  <c r="BA473" i="3"/>
  <c r="AZ473" i="3" s="1"/>
  <c r="BL477" i="3"/>
  <c r="AZ477" i="3" s="1"/>
  <c r="BL480" i="3"/>
  <c r="AZ480" i="3" s="1"/>
  <c r="BA311" i="3"/>
  <c r="AZ311" i="3" s="1"/>
  <c r="BL319" i="3"/>
  <c r="AZ319" i="3" s="1"/>
  <c r="BA334" i="3"/>
  <c r="AZ334" i="3" s="1"/>
  <c r="BL348" i="3"/>
  <c r="AZ348" i="3" s="1"/>
  <c r="BA383" i="3"/>
  <c r="AZ383" i="3" s="1"/>
  <c r="BA205" i="3"/>
  <c r="AZ205" i="3" s="1"/>
  <c r="BA210" i="3"/>
  <c r="AZ210" i="3" s="1"/>
  <c r="BA211" i="3"/>
  <c r="AZ211" i="3" s="1"/>
  <c r="G214" i="3"/>
  <c r="BA215" i="3"/>
  <c r="AZ215" i="3" s="1"/>
  <c r="G220" i="3"/>
  <c r="G222" i="3"/>
  <c r="AZ246" i="3"/>
  <c r="AZ61" i="3"/>
  <c r="BL226" i="3"/>
  <c r="AZ226" i="3" s="1"/>
  <c r="G230" i="3"/>
  <c r="BA237" i="3"/>
  <c r="AZ237" i="3" s="1"/>
  <c r="G241" i="3"/>
  <c r="G244" i="3"/>
  <c r="BA248" i="3"/>
  <c r="AZ248" i="3" s="1"/>
  <c r="BA249" i="3"/>
  <c r="AZ249" i="3" s="1"/>
  <c r="BL258" i="3"/>
  <c r="AZ258" i="3" s="1"/>
  <c r="BA267" i="3"/>
  <c r="AZ267" i="3" s="1"/>
  <c r="BA268" i="3"/>
  <c r="AZ268" i="3" s="1"/>
  <c r="BL270" i="3"/>
  <c r="AZ270" i="3" s="1"/>
  <c r="BL274" i="3"/>
  <c r="AZ274" i="3" s="1"/>
  <c r="BL288" i="3"/>
  <c r="AZ288" i="3" s="1"/>
  <c r="BL293" i="3"/>
  <c r="AZ293" i="3" s="1"/>
  <c r="BA123" i="3"/>
  <c r="AZ123" i="3" s="1"/>
  <c r="BA127" i="3"/>
  <c r="AZ127" i="3" s="1"/>
  <c r="BA139" i="3"/>
  <c r="AZ139" i="3" s="1"/>
  <c r="BA147" i="3"/>
  <c r="AZ147" i="3" s="1"/>
  <c r="BL153" i="3"/>
  <c r="AZ153" i="3" s="1"/>
  <c r="BL167" i="3"/>
  <c r="AZ167" i="3" s="1"/>
  <c r="BA171" i="3"/>
  <c r="AZ171" i="3" s="1"/>
  <c r="BL182" i="3"/>
  <c r="BA189" i="3"/>
  <c r="AZ189" i="3" s="1"/>
  <c r="BL200" i="3"/>
  <c r="AZ200" i="3" s="1"/>
  <c r="AZ40" i="3"/>
  <c r="AZ54" i="3"/>
  <c r="AZ58" i="3"/>
  <c r="AB8" i="59"/>
  <c r="AB7" i="59"/>
  <c r="AZ254" i="3"/>
  <c r="AZ266" i="3"/>
  <c r="AZ280" i="3"/>
  <c r="AZ285" i="3"/>
  <c r="AZ117" i="3"/>
  <c r="AZ120" i="3"/>
  <c r="AZ133" i="3"/>
  <c r="AZ136" i="3"/>
  <c r="AZ156" i="3"/>
  <c r="AZ186" i="3"/>
  <c r="AZ41" i="3"/>
  <c r="AZ60" i="3"/>
  <c r="BA224" i="3"/>
  <c r="AZ224" i="3" s="1"/>
  <c r="BA227" i="3"/>
  <c r="AZ227" i="3" s="1"/>
  <c r="BL231" i="3"/>
  <c r="AZ231" i="3" s="1"/>
  <c r="BL234" i="3"/>
  <c r="G238" i="3"/>
  <c r="BA245" i="3"/>
  <c r="AZ245" i="3" s="1"/>
  <c r="BL250" i="3"/>
  <c r="BA259" i="3"/>
  <c r="AZ259" i="3" s="1"/>
  <c r="BA260" i="3"/>
  <c r="AZ260" i="3" s="1"/>
  <c r="BA261" i="3"/>
  <c r="AZ261" i="3" s="1"/>
  <c r="BL263" i="3"/>
  <c r="AZ263" i="3" s="1"/>
  <c r="BL269" i="3"/>
  <c r="AZ269" i="3" s="1"/>
  <c r="BA271" i="3"/>
  <c r="AZ271" i="3" s="1"/>
  <c r="BL273" i="3"/>
  <c r="AZ273" i="3" s="1"/>
  <c r="BA275" i="3"/>
  <c r="AZ275" i="3" s="1"/>
  <c r="BA276" i="3"/>
  <c r="AZ276" i="3" s="1"/>
  <c r="BL278" i="3"/>
  <c r="AZ278" i="3" s="1"/>
  <c r="BL282" i="3"/>
  <c r="AZ282" i="3" s="1"/>
  <c r="BA294" i="3"/>
  <c r="AZ294" i="3" s="1"/>
  <c r="BA295" i="3"/>
  <c r="AZ295" i="3" s="1"/>
  <c r="BL114" i="3"/>
  <c r="AZ114" i="3" s="1"/>
  <c r="BA119" i="3"/>
  <c r="AZ119" i="3" s="1"/>
  <c r="BA124" i="3"/>
  <c r="AZ124" i="3" s="1"/>
  <c r="BL130" i="3"/>
  <c r="AZ130" i="3" s="1"/>
  <c r="BA135" i="3"/>
  <c r="AZ135" i="3" s="1"/>
  <c r="BA140" i="3"/>
  <c r="AZ140" i="3" s="1"/>
  <c r="AZ144" i="3"/>
  <c r="AZ148" i="3"/>
  <c r="BL149" i="3"/>
  <c r="BL165" i="3"/>
  <c r="AZ165" i="3" s="1"/>
  <c r="BA168" i="3"/>
  <c r="AZ168" i="3" s="1"/>
  <c r="AZ194" i="3"/>
  <c r="BA202" i="3"/>
  <c r="AZ202" i="3" s="1"/>
  <c r="AZ37" i="3"/>
  <c r="BA39" i="3"/>
  <c r="AZ39" i="3" s="1"/>
  <c r="BL43" i="3"/>
  <c r="AZ43" i="3" s="1"/>
  <c r="AZ67" i="3"/>
  <c r="AZ80" i="3"/>
  <c r="BL150" i="3"/>
  <c r="AZ150" i="3" s="1"/>
  <c r="BA155" i="3"/>
  <c r="AZ155" i="3" s="1"/>
  <c r="G165" i="3"/>
  <c r="BA174" i="3"/>
  <c r="AZ174" i="3" s="1"/>
  <c r="G177" i="3"/>
  <c r="BA187" i="3"/>
  <c r="AZ187" i="3" s="1"/>
  <c r="G191" i="3"/>
  <c r="BA198" i="3"/>
  <c r="AZ198" i="3" s="1"/>
  <c r="BA204" i="3"/>
  <c r="AZ204" i="3" s="1"/>
  <c r="BL23" i="3"/>
  <c r="BA46" i="3"/>
  <c r="AZ46" i="3" s="1"/>
  <c r="BA47" i="3"/>
  <c r="AZ47" i="3" s="1"/>
  <c r="BA48" i="3"/>
  <c r="AZ48" i="3" s="1"/>
  <c r="BA53" i="3"/>
  <c r="AZ53" i="3" s="1"/>
  <c r="BL55" i="3"/>
  <c r="AZ55" i="3" s="1"/>
  <c r="BA57" i="3"/>
  <c r="AZ57" i="3" s="1"/>
  <c r="BL59" i="3"/>
  <c r="AZ59" i="3" s="1"/>
  <c r="AZ76" i="3"/>
  <c r="AZ97" i="3"/>
  <c r="D46" i="59"/>
  <c r="T46" i="59"/>
  <c r="BL172" i="3"/>
  <c r="AZ172" i="3" s="1"/>
  <c r="BA176" i="3"/>
  <c r="AZ176" i="3" s="1"/>
  <c r="BA190" i="3"/>
  <c r="AZ190" i="3" s="1"/>
  <c r="BL196" i="3"/>
  <c r="BL203" i="3"/>
  <c r="AZ203" i="3" s="1"/>
  <c r="BL36" i="3"/>
  <c r="BA40" i="3"/>
  <c r="BL45" i="3"/>
  <c r="BL52" i="3"/>
  <c r="BL56" i="3"/>
  <c r="AZ56" i="3" s="1"/>
  <c r="BA62" i="3"/>
  <c r="AZ62" i="3" s="1"/>
  <c r="BA63" i="3"/>
  <c r="AZ63" i="3" s="1"/>
  <c r="BA68" i="3"/>
  <c r="AZ68" i="3" s="1"/>
  <c r="BL70" i="3"/>
  <c r="AZ70" i="3" s="1"/>
  <c r="BA72" i="3"/>
  <c r="AZ72" i="3" s="1"/>
  <c r="BL74" i="3"/>
  <c r="AZ74" i="3" s="1"/>
  <c r="BL80" i="3"/>
  <c r="BL83" i="3"/>
  <c r="AZ83" i="3" s="1"/>
  <c r="BL94" i="3"/>
  <c r="AZ94" i="3" s="1"/>
  <c r="BA104" i="3"/>
  <c r="AZ104" i="3" s="1"/>
  <c r="BL145" i="3"/>
  <c r="AZ145" i="3" s="1"/>
  <c r="BA149" i="3"/>
  <c r="AZ149" i="3" s="1"/>
  <c r="G153" i="3"/>
  <c r="G158" i="3"/>
  <c r="BL175" i="3"/>
  <c r="AZ175" i="3" s="1"/>
  <c r="BA182" i="3"/>
  <c r="AZ182" i="3" s="1"/>
  <c r="BL188" i="3"/>
  <c r="AZ188" i="3" s="1"/>
  <c r="G196" i="3"/>
  <c r="G202" i="3"/>
  <c r="BA27" i="3"/>
  <c r="BL34" i="3"/>
  <c r="G38" i="3"/>
  <c r="BL38" i="3"/>
  <c r="AZ38" i="3" s="1"/>
  <c r="AZ52" i="3"/>
  <c r="BL61" i="3"/>
  <c r="BL67" i="3"/>
  <c r="BL71" i="3"/>
  <c r="AZ71" i="3" s="1"/>
  <c r="BA77" i="3"/>
  <c r="AZ77" i="3" s="1"/>
  <c r="BA78" i="3"/>
  <c r="AZ78" i="3" s="1"/>
  <c r="BA79" i="3"/>
  <c r="AZ79" i="3" s="1"/>
  <c r="BA86" i="3"/>
  <c r="AZ86" i="3" s="1"/>
  <c r="AZ87" i="3"/>
  <c r="BA92" i="3"/>
  <c r="AZ92" i="3" s="1"/>
  <c r="AZ93" i="3"/>
  <c r="BA101" i="3"/>
  <c r="AZ101" i="3" s="1"/>
  <c r="AZ103" i="3"/>
  <c r="AZ108" i="3"/>
  <c r="AZ109" i="3"/>
  <c r="D69" i="59"/>
  <c r="C68" i="59"/>
  <c r="D68" i="59" s="1"/>
  <c r="AB26" i="59"/>
  <c r="AB22" i="59"/>
  <c r="F28" i="59"/>
  <c r="F29" i="59" s="1"/>
  <c r="F30" i="59" s="1"/>
  <c r="V30" i="59" s="1"/>
  <c r="AB17" i="59"/>
  <c r="AB19" i="59"/>
  <c r="AB27" i="59"/>
  <c r="AB16" i="59"/>
  <c r="U70" i="59"/>
  <c r="E69" i="59"/>
  <c r="E68" i="59" s="1"/>
  <c r="AB23" i="59"/>
  <c r="BA30" i="3"/>
  <c r="BA31" i="3"/>
  <c r="BA35" i="3"/>
  <c r="AZ35" i="3" s="1"/>
  <c r="C56" i="59"/>
  <c r="D57" i="59"/>
  <c r="D26" i="59"/>
  <c r="T26" i="59"/>
  <c r="I21" i="57"/>
  <c r="D1" i="57"/>
  <c r="E10" i="57" s="1"/>
  <c r="AA21" i="37"/>
  <c r="S21" i="37"/>
  <c r="C72" i="59"/>
  <c r="D72" i="59" s="1"/>
  <c r="D73" i="59"/>
  <c r="D29" i="59"/>
  <c r="C30" i="59"/>
  <c r="B28" i="59"/>
  <c r="B29" i="59" s="1"/>
  <c r="B30" i="59" s="1"/>
  <c r="S30" i="59" s="1"/>
  <c r="X26" i="59"/>
  <c r="D32" i="59"/>
  <c r="C33" i="59"/>
  <c r="X15" i="59"/>
  <c r="B18" i="59"/>
  <c r="X18" i="59"/>
  <c r="X17" i="59"/>
  <c r="X16" i="59"/>
  <c r="AA10" i="46"/>
  <c r="AA12" i="46"/>
  <c r="E12" i="59"/>
  <c r="E11" i="59" s="1"/>
  <c r="E10" i="59" s="1"/>
  <c r="B21" i="63"/>
  <c r="N4" i="63"/>
  <c r="AA8" i="59"/>
  <c r="T54" i="59"/>
  <c r="D65" i="59"/>
  <c r="C64" i="59"/>
  <c r="D64" i="59" s="1"/>
  <c r="C50" i="59"/>
  <c r="D49" i="59"/>
  <c r="P57" i="59"/>
  <c r="E56" i="59"/>
  <c r="S66" i="59"/>
  <c r="B65" i="59"/>
  <c r="B64" i="59" s="1"/>
  <c r="Z10" i="46"/>
  <c r="Z12" i="46"/>
  <c r="X19" i="59"/>
  <c r="X6" i="59"/>
  <c r="X7" i="59"/>
  <c r="X3" i="59"/>
  <c r="D77" i="59"/>
  <c r="AB18" i="59"/>
  <c r="AA16" i="59"/>
  <c r="Y19" i="59"/>
  <c r="Z19" i="59" s="1"/>
  <c r="C20" i="59"/>
  <c r="Y18" i="59"/>
  <c r="Z18" i="59" s="1"/>
  <c r="X20" i="59"/>
  <c r="X21" i="59"/>
  <c r="E25" i="59"/>
  <c r="E26" i="59" s="1"/>
  <c r="U26" i="59" s="1"/>
  <c r="T62" i="59"/>
  <c r="AA24" i="59"/>
  <c r="X23" i="59"/>
  <c r="X14" i="59"/>
  <c r="AA13" i="59"/>
  <c r="AA5" i="59"/>
  <c r="AA27" i="59"/>
  <c r="AA19" i="59"/>
  <c r="B13" i="59"/>
  <c r="B12" i="59" s="1"/>
  <c r="B11" i="59" s="1"/>
  <c r="B10" i="59" s="1"/>
  <c r="S14" i="59"/>
  <c r="AB13" i="59"/>
  <c r="AB5" i="59"/>
  <c r="AA7" i="59"/>
  <c r="AB3" i="59"/>
  <c r="Y17" i="59"/>
  <c r="Z17" i="59" s="1"/>
  <c r="AB20" i="59"/>
  <c r="AB21" i="59"/>
  <c r="X24" i="59"/>
  <c r="X25" i="59"/>
  <c r="Q55" i="59"/>
  <c r="C17" i="59"/>
  <c r="AA17" i="59"/>
  <c r="Y16" i="59"/>
  <c r="Z16" i="59" s="1"/>
  <c r="AB14" i="59"/>
  <c r="AB15" i="59"/>
  <c r="Y13" i="59"/>
  <c r="Z13" i="59" s="1"/>
  <c r="X11" i="59"/>
  <c r="AA11" i="59"/>
  <c r="X8" i="59"/>
  <c r="Y8" i="59"/>
  <c r="Z8" i="59" s="1"/>
  <c r="Y7" i="59"/>
  <c r="Z7" i="59" s="1"/>
  <c r="T14" i="59"/>
  <c r="A2" i="55"/>
  <c r="B55" i="63" s="1"/>
  <c r="K76" i="9"/>
  <c r="K77" i="9" s="1"/>
  <c r="K79" i="9" s="1"/>
  <c r="K81" i="9" s="1"/>
  <c r="S32" i="21"/>
  <c r="BL31" i="3"/>
  <c r="AZ31" i="3" s="1"/>
  <c r="G32" i="3"/>
  <c r="BL33" i="3"/>
  <c r="AZ33" i="3" s="1"/>
  <c r="BQ5" i="3"/>
  <c r="F28" i="6" s="1"/>
  <c r="G27" i="3"/>
  <c r="G34" i="3"/>
  <c r="BA34" i="3"/>
  <c r="AZ34" i="3" s="1"/>
  <c r="G23" i="3"/>
  <c r="G25" i="3"/>
  <c r="BL26" i="3"/>
  <c r="BL30" i="3"/>
  <c r="BL32" i="3"/>
  <c r="G35" i="3"/>
  <c r="G36" i="3"/>
  <c r="G28" i="6"/>
  <c r="BL21" i="3"/>
  <c r="AZ36" i="3"/>
  <c r="AZ16" i="3"/>
  <c r="G15" i="3"/>
  <c r="G14" i="3"/>
  <c r="BA21" i="3"/>
  <c r="BA23" i="3"/>
  <c r="BA25" i="3"/>
  <c r="BA29" i="3"/>
  <c r="BA32" i="3"/>
  <c r="G21" i="6"/>
  <c r="E22" i="6"/>
  <c r="K9" i="1" s="1"/>
  <c r="G20" i="6"/>
  <c r="B37" i="9" s="1"/>
  <c r="E37" i="9" s="1"/>
  <c r="G19" i="3"/>
  <c r="AZ13" i="3"/>
  <c r="BL28" i="3"/>
  <c r="H20" i="36"/>
  <c r="U20" i="36" s="1"/>
  <c r="F68" i="36"/>
  <c r="G68" i="36" s="1"/>
  <c r="J20" i="36"/>
  <c r="AC20" i="36" s="1"/>
  <c r="AB14" i="36"/>
  <c r="AC14" i="36"/>
  <c r="AA26" i="36"/>
  <c r="S32" i="36"/>
  <c r="AA32" i="36"/>
  <c r="AC23" i="36"/>
  <c r="W23" i="36"/>
  <c r="H23" i="36"/>
  <c r="AB28" i="36"/>
  <c r="J27" i="36"/>
  <c r="F27" i="36"/>
  <c r="H81" i="36"/>
  <c r="I81" i="36" s="1"/>
  <c r="J81" i="36" s="1"/>
  <c r="K81" i="36" s="1"/>
  <c r="L81" i="36" s="1"/>
  <c r="M81" i="36" s="1"/>
  <c r="H27" i="36"/>
  <c r="F20" i="36"/>
  <c r="J16" i="36"/>
  <c r="AC34" i="36"/>
  <c r="W18" i="36"/>
  <c r="AC25" i="36"/>
  <c r="AC26" i="36"/>
  <c r="AC33" i="36"/>
  <c r="AC24" i="36"/>
  <c r="AB18" i="36"/>
  <c r="U26" i="36"/>
  <c r="S14" i="36"/>
  <c r="S18" i="36"/>
  <c r="AB20" i="36"/>
  <c r="W12" i="36"/>
  <c r="AC12" i="36"/>
  <c r="W9" i="36"/>
  <c r="S13" i="35"/>
  <c r="AA13" i="35"/>
  <c r="AC23" i="35"/>
  <c r="W23" i="35"/>
  <c r="F70" i="35"/>
  <c r="G70" i="35" s="1"/>
  <c r="J20" i="35"/>
  <c r="AC20" i="35" s="1"/>
  <c r="F20" i="35"/>
  <c r="S20" i="35" s="1"/>
  <c r="H20" i="35"/>
  <c r="AC24" i="35"/>
  <c r="W24" i="35"/>
  <c r="U24" i="35"/>
  <c r="W13" i="35"/>
  <c r="S23" i="35"/>
  <c r="AA36" i="35"/>
  <c r="H13" i="35"/>
  <c r="J33" i="35"/>
  <c r="W33" i="35" s="1"/>
  <c r="S22" i="35"/>
  <c r="H33" i="35"/>
  <c r="AB33" i="35" s="1"/>
  <c r="AB27" i="35"/>
  <c r="AA14" i="35"/>
  <c r="AA32" i="35"/>
  <c r="S32" i="35"/>
  <c r="W29" i="35"/>
  <c r="AA20" i="35"/>
  <c r="F66" i="35"/>
  <c r="G66" i="35" s="1"/>
  <c r="H16" i="35"/>
  <c r="J16" i="35"/>
  <c r="F16" i="35"/>
  <c r="AA16" i="35" s="1"/>
  <c r="F64" i="35"/>
  <c r="G64" i="35" s="1"/>
  <c r="J14" i="35"/>
  <c r="AC14" i="35" s="1"/>
  <c r="AA33" i="35"/>
  <c r="AC32" i="35"/>
  <c r="U31" i="35"/>
  <c r="AB30" i="35"/>
  <c r="S30" i="35"/>
  <c r="J26" i="35"/>
  <c r="H26" i="35"/>
  <c r="AB26" i="35" s="1"/>
  <c r="F26" i="35"/>
  <c r="W34" i="35"/>
  <c r="AC34" i="35"/>
  <c r="AB35" i="35"/>
  <c r="W35" i="35"/>
  <c r="F34" i="35"/>
  <c r="H34" i="35"/>
  <c r="U22" i="35"/>
  <c r="S18" i="35"/>
  <c r="S10" i="35"/>
  <c r="AC10" i="35"/>
  <c r="U9" i="35"/>
  <c r="G33" i="3"/>
  <c r="E32" i="6"/>
  <c r="D3" i="21"/>
  <c r="K6" i="1"/>
  <c r="M6" i="1" s="1"/>
  <c r="AA17" i="21"/>
  <c r="J43" i="21"/>
  <c r="G123" i="21"/>
  <c r="H123" i="21" s="1"/>
  <c r="I123" i="21" s="1"/>
  <c r="J123" i="21" s="1"/>
  <c r="K123" i="21" s="1"/>
  <c r="L123" i="21" s="1"/>
  <c r="M123" i="21" s="1"/>
  <c r="J42" i="21"/>
  <c r="AC42" i="21" s="1"/>
  <c r="F42" i="21"/>
  <c r="U40" i="21"/>
  <c r="AC40" i="21"/>
  <c r="AA38" i="21"/>
  <c r="H38" i="21"/>
  <c r="AB38" i="21" s="1"/>
  <c r="H113" i="21"/>
  <c r="J37" i="21"/>
  <c r="F37" i="21"/>
  <c r="H37" i="21"/>
  <c r="F85" i="21"/>
  <c r="G85" i="21" s="1"/>
  <c r="J23" i="21"/>
  <c r="W23" i="21" s="1"/>
  <c r="H23" i="21"/>
  <c r="U23" i="21" s="1"/>
  <c r="F23" i="21"/>
  <c r="AA23" i="21" s="1"/>
  <c r="F81" i="21"/>
  <c r="G81" i="21" s="1"/>
  <c r="H19" i="21"/>
  <c r="AB19" i="21" s="1"/>
  <c r="F19" i="21"/>
  <c r="J19" i="21"/>
  <c r="J15" i="21"/>
  <c r="W15" i="21" s="1"/>
  <c r="AB10" i="21"/>
  <c r="AC38" i="21"/>
  <c r="W39" i="21"/>
  <c r="U39" i="21"/>
  <c r="AB36" i="21"/>
  <c r="AB34" i="21"/>
  <c r="S45" i="21"/>
  <c r="S46" i="21"/>
  <c r="U43" i="21"/>
  <c r="U42" i="21"/>
  <c r="W42" i="21"/>
  <c r="AA40" i="21"/>
  <c r="U38" i="21"/>
  <c r="U35" i="21"/>
  <c r="AC35" i="21"/>
  <c r="S33" i="21"/>
  <c r="AC33" i="21"/>
  <c r="AB33" i="21"/>
  <c r="AB32" i="21"/>
  <c r="W32" i="21"/>
  <c r="AB14" i="21"/>
  <c r="AB13" i="21"/>
  <c r="W29" i="39"/>
  <c r="S29" i="39"/>
  <c r="H41" i="39"/>
  <c r="AB41" i="39" s="1"/>
  <c r="S21" i="21"/>
  <c r="AA15" i="21"/>
  <c r="S10" i="21"/>
  <c r="W10" i="21"/>
  <c r="S9" i="21"/>
  <c r="AA9" i="21"/>
  <c r="W9" i="21"/>
  <c r="H9" i="21"/>
  <c r="S8" i="21"/>
  <c r="H43" i="39"/>
  <c r="U43" i="39" s="1"/>
  <c r="F126" i="39"/>
  <c r="G126" i="39" s="1"/>
  <c r="H126" i="39" s="1"/>
  <c r="I126" i="39" s="1"/>
  <c r="J126" i="39" s="1"/>
  <c r="K126" i="39" s="1"/>
  <c r="L126" i="39" s="1"/>
  <c r="M126" i="39" s="1"/>
  <c r="F43" i="39"/>
  <c r="J43" i="39"/>
  <c r="AC43" i="39" s="1"/>
  <c r="AB42" i="39"/>
  <c r="U42" i="39"/>
  <c r="E124" i="39"/>
  <c r="F124" i="39" s="1"/>
  <c r="G124" i="39" s="1"/>
  <c r="H124" i="39" s="1"/>
  <c r="I124" i="39" s="1"/>
  <c r="J124" i="39" s="1"/>
  <c r="K124" i="39" s="1"/>
  <c r="L124" i="39" s="1"/>
  <c r="M124" i="39" s="1"/>
  <c r="J42" i="39"/>
  <c r="F42" i="39"/>
  <c r="G122" i="39"/>
  <c r="H122" i="39" s="1"/>
  <c r="I122" i="39" s="1"/>
  <c r="J122" i="39" s="1"/>
  <c r="K122" i="39" s="1"/>
  <c r="L122" i="39" s="1"/>
  <c r="M122" i="39" s="1"/>
  <c r="F41" i="39"/>
  <c r="AA41" i="39" s="1"/>
  <c r="J41" i="39"/>
  <c r="AC41" i="39" s="1"/>
  <c r="AC44" i="39"/>
  <c r="AB44" i="39"/>
  <c r="W43" i="39"/>
  <c r="S31" i="39"/>
  <c r="AC31" i="39"/>
  <c r="AB29" i="39"/>
  <c r="F101" i="39"/>
  <c r="G101" i="39" s="1"/>
  <c r="F27" i="39"/>
  <c r="J27" i="39"/>
  <c r="AC27" i="39" s="1"/>
  <c r="H27" i="39"/>
  <c r="AB27" i="39" s="1"/>
  <c r="AB25" i="39"/>
  <c r="W25" i="39"/>
  <c r="W23" i="39"/>
  <c r="W34" i="39"/>
  <c r="U34" i="39"/>
  <c r="U21" i="39"/>
  <c r="U40" i="39"/>
  <c r="W45" i="39"/>
  <c r="AC46" i="39"/>
  <c r="S45" i="39"/>
  <c r="AB46" i="39"/>
  <c r="AC47" i="39"/>
  <c r="AA37" i="39"/>
  <c r="S15" i="39"/>
  <c r="W16" i="39"/>
  <c r="S16" i="39"/>
  <c r="AB16" i="39"/>
  <c r="AB15" i="39"/>
  <c r="W15" i="39"/>
  <c r="A30" i="64"/>
  <c r="M20" i="15"/>
  <c r="M22" i="44"/>
  <c r="D86" i="9"/>
  <c r="F66" i="9"/>
  <c r="P72" i="9" s="1"/>
  <c r="F28" i="15"/>
  <c r="C28" i="15" s="1"/>
  <c r="F30" i="44"/>
  <c r="C30" i="44" s="1"/>
  <c r="M20" i="44"/>
  <c r="F70" i="9"/>
  <c r="F32" i="15"/>
  <c r="F59" i="15" s="1"/>
  <c r="F72" i="9"/>
  <c r="D23" i="15"/>
  <c r="I4" i="6"/>
  <c r="C13" i="39" s="1"/>
  <c r="BL22" i="3"/>
  <c r="BL24" i="3"/>
  <c r="BL25" i="3"/>
  <c r="AZ25" i="3" s="1"/>
  <c r="BL27" i="3"/>
  <c r="AZ28" i="3"/>
  <c r="BL29" i="3"/>
  <c r="AZ29" i="3" s="1"/>
  <c r="G30" i="3"/>
  <c r="AZ18" i="3"/>
  <c r="AZ15" i="3"/>
  <c r="BL20" i="3"/>
  <c r="AZ20" i="3" s="1"/>
  <c r="AZ19" i="3"/>
  <c r="G21" i="3"/>
  <c r="G22" i="3"/>
  <c r="G24" i="3"/>
  <c r="G26" i="3"/>
  <c r="G28" i="3"/>
  <c r="G29" i="3"/>
  <c r="AZ30" i="3"/>
  <c r="E53" i="40"/>
  <c r="E58" i="39"/>
  <c r="F27" i="6"/>
  <c r="BA22" i="3"/>
  <c r="AZ22" i="3" s="1"/>
  <c r="BA24" i="3"/>
  <c r="BA26" i="3"/>
  <c r="AZ26" i="3" s="1"/>
  <c r="G13" i="3"/>
  <c r="AZ23" i="3"/>
  <c r="D12" i="11"/>
  <c r="C12" i="11" s="1"/>
  <c r="AZ21" i="3"/>
  <c r="E15" i="6"/>
  <c r="E12" i="6"/>
  <c r="E11" i="6"/>
  <c r="P12" i="1"/>
  <c r="P11" i="1"/>
  <c r="P13" i="1"/>
  <c r="D5" i="46"/>
  <c r="C5" i="46"/>
  <c r="A18" i="64"/>
  <c r="B74" i="63" s="1"/>
  <c r="A18" i="51"/>
  <c r="B14" i="63" s="1"/>
  <c r="L5" i="54"/>
  <c r="B39" i="63" s="1"/>
  <c r="K5" i="54"/>
  <c r="T41" i="4"/>
  <c r="A17" i="64" s="1"/>
  <c r="C53" i="10"/>
  <c r="A25" i="64" s="1"/>
  <c r="K17" i="4"/>
  <c r="A22" i="51" s="1"/>
  <c r="B16" i="63" s="1"/>
  <c r="G6" i="1"/>
  <c r="L52" i="37"/>
  <c r="M52" i="37" s="1"/>
  <c r="N52" i="37" s="1"/>
  <c r="O52" i="37" s="1"/>
  <c r="K48" i="35"/>
  <c r="L48" i="35" s="1"/>
  <c r="M48" i="35" s="1"/>
  <c r="N48" i="35" s="1"/>
  <c r="O48" i="35" s="1"/>
  <c r="H70" i="39"/>
  <c r="D58" i="33"/>
  <c r="E58" i="33" s="1"/>
  <c r="F58" i="33" s="1"/>
  <c r="G58" i="33" s="1"/>
  <c r="H58" i="33" s="1"/>
  <c r="I58" i="33" s="1"/>
  <c r="J58" i="33" s="1"/>
  <c r="K58" i="33" s="1"/>
  <c r="L58" i="33" s="1"/>
  <c r="M58" i="33" s="1"/>
  <c r="N58" i="33" s="1"/>
  <c r="O58" i="33" s="1"/>
  <c r="F7" i="33"/>
  <c r="D58" i="21"/>
  <c r="E58" i="21" s="1"/>
  <c r="F58" i="21" s="1"/>
  <c r="G58" i="21" s="1"/>
  <c r="H58" i="21" s="1"/>
  <c r="I58" i="21" s="1"/>
  <c r="J58" i="21" s="1"/>
  <c r="K58" i="21" s="1"/>
  <c r="L58" i="21" s="1"/>
  <c r="M58" i="21" s="1"/>
  <c r="N58" i="21" s="1"/>
  <c r="O58" i="21" s="1"/>
  <c r="H7" i="21"/>
  <c r="F7" i="21"/>
  <c r="D59" i="34"/>
  <c r="E59" i="34" s="1"/>
  <c r="F59" i="34" s="1"/>
  <c r="G59" i="34" s="1"/>
  <c r="H59" i="34" s="1"/>
  <c r="I59" i="34" s="1"/>
  <c r="J59" i="34" s="1"/>
  <c r="K59" i="34" s="1"/>
  <c r="L59" i="34" s="1"/>
  <c r="M59" i="34" s="1"/>
  <c r="N59" i="34" s="1"/>
  <c r="O59" i="34" s="1"/>
  <c r="F7" i="34"/>
  <c r="J7" i="36"/>
  <c r="H7" i="36"/>
  <c r="F7" i="36"/>
  <c r="X5" i="59"/>
  <c r="Y5" i="59"/>
  <c r="Z5" i="59" s="1"/>
  <c r="B4" i="52"/>
  <c r="B8" i="52"/>
  <c r="E22" i="52"/>
  <c r="E7" i="52"/>
  <c r="E13" i="52"/>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Q73" i="44"/>
  <c r="F65" i="15"/>
  <c r="F67" i="15"/>
  <c r="F50" i="15"/>
  <c r="C27" i="15"/>
  <c r="F64" i="15"/>
  <c r="L59" i="15"/>
  <c r="L58" i="15"/>
  <c r="L60" i="44"/>
  <c r="L59" i="44"/>
  <c r="J53" i="15"/>
  <c r="J57" i="15"/>
  <c r="J55" i="15" s="1"/>
  <c r="J58" i="15" s="1"/>
  <c r="Q51" i="15" s="1"/>
  <c r="I54" i="15"/>
  <c r="L56" i="15"/>
  <c r="I55" i="44"/>
  <c r="J54" i="44"/>
  <c r="L57" i="44"/>
  <c r="J58" i="44"/>
  <c r="J56" i="44" s="1"/>
  <c r="J59" i="44" s="1"/>
  <c r="Q52" i="44" s="1"/>
  <c r="J60" i="44"/>
  <c r="J61" i="44"/>
  <c r="Q50" i="44" s="1"/>
  <c r="Q72" i="15"/>
  <c r="F63" i="15"/>
  <c r="C4" i="65"/>
  <c r="B39" i="1" s="1"/>
  <c r="F31" i="15"/>
  <c r="F33" i="44"/>
  <c r="M17" i="15"/>
  <c r="M19" i="44"/>
  <c r="F58" i="15"/>
  <c r="F15" i="44"/>
  <c r="I4" i="65"/>
  <c r="J3" i="65"/>
  <c r="M31" i="44"/>
  <c r="F9" i="44"/>
  <c r="J4" i="65"/>
  <c r="M28" i="44"/>
  <c r="F39" i="44"/>
  <c r="I5" i="65"/>
  <c r="F11" i="44"/>
  <c r="F28" i="44"/>
  <c r="J7" i="65"/>
  <c r="I6" i="65"/>
  <c r="I7" i="65"/>
  <c r="J6" i="65"/>
  <c r="E29" i="6" l="1"/>
  <c r="E10" i="6"/>
  <c r="AB15" i="21"/>
  <c r="C29" i="44"/>
  <c r="I1" i="65"/>
  <c r="E20" i="46"/>
  <c r="P28" i="46" s="1"/>
  <c r="J1" i="65"/>
  <c r="F30" i="6"/>
  <c r="F31" i="6" s="1"/>
  <c r="E28" i="6"/>
  <c r="D20" i="59"/>
  <c r="C21" i="59"/>
  <c r="U34" i="36"/>
  <c r="AB34" i="36"/>
  <c r="AA9" i="36"/>
  <c r="S9" i="36"/>
  <c r="C19" i="46"/>
  <c r="F7" i="35"/>
  <c r="AA7" i="35" s="1"/>
  <c r="R38" i="35" s="1"/>
  <c r="H7" i="37"/>
  <c r="E66" i="39"/>
  <c r="S23" i="39"/>
  <c r="S25" i="39"/>
  <c r="P56" i="59"/>
  <c r="P55" i="59"/>
  <c r="S18" i="59"/>
  <c r="B17" i="59"/>
  <c r="B16" i="59" s="1"/>
  <c r="U12" i="33"/>
  <c r="AB12" i="33"/>
  <c r="S11" i="35"/>
  <c r="AA11" i="35"/>
  <c r="S24" i="36"/>
  <c r="AA24" i="36"/>
  <c r="W46" i="21"/>
  <c r="AC46" i="21"/>
  <c r="AA26" i="37"/>
  <c r="S26" i="37"/>
  <c r="AB11" i="36"/>
  <c r="U11" i="36"/>
  <c r="E13" i="6"/>
  <c r="AB14" i="40"/>
  <c r="U14" i="40"/>
  <c r="S44" i="39"/>
  <c r="AA44" i="39"/>
  <c r="D7" i="59"/>
  <c r="C6" i="59"/>
  <c r="AB9" i="36"/>
  <c r="U9" i="36"/>
  <c r="U44" i="33"/>
  <c r="AB44" i="33"/>
  <c r="G65" i="40"/>
  <c r="F67" i="40"/>
  <c r="U33" i="35"/>
  <c r="D50" i="59"/>
  <c r="T50" i="59"/>
  <c r="AA39" i="39"/>
  <c r="S39" i="39"/>
  <c r="AC40" i="37"/>
  <c r="W40" i="37"/>
  <c r="F91" i="39"/>
  <c r="G91" i="39" s="1"/>
  <c r="F17" i="39"/>
  <c r="U32" i="36"/>
  <c r="AB32" i="36"/>
  <c r="F7" i="37"/>
  <c r="AA7" i="37" s="1"/>
  <c r="R42" i="37" s="1"/>
  <c r="U41" i="39"/>
  <c r="S41" i="39"/>
  <c r="AC23" i="21"/>
  <c r="W20" i="35"/>
  <c r="D56" i="59"/>
  <c r="O55" i="59"/>
  <c r="O56" i="59"/>
  <c r="S34" i="36"/>
  <c r="AA34" i="36"/>
  <c r="AB30" i="33"/>
  <c r="U30" i="33"/>
  <c r="W37" i="39"/>
  <c r="AC37" i="39"/>
  <c r="S12" i="33"/>
  <c r="AA12" i="33"/>
  <c r="U33" i="36"/>
  <c r="AB33" i="36"/>
  <c r="AZ503" i="3"/>
  <c r="AB15" i="40"/>
  <c r="U15" i="40"/>
  <c r="H17" i="39"/>
  <c r="W26" i="37"/>
  <c r="AC26" i="37"/>
  <c r="W14" i="40"/>
  <c r="AC14" i="40"/>
  <c r="AA14" i="21"/>
  <c r="S14" i="21"/>
  <c r="AA12" i="37"/>
  <c r="S12" i="37"/>
  <c r="AA23" i="36"/>
  <c r="S23" i="36"/>
  <c r="AA29" i="33"/>
  <c r="S29" i="33"/>
  <c r="AC30" i="21"/>
  <c r="W30" i="21"/>
  <c r="AB16" i="36"/>
  <c r="U16" i="36"/>
  <c r="AA16" i="36"/>
  <c r="S16" i="36"/>
  <c r="W44" i="33"/>
  <c r="AC44" i="33"/>
  <c r="J7" i="21"/>
  <c r="AC7" i="21" s="1"/>
  <c r="J7" i="37"/>
  <c r="BA5" i="3"/>
  <c r="E27" i="6" s="1"/>
  <c r="AZ27" i="3"/>
  <c r="S23" i="21"/>
  <c r="S16" i="35"/>
  <c r="AC33" i="35"/>
  <c r="AA29" i="35"/>
  <c r="E21" i="6"/>
  <c r="D3" i="35" s="1"/>
  <c r="B38" i="9"/>
  <c r="E38" i="9" s="1"/>
  <c r="C43" i="9" s="1"/>
  <c r="K47" i="9" s="1"/>
  <c r="A14" i="55" s="1"/>
  <c r="B65" i="63" s="1"/>
  <c r="D17" i="59"/>
  <c r="C16" i="59"/>
  <c r="D16" i="59" s="1"/>
  <c r="B9" i="59"/>
  <c r="B8" i="59" s="1"/>
  <c r="B7" i="59" s="1"/>
  <c r="B6" i="59" s="1"/>
  <c r="S10" i="59"/>
  <c r="E9" i="59"/>
  <c r="E8" i="59" s="1"/>
  <c r="E7" i="59" s="1"/>
  <c r="E6" i="59" s="1"/>
  <c r="U10" i="59"/>
  <c r="D33" i="59"/>
  <c r="C34" i="59"/>
  <c r="D30" i="59"/>
  <c r="T30" i="59"/>
  <c r="AC12" i="33"/>
  <c r="W12" i="33"/>
  <c r="AZ487" i="3"/>
  <c r="AZ505" i="3"/>
  <c r="U39" i="39"/>
  <c r="AB39" i="39"/>
  <c r="U28" i="37"/>
  <c r="AB28" i="37"/>
  <c r="AC15" i="40"/>
  <c r="W15" i="40"/>
  <c r="J17" i="39"/>
  <c r="AA14" i="40"/>
  <c r="S14" i="40"/>
  <c r="F97" i="39"/>
  <c r="G97" i="39" s="1"/>
  <c r="H23" i="39"/>
  <c r="AZ520" i="3"/>
  <c r="AC12" i="37"/>
  <c r="W12" i="37"/>
  <c r="AB24" i="36"/>
  <c r="U24" i="36"/>
  <c r="W29" i="33"/>
  <c r="AC29" i="33"/>
  <c r="AZ32" i="3"/>
  <c r="C8" i="44"/>
  <c r="C34" i="44" s="1"/>
  <c r="M9" i="44"/>
  <c r="J8" i="44" s="1"/>
  <c r="J20" i="44" s="1"/>
  <c r="K8" i="1"/>
  <c r="M8" i="1" s="1"/>
  <c r="O8" i="1" s="1"/>
  <c r="P8" i="1" s="1"/>
  <c r="E9" i="12"/>
  <c r="G27" i="6"/>
  <c r="E20" i="6"/>
  <c r="M9" i="1"/>
  <c r="W20" i="36"/>
  <c r="AB23" i="36"/>
  <c r="U23" i="36"/>
  <c r="AB27" i="36"/>
  <c r="U27" i="36"/>
  <c r="S27" i="36"/>
  <c r="AA27" i="36"/>
  <c r="W27" i="36"/>
  <c r="AC27" i="36"/>
  <c r="S20" i="36"/>
  <c r="AA20" i="36"/>
  <c r="AC16" i="36"/>
  <c r="W16" i="36"/>
  <c r="AB20" i="35"/>
  <c r="U20" i="35"/>
  <c r="U13" i="35"/>
  <c r="AB13" i="35"/>
  <c r="U16" i="35"/>
  <c r="AB16" i="35"/>
  <c r="W16" i="35"/>
  <c r="AC16" i="35"/>
  <c r="W14" i="35"/>
  <c r="U26" i="35"/>
  <c r="S26" i="35"/>
  <c r="AA26" i="35"/>
  <c r="AC26" i="35"/>
  <c r="W26" i="35"/>
  <c r="AB34" i="35"/>
  <c r="U34" i="35"/>
  <c r="S34" i="35"/>
  <c r="AA34" i="35"/>
  <c r="O6" i="1"/>
  <c r="P6" i="1" s="1"/>
  <c r="C15" i="12" s="1"/>
  <c r="C15" i="43"/>
  <c r="K15" i="1"/>
  <c r="L19" i="6"/>
  <c r="L20" i="6"/>
  <c r="U19" i="21"/>
  <c r="AC43" i="21"/>
  <c r="W43" i="21"/>
  <c r="AA42" i="21"/>
  <c r="S42" i="21"/>
  <c r="U37" i="21"/>
  <c r="AB37" i="21"/>
  <c r="W37" i="21"/>
  <c r="AC37" i="21"/>
  <c r="S37" i="21"/>
  <c r="AA37" i="21"/>
  <c r="AB23" i="21"/>
  <c r="W19" i="21"/>
  <c r="AC19" i="21"/>
  <c r="AA19" i="21"/>
  <c r="S19" i="21"/>
  <c r="AC15" i="21"/>
  <c r="U27" i="39"/>
  <c r="AB9" i="21"/>
  <c r="U9" i="21"/>
  <c r="AB43" i="39"/>
  <c r="AA43" i="39"/>
  <c r="S43" i="39"/>
  <c r="AC42" i="39"/>
  <c r="W42" i="39"/>
  <c r="AA42" i="39"/>
  <c r="S42" i="39"/>
  <c r="W41" i="39"/>
  <c r="W27" i="39"/>
  <c r="AA27" i="39"/>
  <c r="S27" i="39"/>
  <c r="BL5" i="3"/>
  <c r="AZ24" i="3"/>
  <c r="G5" i="3"/>
  <c r="B3" i="3" s="1"/>
  <c r="E435" i="3" s="1"/>
  <c r="G30" i="6"/>
  <c r="G31" i="6" s="1"/>
  <c r="E16" i="6"/>
  <c r="E58" i="40"/>
  <c r="E63" i="39"/>
  <c r="E62" i="40"/>
  <c r="E67" i="39"/>
  <c r="K14" i="1"/>
  <c r="E59" i="40"/>
  <c r="E64" i="39"/>
  <c r="A17" i="51"/>
  <c r="B13" i="63" s="1"/>
  <c r="A3" i="55"/>
  <c r="B56" i="63" s="1"/>
  <c r="B38" i="63"/>
  <c r="A25" i="51"/>
  <c r="B18" i="63" s="1"/>
  <c r="AA7" i="36"/>
  <c r="S7" i="36"/>
  <c r="AC7" i="36"/>
  <c r="W7" i="36"/>
  <c r="J7" i="34"/>
  <c r="H7" i="34"/>
  <c r="W7" i="21"/>
  <c r="J7" i="33"/>
  <c r="H7" i="33"/>
  <c r="S7" i="35"/>
  <c r="H7" i="35"/>
  <c r="AB7" i="37"/>
  <c r="T42" i="37" s="1"/>
  <c r="G42" i="37" s="1"/>
  <c r="U7" i="37"/>
  <c r="W7" i="37"/>
  <c r="AC7" i="37"/>
  <c r="V42" i="37" s="1"/>
  <c r="I42" i="37" s="1"/>
  <c r="AB7" i="36"/>
  <c r="U7" i="36"/>
  <c r="AA7" i="34"/>
  <c r="R49" i="34" s="1"/>
  <c r="S7" i="34"/>
  <c r="AA7" i="21"/>
  <c r="S7" i="21"/>
  <c r="AB7" i="21"/>
  <c r="U7" i="21"/>
  <c r="AA7" i="33"/>
  <c r="R48" i="33" s="1"/>
  <c r="S7" i="33"/>
  <c r="H72" i="39"/>
  <c r="I70" i="39"/>
  <c r="J7" i="35"/>
  <c r="S7" i="37"/>
  <c r="Q62" i="15"/>
  <c r="Q75" i="15"/>
  <c r="M13" i="44"/>
  <c r="J12" i="44" s="1"/>
  <c r="F11" i="15"/>
  <c r="M11" i="15"/>
  <c r="J10" i="15" s="1"/>
  <c r="F13" i="44"/>
  <c r="C12" i="44" s="1"/>
  <c r="Q75" i="44"/>
  <c r="Q62" i="44"/>
  <c r="F1" i="44"/>
  <c r="Q54" i="44"/>
  <c r="Q63" i="44"/>
  <c r="Q76" i="44"/>
  <c r="F1" i="15"/>
  <c r="Q53" i="15"/>
  <c r="Q61" i="15"/>
  <c r="Q74" i="15"/>
  <c r="AE7" i="1"/>
  <c r="E2" i="65"/>
  <c r="F41" i="15"/>
  <c r="C18" i="44"/>
  <c r="E3" i="65"/>
  <c r="N32" i="6" l="1"/>
  <c r="N31" i="6"/>
  <c r="M28" i="46"/>
  <c r="N28" i="46"/>
  <c r="O28" i="46"/>
  <c r="G20" i="46" s="1"/>
  <c r="F17" i="11"/>
  <c r="C17" i="11" s="1"/>
  <c r="B40" i="1"/>
  <c r="F24" i="15" s="1"/>
  <c r="C24" i="15" s="1"/>
  <c r="K22" i="6"/>
  <c r="K21" i="6"/>
  <c r="M21" i="6" s="1"/>
  <c r="I21" i="6" s="1"/>
  <c r="S21" i="6" s="1"/>
  <c r="K26" i="6"/>
  <c r="M26" i="6" s="1"/>
  <c r="I26" i="6" s="1"/>
  <c r="K23" i="6"/>
  <c r="M23" i="6" s="1"/>
  <c r="I23" i="6" s="1"/>
  <c r="K19" i="6"/>
  <c r="S6" i="1" s="1"/>
  <c r="AB23" i="39"/>
  <c r="U23" i="39"/>
  <c r="E60" i="40"/>
  <c r="E65" i="39"/>
  <c r="D21" i="59"/>
  <c r="C22" i="59"/>
  <c r="R36" i="36"/>
  <c r="K25" i="6"/>
  <c r="M25" i="6" s="1"/>
  <c r="I25" i="6" s="1"/>
  <c r="K24" i="6"/>
  <c r="M24" i="6" s="1"/>
  <c r="I24" i="6" s="1"/>
  <c r="K20" i="6"/>
  <c r="AZ5" i="3"/>
  <c r="E3" i="6" s="1"/>
  <c r="D34" i="59"/>
  <c r="T34" i="59"/>
  <c r="G67" i="40"/>
  <c r="H65" i="40"/>
  <c r="W17" i="39"/>
  <c r="AC17" i="39"/>
  <c r="E5" i="59"/>
  <c r="U6" i="59"/>
  <c r="T36" i="36"/>
  <c r="G36" i="36" s="1"/>
  <c r="B5" i="59"/>
  <c r="S6" i="59"/>
  <c r="C5" i="59"/>
  <c r="D5" i="59" s="1"/>
  <c r="T6" i="59"/>
  <c r="D6" i="59"/>
  <c r="V36" i="36"/>
  <c r="I36" i="36" s="1"/>
  <c r="G41" i="36" s="1"/>
  <c r="H41" i="36" s="1"/>
  <c r="E30" i="6"/>
  <c r="E31" i="6" s="1"/>
  <c r="U17" i="39"/>
  <c r="AB17" i="39"/>
  <c r="S17" i="39"/>
  <c r="AA17" i="39"/>
  <c r="C7" i="44"/>
  <c r="C40" i="44" s="1"/>
  <c r="J7" i="44"/>
  <c r="J26" i="44" s="1"/>
  <c r="O9" i="1"/>
  <c r="P9" i="1" s="1"/>
  <c r="D3" i="36"/>
  <c r="D9" i="12"/>
  <c r="K7" i="1"/>
  <c r="K16" i="1" s="1"/>
  <c r="F68" i="15"/>
  <c r="L27" i="6"/>
  <c r="M22" i="6"/>
  <c r="I22" i="6" s="1"/>
  <c r="S9" i="1"/>
  <c r="M20" i="6"/>
  <c r="I20" i="6" s="1"/>
  <c r="S7" i="1"/>
  <c r="E381" i="3"/>
  <c r="E317" i="3"/>
  <c r="E97" i="3"/>
  <c r="E274" i="3"/>
  <c r="E270" i="3"/>
  <c r="O6" i="3"/>
  <c r="E110" i="3"/>
  <c r="E444" i="3"/>
  <c r="E265" i="3"/>
  <c r="E33" i="3"/>
  <c r="E295" i="3"/>
  <c r="E196" i="3"/>
  <c r="E113" i="3"/>
  <c r="E278" i="3"/>
  <c r="E247" i="3"/>
  <c r="E179" i="3"/>
  <c r="E337" i="3"/>
  <c r="E289" i="3"/>
  <c r="E119" i="3"/>
  <c r="E547" i="3"/>
  <c r="E201" i="3"/>
  <c r="E161" i="3"/>
  <c r="E395" i="3"/>
  <c r="E207" i="3"/>
  <c r="E257" i="3"/>
  <c r="E98" i="3"/>
  <c r="E94" i="3"/>
  <c r="E286" i="3"/>
  <c r="E459" i="3"/>
  <c r="E38" i="3"/>
  <c r="E456" i="3"/>
  <c r="E171" i="3"/>
  <c r="E344" i="3"/>
  <c r="E497" i="3"/>
  <c r="E553" i="3"/>
  <c r="E563" i="3"/>
  <c r="E268" i="3"/>
  <c r="E565" i="3"/>
  <c r="E475" i="3"/>
  <c r="E333" i="3"/>
  <c r="E195" i="3"/>
  <c r="E266" i="3"/>
  <c r="Z6" i="3"/>
  <c r="E158" i="3"/>
  <c r="E397" i="3"/>
  <c r="E232" i="3"/>
  <c r="E52" i="3"/>
  <c r="E73" i="3"/>
  <c r="E41" i="3"/>
  <c r="E92" i="3"/>
  <c r="E202" i="3"/>
  <c r="E304" i="3"/>
  <c r="E404" i="3"/>
  <c r="E441" i="3"/>
  <c r="E390" i="3"/>
  <c r="E199" i="3"/>
  <c r="E218" i="3"/>
  <c r="E174" i="3"/>
  <c r="E398" i="3"/>
  <c r="E425" i="3"/>
  <c r="E166" i="3"/>
  <c r="E204" i="3"/>
  <c r="E449" i="3"/>
  <c r="E259" i="3"/>
  <c r="E280" i="3"/>
  <c r="E157" i="3"/>
  <c r="E492" i="3"/>
  <c r="E89" i="3"/>
  <c r="E170" i="3"/>
  <c r="E32" i="3"/>
  <c r="E447" i="3"/>
  <c r="Q6" i="3"/>
  <c r="E500" i="3"/>
  <c r="AE6" i="3"/>
  <c r="E23" i="3"/>
  <c r="AM6" i="3"/>
  <c r="E478" i="3"/>
  <c r="E357" i="3"/>
  <c r="AS6" i="3"/>
  <c r="E383" i="3"/>
  <c r="E535" i="3"/>
  <c r="E427" i="3"/>
  <c r="E240" i="3"/>
  <c r="E263" i="3"/>
  <c r="E133" i="3"/>
  <c r="E236" i="3"/>
  <c r="E531" i="3"/>
  <c r="E571" i="3"/>
  <c r="E566" i="3"/>
  <c r="E273" i="3"/>
  <c r="E112" i="3"/>
  <c r="E175" i="3"/>
  <c r="E503" i="3"/>
  <c r="E206" i="3"/>
  <c r="E115" i="3"/>
  <c r="E321" i="3"/>
  <c r="I6" i="3"/>
  <c r="E520" i="3"/>
  <c r="E54" i="3"/>
  <c r="E184" i="3"/>
  <c r="E539" i="3"/>
  <c r="U6" i="3"/>
  <c r="E211" i="3"/>
  <c r="E418" i="3"/>
  <c r="E414" i="3"/>
  <c r="E131" i="3"/>
  <c r="E165" i="3"/>
  <c r="E30" i="3"/>
  <c r="E367" i="3"/>
  <c r="E187" i="3"/>
  <c r="E13" i="3"/>
  <c r="E193" i="3"/>
  <c r="E49" i="3"/>
  <c r="E156" i="3"/>
  <c r="E283" i="3"/>
  <c r="E550" i="3"/>
  <c r="E407" i="3"/>
  <c r="E34" i="3"/>
  <c r="E168" i="3"/>
  <c r="E141" i="3"/>
  <c r="E28" i="3"/>
  <c r="E80" i="3"/>
  <c r="E415" i="3"/>
  <c r="E78" i="3"/>
  <c r="E194" i="3"/>
  <c r="E443" i="3"/>
  <c r="E561" i="3"/>
  <c r="E455" i="3"/>
  <c r="E438" i="3"/>
  <c r="E48" i="3"/>
  <c r="J6" i="3"/>
  <c r="E178" i="3"/>
  <c r="E75" i="3"/>
  <c r="E60" i="3"/>
  <c r="E426" i="3"/>
  <c r="E292" i="3"/>
  <c r="E463" i="3"/>
  <c r="I3" i="6"/>
  <c r="E460" i="3"/>
  <c r="E549" i="3"/>
  <c r="E249" i="3"/>
  <c r="E149" i="3"/>
  <c r="E450" i="3"/>
  <c r="E209" i="3"/>
  <c r="E464" i="3"/>
  <c r="E59" i="3"/>
  <c r="AN6" i="3"/>
  <c r="E297" i="3"/>
  <c r="E276" i="3"/>
  <c r="E43" i="3"/>
  <c r="E479" i="3"/>
  <c r="E258" i="3"/>
  <c r="E25" i="3"/>
  <c r="E102" i="3"/>
  <c r="E272" i="3"/>
  <c r="E401" i="3"/>
  <c r="E79" i="3"/>
  <c r="E363" i="3"/>
  <c r="E422" i="3"/>
  <c r="E129" i="3"/>
  <c r="E63" i="3"/>
  <c r="E442" i="3"/>
  <c r="E490" i="3"/>
  <c r="E423" i="3"/>
  <c r="E225" i="3"/>
  <c r="E296" i="3"/>
  <c r="E399" i="3"/>
  <c r="E205" i="3"/>
  <c r="E223" i="3"/>
  <c r="E374" i="3"/>
  <c r="E100" i="3"/>
  <c r="E428" i="3"/>
  <c r="E237" i="3"/>
  <c r="E36" i="3"/>
  <c r="E44" i="3"/>
  <c r="E238" i="3"/>
  <c r="E408" i="3"/>
  <c r="E471" i="3"/>
  <c r="E250" i="3"/>
  <c r="E126" i="3"/>
  <c r="E305" i="3"/>
  <c r="E451" i="3"/>
  <c r="E245" i="3"/>
  <c r="E568" i="3"/>
  <c r="E473" i="3"/>
  <c r="E47" i="3"/>
  <c r="E213" i="3"/>
  <c r="E253" i="3"/>
  <c r="AK6" i="3"/>
  <c r="E454" i="3"/>
  <c r="E548" i="3"/>
  <c r="E215" i="3"/>
  <c r="E127" i="3"/>
  <c r="E391" i="3"/>
  <c r="E359" i="3"/>
  <c r="E91" i="3"/>
  <c r="E132" i="3"/>
  <c r="E421" i="3"/>
  <c r="AO6" i="3"/>
  <c r="E380" i="3"/>
  <c r="E318" i="3"/>
  <c r="E316" i="3"/>
  <c r="E341" i="3"/>
  <c r="E254" i="3"/>
  <c r="E542" i="3"/>
  <c r="E494" i="3"/>
  <c r="E515" i="3"/>
  <c r="E167" i="3"/>
  <c r="E518" i="3"/>
  <c r="E335" i="3"/>
  <c r="E495" i="3"/>
  <c r="E354" i="3"/>
  <c r="E474" i="3"/>
  <c r="E50" i="3"/>
  <c r="E256" i="3"/>
  <c r="E416" i="3"/>
  <c r="E99" i="3"/>
  <c r="E470" i="3"/>
  <c r="E192" i="3"/>
  <c r="E516" i="3"/>
  <c r="E376" i="3"/>
  <c r="E323" i="3"/>
  <c r="E338" i="3"/>
  <c r="E488" i="3"/>
  <c r="E326" i="3"/>
  <c r="E22" i="3"/>
  <c r="E231" i="3"/>
  <c r="E186" i="3"/>
  <c r="E82" i="3"/>
  <c r="E101" i="3"/>
  <c r="E67" i="3"/>
  <c r="E160" i="3"/>
  <c r="E458" i="3"/>
  <c r="E319" i="3"/>
  <c r="E569" i="3"/>
  <c r="AJ6" i="3"/>
  <c r="E546" i="3"/>
  <c r="E15" i="3"/>
  <c r="E251" i="3"/>
  <c r="E56" i="3"/>
  <c r="E122" i="3"/>
  <c r="E208" i="3"/>
  <c r="E485" i="3"/>
  <c r="E483" i="3"/>
  <c r="E366" i="3"/>
  <c r="E532" i="3"/>
  <c r="E330" i="3"/>
  <c r="E340" i="3"/>
  <c r="E350" i="3"/>
  <c r="E521" i="3"/>
  <c r="E496" i="3"/>
  <c r="E130" i="3"/>
  <c r="E352" i="3"/>
  <c r="E461" i="3"/>
  <c r="E138" i="3"/>
  <c r="E328" i="3"/>
  <c r="E519" i="3"/>
  <c r="E155" i="3"/>
  <c r="E252" i="3"/>
  <c r="E346" i="3"/>
  <c r="E544" i="3"/>
  <c r="E541" i="3"/>
  <c r="E523" i="3"/>
  <c r="E557" i="3"/>
  <c r="E413" i="3"/>
  <c r="M6" i="3"/>
  <c r="E241" i="3"/>
  <c r="E69" i="3"/>
  <c r="E446" i="3"/>
  <c r="E152" i="3"/>
  <c r="E437" i="3"/>
  <c r="E46" i="3"/>
  <c r="E221" i="3"/>
  <c r="E457" i="3"/>
  <c r="E31" i="3"/>
  <c r="X6" i="3"/>
  <c r="AA6" i="3"/>
  <c r="AD6" i="3"/>
  <c r="E299" i="3"/>
  <c r="E327" i="3"/>
  <c r="E103" i="3"/>
  <c r="E200" i="3"/>
  <c r="E62" i="3"/>
  <c r="E389" i="3"/>
  <c r="E230" i="3"/>
  <c r="E143" i="3"/>
  <c r="E472" i="3"/>
  <c r="E537" i="3"/>
  <c r="E452" i="3"/>
  <c r="E536" i="3"/>
  <c r="E462" i="3"/>
  <c r="E545" i="3"/>
  <c r="E482" i="3"/>
  <c r="N6" i="3"/>
  <c r="E136" i="3"/>
  <c r="E85" i="3"/>
  <c r="E332" i="3"/>
  <c r="E139" i="3"/>
  <c r="E445" i="3"/>
  <c r="E556" i="3"/>
  <c r="E291" i="3"/>
  <c r="E527" i="3"/>
  <c r="E365" i="3"/>
  <c r="E248" i="3"/>
  <c r="E411" i="3"/>
  <c r="E353" i="3"/>
  <c r="K6" i="3"/>
  <c r="E491" i="3"/>
  <c r="E29" i="3"/>
  <c r="E87" i="3"/>
  <c r="E242" i="3"/>
  <c r="E96" i="3"/>
  <c r="E264" i="3"/>
  <c r="E37" i="3"/>
  <c r="R6" i="3"/>
  <c r="E262" i="3"/>
  <c r="E164" i="3"/>
  <c r="E424" i="3"/>
  <c r="E311" i="3"/>
  <c r="E349" i="3"/>
  <c r="E528" i="3"/>
  <c r="E117" i="3"/>
  <c r="E439" i="3"/>
  <c r="E147" i="3"/>
  <c r="E481" i="3"/>
  <c r="E382" i="3"/>
  <c r="E71" i="3"/>
  <c r="E227" i="3"/>
  <c r="E522" i="3"/>
  <c r="E284" i="3"/>
  <c r="E370" i="3"/>
  <c r="E177" i="3"/>
  <c r="E308" i="3"/>
  <c r="E486" i="3"/>
  <c r="AT6" i="3"/>
  <c r="E405" i="3"/>
  <c r="E84" i="3"/>
  <c r="E57" i="3"/>
  <c r="E552" i="3"/>
  <c r="E434" i="3"/>
  <c r="E77" i="3"/>
  <c r="E146" i="3"/>
  <c r="E430" i="3"/>
  <c r="E388" i="3"/>
  <c r="E222" i="3"/>
  <c r="E124" i="3"/>
  <c r="E83" i="3"/>
  <c r="E409" i="3"/>
  <c r="E375" i="3"/>
  <c r="E570" i="3"/>
  <c r="E282" i="3"/>
  <c r="E55" i="3"/>
  <c r="E394" i="3"/>
  <c r="E93" i="3"/>
  <c r="E348" i="3"/>
  <c r="E114" i="3"/>
  <c r="E476" i="3"/>
  <c r="E356" i="3"/>
  <c r="E484" i="3"/>
  <c r="E301" i="3"/>
  <c r="E137" i="3"/>
  <c r="E244" i="3"/>
  <c r="E406" i="3"/>
  <c r="E504" i="3"/>
  <c r="E572" i="3"/>
  <c r="E342" i="3"/>
  <c r="E181" i="3"/>
  <c r="E320" i="3"/>
  <c r="E128" i="3"/>
  <c r="AH6" i="3"/>
  <c r="E106" i="3"/>
  <c r="E331" i="3"/>
  <c r="E135" i="3"/>
  <c r="E68" i="3"/>
  <c r="E86" i="3"/>
  <c r="E564" i="3"/>
  <c r="E20" i="3"/>
  <c r="E509" i="3"/>
  <c r="E358" i="3"/>
  <c r="E18" i="3"/>
  <c r="E377" i="3"/>
  <c r="E17" i="3"/>
  <c r="E511" i="3"/>
  <c r="E322" i="3"/>
  <c r="S6" i="3"/>
  <c r="E26" i="3"/>
  <c r="AB6" i="3"/>
  <c r="E329" i="3"/>
  <c r="E487" i="3"/>
  <c r="E510" i="3"/>
  <c r="E368" i="3"/>
  <c r="AL6" i="3"/>
  <c r="E562" i="3"/>
  <c r="E269" i="3"/>
  <c r="E42" i="3"/>
  <c r="E45" i="3"/>
  <c r="E183" i="3"/>
  <c r="E334" i="3"/>
  <c r="E134" i="3"/>
  <c r="E303" i="3"/>
  <c r="E159" i="3"/>
  <c r="E315" i="3"/>
  <c r="E90" i="3"/>
  <c r="E403" i="3"/>
  <c r="AP6" i="3"/>
  <c r="E567" i="3"/>
  <c r="E310" i="3"/>
  <c r="E371" i="3"/>
  <c r="E384" i="3"/>
  <c r="E512" i="3"/>
  <c r="E501" i="3"/>
  <c r="E514" i="3"/>
  <c r="E506" i="3"/>
  <c r="E219" i="3"/>
  <c r="E144" i="3"/>
  <c r="T6" i="3"/>
  <c r="E360" i="3"/>
  <c r="E373" i="3"/>
  <c r="E392" i="3"/>
  <c r="E216" i="3"/>
  <c r="E396" i="3"/>
  <c r="E325" i="3"/>
  <c r="E554" i="3"/>
  <c r="E239" i="3"/>
  <c r="E477" i="3"/>
  <c r="E214" i="3"/>
  <c r="E313" i="3"/>
  <c r="E104" i="3"/>
  <c r="E312" i="3"/>
  <c r="E267" i="3"/>
  <c r="E169" i="3"/>
  <c r="E210" i="3"/>
  <c r="E307" i="3"/>
  <c r="E217" i="3"/>
  <c r="E502" i="3"/>
  <c r="Y6" i="3"/>
  <c r="E229" i="3"/>
  <c r="E489" i="3"/>
  <c r="E525" i="3"/>
  <c r="E176" i="3"/>
  <c r="E234" i="3"/>
  <c r="AI6" i="3"/>
  <c r="E540" i="3"/>
  <c r="E526" i="3"/>
  <c r="E543" i="3"/>
  <c r="E467" i="3"/>
  <c r="E533" i="3"/>
  <c r="E431" i="3"/>
  <c r="E534" i="3"/>
  <c r="E351" i="3"/>
  <c r="E364" i="3"/>
  <c r="E163" i="3"/>
  <c r="E378" i="3"/>
  <c r="E226" i="3"/>
  <c r="E118" i="3"/>
  <c r="E14" i="3"/>
  <c r="E339" i="3"/>
  <c r="E153" i="3"/>
  <c r="E432" i="3"/>
  <c r="E260" i="3"/>
  <c r="E436" i="3"/>
  <c r="E173" i="3"/>
  <c r="E558" i="3"/>
  <c r="E150" i="3"/>
  <c r="E281" i="3"/>
  <c r="L6" i="3"/>
  <c r="E355" i="3"/>
  <c r="E88" i="3"/>
  <c r="E182" i="3"/>
  <c r="E361" i="3"/>
  <c r="E35" i="3"/>
  <c r="E298" i="3"/>
  <c r="E212" i="3"/>
  <c r="E498" i="3"/>
  <c r="E19" i="3"/>
  <c r="E95" i="3"/>
  <c r="E524" i="3"/>
  <c r="E385" i="3"/>
  <c r="E277" i="3"/>
  <c r="E16" i="3"/>
  <c r="E81" i="3"/>
  <c r="E246" i="3"/>
  <c r="E108" i="3"/>
  <c r="E551" i="3"/>
  <c r="E493" i="3"/>
  <c r="E314" i="3"/>
  <c r="E362" i="3"/>
  <c r="E440" i="3"/>
  <c r="E51" i="3"/>
  <c r="E465" i="3"/>
  <c r="W6" i="3"/>
  <c r="E538" i="3"/>
  <c r="E191" i="3"/>
  <c r="AQ6" i="3"/>
  <c r="E293" i="3"/>
  <c r="E324" i="3"/>
  <c r="E228" i="3"/>
  <c r="E559" i="3"/>
  <c r="E40" i="3"/>
  <c r="AF6" i="3"/>
  <c r="E290" i="3"/>
  <c r="E198" i="3"/>
  <c r="E466" i="3"/>
  <c r="E243" i="3"/>
  <c r="E116" i="3"/>
  <c r="E507" i="3"/>
  <c r="E151" i="3"/>
  <c r="E125" i="3"/>
  <c r="E499" i="3"/>
  <c r="E555" i="3"/>
  <c r="E120" i="3"/>
  <c r="E235" i="3"/>
  <c r="E517" i="3"/>
  <c r="E39" i="3"/>
  <c r="E410" i="3"/>
  <c r="E72" i="3"/>
  <c r="E345" i="3"/>
  <c r="E513" i="3"/>
  <c r="E65" i="3"/>
  <c r="AR6" i="3"/>
  <c r="E336" i="3"/>
  <c r="E154" i="3"/>
  <c r="E372" i="3"/>
  <c r="E429" i="3"/>
  <c r="E275" i="3"/>
  <c r="E189" i="3"/>
  <c r="E53" i="3"/>
  <c r="E70" i="3"/>
  <c r="P6" i="3"/>
  <c r="E387" i="3"/>
  <c r="E180" i="3"/>
  <c r="E530" i="3"/>
  <c r="E379" i="3"/>
  <c r="E300" i="3"/>
  <c r="E529" i="3"/>
  <c r="E433" i="3"/>
  <c r="E61" i="3"/>
  <c r="E162" i="3"/>
  <c r="E453" i="3"/>
  <c r="E220" i="3"/>
  <c r="E288" i="3"/>
  <c r="E111" i="3"/>
  <c r="E148" i="3"/>
  <c r="E64" i="3"/>
  <c r="E508" i="3"/>
  <c r="E306" i="3"/>
  <c r="E271" i="3"/>
  <c r="E188" i="3"/>
  <c r="E24" i="3"/>
  <c r="E287" i="3"/>
  <c r="E76" i="3"/>
  <c r="E386" i="3"/>
  <c r="E66" i="3"/>
  <c r="E302" i="3"/>
  <c r="E123" i="3"/>
  <c r="E419" i="3"/>
  <c r="E285" i="3"/>
  <c r="E197" i="3"/>
  <c r="E58" i="3"/>
  <c r="E400" i="3"/>
  <c r="E347" i="3"/>
  <c r="E480" i="3"/>
  <c r="E393" i="3"/>
  <c r="E107" i="3"/>
  <c r="E261" i="3"/>
  <c r="E560" i="3"/>
  <c r="E412" i="3"/>
  <c r="E109" i="3"/>
  <c r="E343" i="3"/>
  <c r="E294" i="3"/>
  <c r="E224" i="3"/>
  <c r="E505" i="3"/>
  <c r="E121" i="3"/>
  <c r="AG6" i="3"/>
  <c r="E74" i="3"/>
  <c r="E105" i="3"/>
  <c r="E448" i="3"/>
  <c r="V6" i="3"/>
  <c r="E309" i="3"/>
  <c r="E369" i="3"/>
  <c r="E279" i="3"/>
  <c r="E145" i="3"/>
  <c r="E417" i="3"/>
  <c r="E255" i="3"/>
  <c r="E172" i="3"/>
  <c r="E402" i="3"/>
  <c r="E203" i="3"/>
  <c r="E233" i="3"/>
  <c r="E420" i="3"/>
  <c r="E190" i="3"/>
  <c r="E469" i="3"/>
  <c r="E27" i="3"/>
  <c r="E185" i="3"/>
  <c r="E468" i="3"/>
  <c r="E142" i="3"/>
  <c r="E140" i="3"/>
  <c r="E21" i="3"/>
  <c r="D16" i="12"/>
  <c r="D10" i="11"/>
  <c r="D16" i="43"/>
  <c r="C16" i="43" s="1"/>
  <c r="L38" i="9"/>
  <c r="B14" i="66" s="1"/>
  <c r="B1" i="66" s="1"/>
  <c r="C8" i="66" s="1"/>
  <c r="D46" i="9"/>
  <c r="E6" i="6"/>
  <c r="C21" i="4"/>
  <c r="O5" i="54" s="1"/>
  <c r="B45" i="63" s="1"/>
  <c r="S23" i="6"/>
  <c r="S22" i="6"/>
  <c r="S26" i="6"/>
  <c r="S25" i="6"/>
  <c r="S24" i="6"/>
  <c r="M19" i="6"/>
  <c r="S20" i="6"/>
  <c r="M14" i="1"/>
  <c r="AC7" i="35"/>
  <c r="V38" i="35" s="1"/>
  <c r="I38" i="35" s="1"/>
  <c r="W7" i="35"/>
  <c r="E42" i="37"/>
  <c r="I47" i="37" s="1"/>
  <c r="J47" i="37" s="1"/>
  <c r="R43" i="37"/>
  <c r="I72" i="39"/>
  <c r="J70" i="39"/>
  <c r="I46" i="37"/>
  <c r="J46" i="37" s="1"/>
  <c r="U7" i="35"/>
  <c r="AB7" i="35"/>
  <c r="T38" i="35" s="1"/>
  <c r="G38" i="35" s="1"/>
  <c r="E38" i="35"/>
  <c r="AC7" i="33"/>
  <c r="V48" i="33" s="1"/>
  <c r="I48" i="33" s="1"/>
  <c r="W7" i="33"/>
  <c r="AC7" i="34"/>
  <c r="V49" i="34" s="1"/>
  <c r="I49" i="34" s="1"/>
  <c r="W7" i="34"/>
  <c r="I40" i="36"/>
  <c r="J40" i="36" s="1"/>
  <c r="E36" i="36"/>
  <c r="R49" i="33"/>
  <c r="E48" i="33"/>
  <c r="R50" i="34"/>
  <c r="E49" i="34"/>
  <c r="G40" i="36"/>
  <c r="H40" i="36" s="1"/>
  <c r="G46" i="37"/>
  <c r="H46" i="37" s="1"/>
  <c r="G47" i="37"/>
  <c r="H47" i="37" s="1"/>
  <c r="U7" i="33"/>
  <c r="AB7" i="33"/>
  <c r="T48" i="33" s="1"/>
  <c r="G48" i="33" s="1"/>
  <c r="U7" i="34"/>
  <c r="AB7" i="34"/>
  <c r="T49" i="34" s="1"/>
  <c r="G49" i="34" s="1"/>
  <c r="C52" i="15"/>
  <c r="M29" i="15"/>
  <c r="C19" i="44"/>
  <c r="L52" i="44"/>
  <c r="F7" i="15"/>
  <c r="F43" i="15"/>
  <c r="E41" i="46" l="1"/>
  <c r="C41" i="46" s="1"/>
  <c r="C20" i="46"/>
  <c r="R37" i="36"/>
  <c r="F26" i="44"/>
  <c r="C26" i="44" s="1"/>
  <c r="F21" i="43"/>
  <c r="C23" i="43" s="1"/>
  <c r="D21" i="43" s="1"/>
  <c r="F26" i="12"/>
  <c r="C27" i="12" s="1"/>
  <c r="D26" i="12" s="1"/>
  <c r="C32" i="12" s="1"/>
  <c r="D30" i="12" s="1"/>
  <c r="S8" i="1"/>
  <c r="S16" i="1" s="1"/>
  <c r="T10" i="1" s="1"/>
  <c r="M20" i="46"/>
  <c r="K27" i="6"/>
  <c r="AY6" i="3"/>
  <c r="BA6" i="3" s="1"/>
  <c r="H67" i="40"/>
  <c r="I65" i="40"/>
  <c r="D22" i="59"/>
  <c r="T22" i="59"/>
  <c r="J28" i="44"/>
  <c r="J31" i="44" s="1"/>
  <c r="Q67" i="44" s="1"/>
  <c r="AY32" i="3"/>
  <c r="AY439" i="3"/>
  <c r="AY107" i="3"/>
  <c r="AY162" i="3"/>
  <c r="AC6" i="3"/>
  <c r="AY246" i="3"/>
  <c r="AY431" i="3"/>
  <c r="AY22" i="3"/>
  <c r="AY222" i="3"/>
  <c r="AY410" i="3"/>
  <c r="AY394" i="3"/>
  <c r="AY396" i="3"/>
  <c r="AY492" i="3"/>
  <c r="AY433" i="3"/>
  <c r="BI6" i="3"/>
  <c r="AY263" i="3"/>
  <c r="AY19" i="3"/>
  <c r="AY470" i="3"/>
  <c r="AY102" i="3"/>
  <c r="AY94" i="3"/>
  <c r="C6" i="15"/>
  <c r="F49" i="15"/>
  <c r="C48" i="15" s="1"/>
  <c r="C47" i="15" s="1"/>
  <c r="M7" i="15"/>
  <c r="J6" i="15" s="1"/>
  <c r="F70" i="15"/>
  <c r="M7" i="1"/>
  <c r="M16" i="1" s="1"/>
  <c r="H16" i="1"/>
  <c r="AP16" i="1"/>
  <c r="F22" i="11" s="1"/>
  <c r="G16" i="1"/>
  <c r="Q16" i="1"/>
  <c r="R39" i="35"/>
  <c r="C38" i="35" s="1"/>
  <c r="H6" i="3"/>
  <c r="E68" i="39"/>
  <c r="D22" i="12"/>
  <c r="C22" i="12" s="1"/>
  <c r="C20" i="12" s="1"/>
  <c r="D13" i="11"/>
  <c r="C13" i="11" s="1"/>
  <c r="D19" i="12"/>
  <c r="C19" i="12" s="1"/>
  <c r="C16" i="12"/>
  <c r="O14" i="1"/>
  <c r="I19" i="6"/>
  <c r="M27" i="6"/>
  <c r="K31" i="9"/>
  <c r="K32" i="9" s="1"/>
  <c r="C50" i="34"/>
  <c r="B3" i="34" s="1"/>
  <c r="B2" i="34" s="1"/>
  <c r="C49" i="34"/>
  <c r="C48" i="33"/>
  <c r="C49" i="33"/>
  <c r="B3" i="33" s="1"/>
  <c r="B2" i="33" s="1"/>
  <c r="E40" i="36"/>
  <c r="F40" i="36" s="1"/>
  <c r="E41" i="36"/>
  <c r="F41" i="36" s="1"/>
  <c r="I41" i="36"/>
  <c r="J41" i="36" s="1"/>
  <c r="E43" i="35"/>
  <c r="F43" i="35" s="1"/>
  <c r="E42" i="35"/>
  <c r="F42" i="35" s="1"/>
  <c r="G42" i="35"/>
  <c r="H42" i="35" s="1"/>
  <c r="G43" i="35"/>
  <c r="H43" i="35" s="1"/>
  <c r="J72" i="39"/>
  <c r="K70" i="39"/>
  <c r="E47" i="37"/>
  <c r="F47" i="37" s="1"/>
  <c r="E46" i="37"/>
  <c r="F46" i="37" s="1"/>
  <c r="I42" i="35"/>
  <c r="J42" i="35" s="1"/>
  <c r="I43" i="35"/>
  <c r="J43" i="35" s="1"/>
  <c r="G54" i="34"/>
  <c r="H54" i="34" s="1"/>
  <c r="G53" i="34"/>
  <c r="H53" i="34" s="1"/>
  <c r="G52" i="33"/>
  <c r="H52" i="33" s="1"/>
  <c r="G53" i="33"/>
  <c r="H53" i="33" s="1"/>
  <c r="E54" i="34"/>
  <c r="F54" i="34" s="1"/>
  <c r="E53" i="34"/>
  <c r="F53" i="34" s="1"/>
  <c r="E53" i="33"/>
  <c r="F53" i="33" s="1"/>
  <c r="E52" i="33"/>
  <c r="F52" i="33" s="1"/>
  <c r="C37" i="36"/>
  <c r="B3" i="36" s="1"/>
  <c r="C36" i="36"/>
  <c r="I53" i="34"/>
  <c r="J53" i="34" s="1"/>
  <c r="I54" i="34"/>
  <c r="J54" i="34" s="1"/>
  <c r="I52" i="33"/>
  <c r="J52" i="33" s="1"/>
  <c r="I53" i="33"/>
  <c r="J53" i="33" s="1"/>
  <c r="C43" i="37"/>
  <c r="B3" i="37" s="1"/>
  <c r="B2" i="37" s="1"/>
  <c r="C42" i="37"/>
  <c r="Q69" i="44"/>
  <c r="L58" i="44"/>
  <c r="L61" i="44" s="1"/>
  <c r="L47" i="44" s="1"/>
  <c r="C16" i="15"/>
  <c r="C17" i="15"/>
  <c r="T12" i="46" l="1"/>
  <c r="V12" i="46" s="1"/>
  <c r="C34" i="46"/>
  <c r="T10" i="46"/>
  <c r="V10" i="46" s="1"/>
  <c r="T16" i="46"/>
  <c r="V16" i="46" s="1"/>
  <c r="T15" i="46"/>
  <c r="V15" i="46" s="1"/>
  <c r="C37" i="46"/>
  <c r="C36" i="46"/>
  <c r="T14" i="46"/>
  <c r="V14" i="46" s="1"/>
  <c r="T9" i="46"/>
  <c r="V9" i="46" s="1"/>
  <c r="T8" i="46"/>
  <c r="V8" i="46" s="1"/>
  <c r="C33" i="46"/>
  <c r="T11" i="46"/>
  <c r="V11" i="46" s="1"/>
  <c r="T13" i="46"/>
  <c r="V13" i="46" s="1"/>
  <c r="C35" i="46"/>
  <c r="C38" i="46"/>
  <c r="C39" i="46"/>
  <c r="E6" i="3"/>
  <c r="AY462" i="3"/>
  <c r="AY533" i="3"/>
  <c r="AY347" i="3"/>
  <c r="AY231" i="3"/>
  <c r="AY469" i="3"/>
  <c r="AY468" i="3"/>
  <c r="AY327" i="3"/>
  <c r="AY152" i="3"/>
  <c r="AY569" i="3"/>
  <c r="AY45" i="3"/>
  <c r="AY357" i="3"/>
  <c r="AY140" i="3"/>
  <c r="AY176" i="3"/>
  <c r="AY25" i="3"/>
  <c r="D3" i="6"/>
  <c r="AY204" i="3"/>
  <c r="AY387" i="3"/>
  <c r="AY391" i="3"/>
  <c r="AY311" i="3"/>
  <c r="AY86" i="3"/>
  <c r="BF6" i="3"/>
  <c r="BS6" i="3"/>
  <c r="AY213" i="3"/>
  <c r="AY59" i="3"/>
  <c r="AY452" i="3"/>
  <c r="AY158" i="3"/>
  <c r="AY494" i="3"/>
  <c r="AY432" i="3"/>
  <c r="AY93" i="3"/>
  <c r="AY436" i="3"/>
  <c r="AY505" i="3"/>
  <c r="AY66" i="3"/>
  <c r="AY127" i="3"/>
  <c r="AY318" i="3"/>
  <c r="AY34" i="3"/>
  <c r="AY321" i="3"/>
  <c r="AY374" i="3"/>
  <c r="AY241" i="3"/>
  <c r="AY337" i="3"/>
  <c r="AY392" i="3"/>
  <c r="AY552" i="3"/>
  <c r="AY68" i="3"/>
  <c r="AY125" i="3"/>
  <c r="AY46" i="3"/>
  <c r="AY285" i="3"/>
  <c r="AY403" i="3"/>
  <c r="AY61" i="3"/>
  <c r="AY473" i="3"/>
  <c r="AY477" i="3"/>
  <c r="AY542" i="3"/>
  <c r="AY437" i="3"/>
  <c r="AY398" i="3"/>
  <c r="AY123" i="3"/>
  <c r="AY218" i="3"/>
  <c r="AY498" i="3"/>
  <c r="AY17" i="3"/>
  <c r="AY313" i="3"/>
  <c r="AY515" i="3"/>
  <c r="AY355" i="3"/>
  <c r="AY298" i="3"/>
  <c r="AY215" i="3"/>
  <c r="AY33" i="3"/>
  <c r="BJ6" i="3"/>
  <c r="AY202" i="3"/>
  <c r="AY359" i="3"/>
  <c r="AY148" i="3"/>
  <c r="AY458" i="3"/>
  <c r="AY385" i="3"/>
  <c r="AY404" i="3"/>
  <c r="AY434" i="3"/>
  <c r="AY334" i="3"/>
  <c r="AY270" i="3"/>
  <c r="AY571" i="3"/>
  <c r="AY554" i="3"/>
  <c r="AY532" i="3"/>
  <c r="AY212" i="3"/>
  <c r="AY251" i="3"/>
  <c r="AY353" i="3"/>
  <c r="AY284" i="3"/>
  <c r="AY419" i="3"/>
  <c r="AY426" i="3"/>
  <c r="AY301" i="3"/>
  <c r="AY482" i="3"/>
  <c r="AY255" i="3"/>
  <c r="AY121" i="3"/>
  <c r="AY382" i="3"/>
  <c r="AY203" i="3"/>
  <c r="AY100" i="3"/>
  <c r="AY416" i="3"/>
  <c r="AY141" i="3"/>
  <c r="AY400" i="3"/>
  <c r="AY442" i="3"/>
  <c r="AY82" i="3"/>
  <c r="AY479" i="3"/>
  <c r="AY230" i="3"/>
  <c r="AY13" i="3"/>
  <c r="AY556" i="3"/>
  <c r="AY38" i="3"/>
  <c r="AY424" i="3"/>
  <c r="AY378" i="3"/>
  <c r="BD6" i="3"/>
  <c r="AY248" i="3"/>
  <c r="AY329" i="3"/>
  <c r="AY249" i="3"/>
  <c r="BQ6" i="3"/>
  <c r="AY137" i="3"/>
  <c r="BP6" i="3"/>
  <c r="AY480" i="3"/>
  <c r="AY358" i="3"/>
  <c r="AY223" i="3"/>
  <c r="AY235" i="3"/>
  <c r="AY267" i="3"/>
  <c r="AY549" i="3"/>
  <c r="AY129" i="3"/>
  <c r="AY74" i="3"/>
  <c r="AY291" i="3"/>
  <c r="AY422" i="3"/>
  <c r="AY324" i="3"/>
  <c r="AY258" i="3"/>
  <c r="AY168" i="3"/>
  <c r="AY295" i="3"/>
  <c r="AY16" i="3"/>
  <c r="AY253" i="3"/>
  <c r="AY381" i="3"/>
  <c r="AY30" i="3"/>
  <c r="AY486" i="3"/>
  <c r="AY47" i="3"/>
  <c r="AY402" i="3"/>
  <c r="AY265" i="3"/>
  <c r="AY161" i="3"/>
  <c r="AY43" i="3"/>
  <c r="AY41" i="3"/>
  <c r="AY139" i="3"/>
  <c r="AY132" i="3"/>
  <c r="AY21" i="3"/>
  <c r="AY411" i="3"/>
  <c r="AY200" i="3"/>
  <c r="AY85" i="3"/>
  <c r="AY314" i="3"/>
  <c r="AY510" i="3"/>
  <c r="AY368" i="3"/>
  <c r="AY471" i="3"/>
  <c r="AY367" i="3"/>
  <c r="BT6" i="3"/>
  <c r="AY456" i="3"/>
  <c r="AY247" i="3"/>
  <c r="AY78" i="3"/>
  <c r="AY375" i="3"/>
  <c r="AY506" i="3"/>
  <c r="AY475" i="3"/>
  <c r="AY395" i="3"/>
  <c r="AY530" i="3"/>
  <c r="AY198" i="3"/>
  <c r="AY73" i="3"/>
  <c r="AY232" i="3"/>
  <c r="AY49" i="3"/>
  <c r="AY550" i="3"/>
  <c r="AY122" i="3"/>
  <c r="AY379" i="3"/>
  <c r="AY62" i="3"/>
  <c r="AY307" i="3"/>
  <c r="AY95" i="3"/>
  <c r="AY341" i="3"/>
  <c r="AY356" i="3"/>
  <c r="AY527" i="3"/>
  <c r="AY133" i="3"/>
  <c r="AY348" i="3"/>
  <c r="AY371" i="3"/>
  <c r="AY538" i="3"/>
  <c r="AY514" i="3"/>
  <c r="AY23" i="3"/>
  <c r="AY551" i="3"/>
  <c r="AY103" i="3"/>
  <c r="AY493" i="3"/>
  <c r="AY446" i="3"/>
  <c r="AY489" i="3"/>
  <c r="AY15" i="3"/>
  <c r="AY567" i="3"/>
  <c r="AY490" i="3"/>
  <c r="AY205" i="3"/>
  <c r="BM6" i="3"/>
  <c r="AY423" i="3"/>
  <c r="AY18" i="3"/>
  <c r="AY451" i="3"/>
  <c r="AY460" i="3"/>
  <c r="AY444" i="3"/>
  <c r="AY196" i="3"/>
  <c r="AY466" i="3"/>
  <c r="AY521" i="3"/>
  <c r="AY508" i="3"/>
  <c r="AY80" i="3"/>
  <c r="AY55" i="3"/>
  <c r="AY310" i="3"/>
  <c r="AY572" i="3"/>
  <c r="AY364" i="3"/>
  <c r="AY420" i="3"/>
  <c r="AY414" i="3"/>
  <c r="AY227" i="3"/>
  <c r="AY193" i="3"/>
  <c r="BL6" i="3"/>
  <c r="AY131" i="3"/>
  <c r="AY453" i="3"/>
  <c r="AY485" i="3"/>
  <c r="AY399" i="3"/>
  <c r="AY328" i="3"/>
  <c r="AY71" i="3"/>
  <c r="AY363" i="3"/>
  <c r="AY529" i="3"/>
  <c r="AY383" i="3"/>
  <c r="AY476" i="3"/>
  <c r="AY366" i="3"/>
  <c r="AY342" i="3"/>
  <c r="AY352" i="3"/>
  <c r="AY36" i="3"/>
  <c r="AY67" i="3"/>
  <c r="AY181" i="3"/>
  <c r="AY350" i="3"/>
  <c r="AY501" i="3"/>
  <c r="AY70" i="3"/>
  <c r="AY188" i="3"/>
  <c r="AY187" i="3"/>
  <c r="AY335" i="3"/>
  <c r="AY320" i="3"/>
  <c r="AY154" i="3"/>
  <c r="AY138" i="3"/>
  <c r="AY166" i="3"/>
  <c r="AY518" i="3"/>
  <c r="AY299" i="3"/>
  <c r="AY185" i="3"/>
  <c r="AY40" i="3"/>
  <c r="AY87" i="3"/>
  <c r="AY142" i="3"/>
  <c r="AY349" i="3"/>
  <c r="AY326" i="3"/>
  <c r="AY457" i="3"/>
  <c r="AY463" i="3"/>
  <c r="AY412" i="3"/>
  <c r="AY562" i="3"/>
  <c r="AY56" i="3"/>
  <c r="AY502" i="3"/>
  <c r="AY522" i="3"/>
  <c r="AY257" i="3"/>
  <c r="AY500" i="3"/>
  <c r="AY478" i="3"/>
  <c r="AY362" i="3"/>
  <c r="AY228" i="3"/>
  <c r="AY568" i="3"/>
  <c r="AY134" i="3"/>
  <c r="AY165" i="3"/>
  <c r="AY570" i="3"/>
  <c r="AY277" i="3"/>
  <c r="AY209" i="3"/>
  <c r="AY226" i="3"/>
  <c r="AY264" i="3"/>
  <c r="AY124" i="3"/>
  <c r="AY304" i="3"/>
  <c r="BN6" i="3"/>
  <c r="AY233" i="3"/>
  <c r="AY184" i="3"/>
  <c r="AY199" i="3"/>
  <c r="AY63" i="3"/>
  <c r="AY339" i="3"/>
  <c r="AY53" i="3"/>
  <c r="AY427" i="3"/>
  <c r="AY548" i="3"/>
  <c r="AY279" i="3"/>
  <c r="AY149" i="3"/>
  <c r="AY105" i="3"/>
  <c r="AY65" i="3"/>
  <c r="AY481" i="3"/>
  <c r="AY435" i="3"/>
  <c r="AY386" i="3"/>
  <c r="AY430" i="3"/>
  <c r="AY259" i="3"/>
  <c r="AY29" i="3"/>
  <c r="AY415" i="3"/>
  <c r="AY447" i="3"/>
  <c r="AY60" i="3"/>
  <c r="AY109" i="3"/>
  <c r="AY136" i="3"/>
  <c r="AY302" i="3"/>
  <c r="AY372" i="3"/>
  <c r="AY330" i="3"/>
  <c r="AY517" i="3"/>
  <c r="AY421" i="3"/>
  <c r="AY488" i="3"/>
  <c r="AY261" i="3"/>
  <c r="AY441" i="3"/>
  <c r="AY72" i="3"/>
  <c r="AY126" i="3"/>
  <c r="AY340" i="3"/>
  <c r="AY128" i="3"/>
  <c r="AY191" i="3"/>
  <c r="AY266" i="3"/>
  <c r="AY472" i="3"/>
  <c r="AY151" i="3"/>
  <c r="AY174" i="3"/>
  <c r="AY195" i="3"/>
  <c r="AY69" i="3"/>
  <c r="AY98" i="3"/>
  <c r="AY170" i="3"/>
  <c r="AY256" i="3"/>
  <c r="AY438" i="3"/>
  <c r="AY169" i="3"/>
  <c r="AY31" i="3"/>
  <c r="AY101" i="3"/>
  <c r="AY504" i="3"/>
  <c r="AY92" i="3"/>
  <c r="AY369" i="3"/>
  <c r="AY409" i="3"/>
  <c r="AY323" i="3"/>
  <c r="AY503" i="3"/>
  <c r="AY108" i="3"/>
  <c r="AY189" i="3"/>
  <c r="AY144" i="3"/>
  <c r="AY269" i="3"/>
  <c r="AY376" i="3"/>
  <c r="AY333" i="3"/>
  <c r="AY282" i="3"/>
  <c r="AY536" i="3"/>
  <c r="AY287" i="3"/>
  <c r="AY252" i="3"/>
  <c r="AY312" i="3"/>
  <c r="BE6" i="3"/>
  <c r="AY405" i="3"/>
  <c r="AY120" i="3"/>
  <c r="AY531" i="3"/>
  <c r="AY495" i="3"/>
  <c r="AY214" i="3"/>
  <c r="AY143" i="3"/>
  <c r="AY429" i="3"/>
  <c r="AY445" i="3"/>
  <c r="AY319" i="3"/>
  <c r="AY322" i="3"/>
  <c r="AY294" i="3"/>
  <c r="AY555" i="3"/>
  <c r="AY465" i="3"/>
  <c r="AY147" i="3"/>
  <c r="AY325" i="3"/>
  <c r="AY113" i="3"/>
  <c r="AY280" i="3"/>
  <c r="AY245" i="3"/>
  <c r="AY547" i="3"/>
  <c r="AY499" i="3"/>
  <c r="AY173" i="3"/>
  <c r="AY167" i="3"/>
  <c r="AY535" i="3"/>
  <c r="AY28" i="3"/>
  <c r="AY64" i="3"/>
  <c r="AY221" i="3"/>
  <c r="AY242" i="3"/>
  <c r="AY220" i="3"/>
  <c r="AY534" i="3"/>
  <c r="AY210" i="3"/>
  <c r="AY331" i="3"/>
  <c r="AY487" i="3"/>
  <c r="AY509" i="3"/>
  <c r="AY539" i="3"/>
  <c r="AY564" i="3"/>
  <c r="BB6" i="3"/>
  <c r="AY296" i="3"/>
  <c r="AY338" i="3"/>
  <c r="AY79" i="3"/>
  <c r="AY243" i="3"/>
  <c r="AY373" i="3"/>
  <c r="AY496" i="3"/>
  <c r="AY491" i="3"/>
  <c r="AY354" i="3"/>
  <c r="AY52" i="3"/>
  <c r="AY286" i="3"/>
  <c r="AY58" i="3"/>
  <c r="AY118" i="3"/>
  <c r="AY250" i="3"/>
  <c r="AY459" i="3"/>
  <c r="AY272" i="3"/>
  <c r="AY528" i="3"/>
  <c r="AY182" i="3"/>
  <c r="AY238" i="3"/>
  <c r="AY157" i="3"/>
  <c r="AY274" i="3"/>
  <c r="AY114" i="3"/>
  <c r="AY558" i="3"/>
  <c r="AY156" i="3"/>
  <c r="AY27" i="3"/>
  <c r="AY160" i="3"/>
  <c r="AY96" i="3"/>
  <c r="AY206" i="3"/>
  <c r="AY225" i="3"/>
  <c r="AY360" i="3"/>
  <c r="AY565" i="3"/>
  <c r="AY553" i="3"/>
  <c r="AY90" i="3"/>
  <c r="AY344" i="3"/>
  <c r="AY190" i="3"/>
  <c r="AY401" i="3"/>
  <c r="AY545" i="3"/>
  <c r="AY88" i="3"/>
  <c r="AY104" i="3"/>
  <c r="AY106" i="3"/>
  <c r="AY361" i="3"/>
  <c r="AY146" i="3"/>
  <c r="AY39" i="3"/>
  <c r="AY315" i="3"/>
  <c r="AY464" i="3"/>
  <c r="AY194" i="3"/>
  <c r="AY278" i="3"/>
  <c r="AY262" i="3"/>
  <c r="AY516" i="3"/>
  <c r="AY425" i="3"/>
  <c r="AY159" i="3"/>
  <c r="AY234" i="3"/>
  <c r="AY343" i="3"/>
  <c r="AY50" i="3"/>
  <c r="AY305" i="3"/>
  <c r="AY99" i="3"/>
  <c r="AY175" i="3"/>
  <c r="BK6" i="3"/>
  <c r="AY35" i="3"/>
  <c r="AY293" i="3"/>
  <c r="AY271" i="3"/>
  <c r="AY111" i="3"/>
  <c r="AY229" i="3"/>
  <c r="AY268" i="3"/>
  <c r="AY75" i="3"/>
  <c r="AY171" i="3"/>
  <c r="AY316" i="3"/>
  <c r="AY413" i="3"/>
  <c r="AY370" i="3"/>
  <c r="AY112" i="3"/>
  <c r="AY20" i="3"/>
  <c r="AY153" i="3"/>
  <c r="AY559" i="3"/>
  <c r="AY240" i="3"/>
  <c r="AY281" i="3"/>
  <c r="AY393" i="3"/>
  <c r="AY97" i="3"/>
  <c r="AY77" i="3"/>
  <c r="AY57" i="3"/>
  <c r="AY448" i="3"/>
  <c r="AY178" i="3"/>
  <c r="AY389" i="3"/>
  <c r="BC6" i="3"/>
  <c r="AY135" i="3"/>
  <c r="AY155" i="3"/>
  <c r="AY201" i="3"/>
  <c r="AY428" i="3"/>
  <c r="AY390" i="3"/>
  <c r="AY546" i="3"/>
  <c r="AY507" i="3"/>
  <c r="AY523" i="3"/>
  <c r="AY443" i="3"/>
  <c r="AY497" i="3"/>
  <c r="AY297" i="3"/>
  <c r="AY260" i="3"/>
  <c r="AY566" i="3"/>
  <c r="AY54" i="3"/>
  <c r="BG6" i="3"/>
  <c r="AY474" i="3"/>
  <c r="AY91" i="3"/>
  <c r="AY179" i="3"/>
  <c r="AY560" i="3"/>
  <c r="AY236" i="3"/>
  <c r="AY115" i="3"/>
  <c r="AY275" i="3"/>
  <c r="AY14" i="3"/>
  <c r="AY145" i="3"/>
  <c r="AY520" i="3"/>
  <c r="AY244" i="3"/>
  <c r="AY351" i="3"/>
  <c r="AY440" i="3"/>
  <c r="AY26" i="3"/>
  <c r="AY217" i="3"/>
  <c r="AY116" i="3"/>
  <c r="AY81" i="3"/>
  <c r="AY336" i="3"/>
  <c r="AY83" i="3"/>
  <c r="AY317" i="3"/>
  <c r="AY346" i="3"/>
  <c r="AY467" i="3"/>
  <c r="AY525" i="3"/>
  <c r="AY224" i="3"/>
  <c r="AY207" i="3"/>
  <c r="AY365" i="3"/>
  <c r="AY388" i="3"/>
  <c r="AY208" i="3"/>
  <c r="AY483" i="3"/>
  <c r="BO6" i="3"/>
  <c r="AY537" i="3"/>
  <c r="AY397" i="3"/>
  <c r="AY543" i="3"/>
  <c r="AY450" i="3"/>
  <c r="B2" i="36"/>
  <c r="D10" i="12" s="1"/>
  <c r="D8" i="12"/>
  <c r="T11" i="1"/>
  <c r="D6" i="6"/>
  <c r="D8" i="6"/>
  <c r="D29" i="6"/>
  <c r="C22" i="4"/>
  <c r="D23" i="6"/>
  <c r="D9" i="6"/>
  <c r="AY511" i="3"/>
  <c r="AY332" i="3"/>
  <c r="AY119" i="3"/>
  <c r="AY513" i="3"/>
  <c r="AY524" i="3"/>
  <c r="AY164" i="3"/>
  <c r="AY455" i="3"/>
  <c r="BR6" i="3"/>
  <c r="AY239" i="3"/>
  <c r="AY290" i="3"/>
  <c r="AY172" i="3"/>
  <c r="AY130" i="3"/>
  <c r="AY192" i="3"/>
  <c r="AY563" i="3"/>
  <c r="AY186" i="3"/>
  <c r="AY407" i="3"/>
  <c r="AY561" i="3"/>
  <c r="AY309" i="3"/>
  <c r="BH6" i="3"/>
  <c r="AY183" i="3"/>
  <c r="AY449" i="3"/>
  <c r="AY76" i="3"/>
  <c r="AY288" i="3"/>
  <c r="AY519" i="3"/>
  <c r="AY276" i="3"/>
  <c r="AY150" i="3"/>
  <c r="AY380" i="3"/>
  <c r="AY418" i="3"/>
  <c r="AY454" i="3"/>
  <c r="AY237" i="3"/>
  <c r="AY541" i="3"/>
  <c r="AY292" i="3"/>
  <c r="AY216" i="3"/>
  <c r="AY273" i="3"/>
  <c r="AY211" i="3"/>
  <c r="J65" i="40"/>
  <c r="I67" i="40"/>
  <c r="D11" i="6"/>
  <c r="D12" i="6"/>
  <c r="D19" i="6"/>
  <c r="D20" i="6"/>
  <c r="D5" i="6"/>
  <c r="E63" i="40"/>
  <c r="D14" i="6"/>
  <c r="AY51" i="3"/>
  <c r="AY89" i="3"/>
  <c r="AY345" i="3"/>
  <c r="AY300" i="3"/>
  <c r="AY177" i="3"/>
  <c r="AY377" i="3"/>
  <c r="AY557" i="3"/>
  <c r="AY417" i="3"/>
  <c r="AY283" i="3"/>
  <c r="AY544" i="3"/>
  <c r="AY308" i="3"/>
  <c r="AY289" i="3"/>
  <c r="AY84" i="3"/>
  <c r="AY540" i="3"/>
  <c r="AY461" i="3"/>
  <c r="AY406" i="3"/>
  <c r="AY44" i="3"/>
  <c r="AY526" i="3"/>
  <c r="AY197" i="3"/>
  <c r="AY408" i="3"/>
  <c r="AY384" i="3"/>
  <c r="AY117" i="3"/>
  <c r="AY42" i="3"/>
  <c r="AY303" i="3"/>
  <c r="AY484" i="3"/>
  <c r="AY512" i="3"/>
  <c r="AY24" i="3"/>
  <c r="AY163" i="3"/>
  <c r="AY110" i="3"/>
  <c r="AY48" i="3"/>
  <c r="AY306" i="3"/>
  <c r="AY180" i="3"/>
  <c r="AY37" i="3"/>
  <c r="AY254" i="3"/>
  <c r="AY219" i="3"/>
  <c r="Q49" i="44"/>
  <c r="Q55" i="44" s="1"/>
  <c r="Q58" i="44"/>
  <c r="H21" i="6"/>
  <c r="H23" i="6"/>
  <c r="H22" i="6"/>
  <c r="H26" i="6"/>
  <c r="H25" i="6"/>
  <c r="H24" i="6"/>
  <c r="H20" i="6"/>
  <c r="T7" i="1"/>
  <c r="T9" i="1"/>
  <c r="T8" i="1"/>
  <c r="T6" i="1"/>
  <c r="T12" i="1"/>
  <c r="T13" i="1"/>
  <c r="C65" i="15"/>
  <c r="C59" i="15"/>
  <c r="F24" i="43"/>
  <c r="C26" i="43" s="1"/>
  <c r="D24" i="43" s="1"/>
  <c r="F33" i="12"/>
  <c r="C34" i="12" s="1"/>
  <c r="D33" i="12" s="1"/>
  <c r="F18" i="11"/>
  <c r="C18" i="11" s="1"/>
  <c r="C19" i="11" s="1"/>
  <c r="C20" i="11" s="1"/>
  <c r="C21" i="11" s="1"/>
  <c r="C22" i="11" s="1"/>
  <c r="C23" i="11" s="1"/>
  <c r="B2" i="11" s="1"/>
  <c r="O7" i="1"/>
  <c r="P7" i="1" s="1"/>
  <c r="H12" i="40"/>
  <c r="J12" i="40"/>
  <c r="F12" i="40"/>
  <c r="H12" i="39"/>
  <c r="J12" i="39"/>
  <c r="F12" i="39"/>
  <c r="J18" i="15"/>
  <c r="J5" i="15"/>
  <c r="C32" i="15"/>
  <c r="C10" i="15"/>
  <c r="C5" i="15" s="1"/>
  <c r="C38" i="15" s="1"/>
  <c r="C39" i="35"/>
  <c r="B3" i="35" s="1"/>
  <c r="A20" i="64"/>
  <c r="A6" i="64"/>
  <c r="A6" i="51"/>
  <c r="B7" i="63" s="1"/>
  <c r="N5" i="54"/>
  <c r="B43" i="63" s="1"/>
  <c r="A20" i="51"/>
  <c r="B15" i="63" s="1"/>
  <c r="S19" i="6"/>
  <c r="S27" i="6" s="1"/>
  <c r="I27" i="6"/>
  <c r="H19" i="6"/>
  <c r="P14" i="1"/>
  <c r="C13" i="43"/>
  <c r="L16" i="1"/>
  <c r="N16" i="1"/>
  <c r="C29" i="43" s="1"/>
  <c r="K72" i="39"/>
  <c r="L70" i="39"/>
  <c r="Q68" i="44"/>
  <c r="Q77" i="44" s="1"/>
  <c r="Q59" i="44"/>
  <c r="C14" i="15"/>
  <c r="C16" i="44"/>
  <c r="E39" i="46" l="1"/>
  <c r="G39" i="46"/>
  <c r="I39" i="46" s="1"/>
  <c r="G35" i="46"/>
  <c r="I35" i="46" s="1"/>
  <c r="E35" i="46"/>
  <c r="G37" i="46"/>
  <c r="I37" i="46" s="1"/>
  <c r="E37" i="46"/>
  <c r="G34" i="46"/>
  <c r="I34" i="46" s="1"/>
  <c r="E34" i="46"/>
  <c r="E38" i="46"/>
  <c r="G38" i="46"/>
  <c r="I38" i="46" s="1"/>
  <c r="E33" i="46"/>
  <c r="G33" i="46"/>
  <c r="I33" i="46" s="1"/>
  <c r="E36" i="46"/>
  <c r="G36" i="46"/>
  <c r="I36" i="46" s="1"/>
  <c r="G3" i="46"/>
  <c r="K38" i="9"/>
  <c r="C14" i="66" s="1"/>
  <c r="B2" i="66" s="1"/>
  <c r="D8" i="66" s="1"/>
  <c r="D25" i="6"/>
  <c r="E46" i="9"/>
  <c r="D26" i="6"/>
  <c r="R26" i="6" s="1"/>
  <c r="D13" i="6"/>
  <c r="D15" i="6"/>
  <c r="D21" i="6"/>
  <c r="R21" i="6" s="1"/>
  <c r="R8" i="1" s="1"/>
  <c r="F46" i="9"/>
  <c r="D24" i="6"/>
  <c r="R24" i="6" s="1"/>
  <c r="D10" i="6"/>
  <c r="D22" i="6"/>
  <c r="D28" i="6"/>
  <c r="D30" i="6" s="1"/>
  <c r="R20" i="6"/>
  <c r="R7" i="1" s="1"/>
  <c r="R25" i="6"/>
  <c r="R22" i="6"/>
  <c r="R9" i="1" s="1"/>
  <c r="Q64" i="44"/>
  <c r="R23" i="6"/>
  <c r="K65" i="40"/>
  <c r="J67" i="40"/>
  <c r="F13" i="39"/>
  <c r="J13" i="39"/>
  <c r="C11" i="21"/>
  <c r="H13" i="39"/>
  <c r="C20" i="44"/>
  <c r="C17" i="44"/>
  <c r="C15" i="15"/>
  <c r="C18" i="15"/>
  <c r="O16" i="1"/>
  <c r="B2" i="35"/>
  <c r="E10" i="12" s="1"/>
  <c r="E8" i="12"/>
  <c r="W12" i="39"/>
  <c r="AC12" i="39"/>
  <c r="AA12" i="40"/>
  <c r="S12" i="40"/>
  <c r="U12" i="40"/>
  <c r="AB12" i="40"/>
  <c r="P16" i="1"/>
  <c r="C13" i="12" s="1"/>
  <c r="C14" i="12" s="1"/>
  <c r="J26" i="15"/>
  <c r="J29" i="15" s="1"/>
  <c r="J24" i="15"/>
  <c r="S12" i="39"/>
  <c r="AA12" i="39"/>
  <c r="AB12" i="39"/>
  <c r="U12" i="39"/>
  <c r="W12" i="40"/>
  <c r="AC12" i="40"/>
  <c r="B5" i="11"/>
  <c r="B4" i="11"/>
  <c r="B3" i="11"/>
  <c r="C14" i="43"/>
  <c r="C17" i="43"/>
  <c r="H27" i="6"/>
  <c r="R19" i="6"/>
  <c r="M70" i="39"/>
  <c r="L72" i="39"/>
  <c r="M21" i="15"/>
  <c r="M23" i="44"/>
  <c r="F35" i="15"/>
  <c r="F37" i="44"/>
  <c r="D16" i="6" l="1"/>
  <c r="J22" i="44"/>
  <c r="C36" i="44"/>
  <c r="J20" i="15"/>
  <c r="C34" i="15"/>
  <c r="F62" i="15"/>
  <c r="C61" i="15" s="1"/>
  <c r="Y11" i="46"/>
  <c r="Y13" i="46" s="1"/>
  <c r="E22" i="46"/>
  <c r="AJ11" i="46"/>
  <c r="AJ13" i="46" s="1"/>
  <c r="Z7" i="46"/>
  <c r="D101" i="46"/>
  <c r="AI11" i="46"/>
  <c r="AI13" i="46" s="1"/>
  <c r="E101" i="46"/>
  <c r="AD11" i="46"/>
  <c r="AD13" i="46" s="1"/>
  <c r="G22" i="46"/>
  <c r="AB11" i="46"/>
  <c r="AB13" i="46" s="1"/>
  <c r="F22" i="46"/>
  <c r="Z11" i="46"/>
  <c r="Z13" i="46" s="1"/>
  <c r="AC11" i="46"/>
  <c r="AC13" i="46" s="1"/>
  <c r="AE11" i="46"/>
  <c r="AE13" i="46" s="1"/>
  <c r="K101" i="46"/>
  <c r="G101" i="46"/>
  <c r="F101" i="46"/>
  <c r="S4" i="46"/>
  <c r="T4" i="46" s="1"/>
  <c r="V4" i="46" s="1"/>
  <c r="S5" i="46"/>
  <c r="T5" i="46" s="1"/>
  <c r="V5" i="46" s="1"/>
  <c r="AA11" i="46"/>
  <c r="AA13" i="46" s="1"/>
  <c r="AF11" i="46"/>
  <c r="AF13" i="46" s="1"/>
  <c r="C101" i="46"/>
  <c r="C23" i="46"/>
  <c r="C21" i="46" s="1"/>
  <c r="C29" i="46" s="1"/>
  <c r="C30" i="46" s="1"/>
  <c r="E30" i="46" s="1"/>
  <c r="C27" i="46" s="1"/>
  <c r="AG11" i="46"/>
  <c r="AG13" i="46" s="1"/>
  <c r="B113" i="46"/>
  <c r="I101" i="46"/>
  <c r="H22" i="46"/>
  <c r="J22" i="46"/>
  <c r="N104" i="45"/>
  <c r="J101" i="46"/>
  <c r="M101" i="46"/>
  <c r="H101" i="46"/>
  <c r="AH11" i="46"/>
  <c r="AH13" i="46" s="1"/>
  <c r="L101" i="46"/>
  <c r="N101" i="46"/>
  <c r="S7" i="46"/>
  <c r="T7" i="46" s="1"/>
  <c r="V7" i="46" s="1"/>
  <c r="S6" i="46"/>
  <c r="T6" i="46" s="1"/>
  <c r="V6" i="46" s="1"/>
  <c r="S3" i="46"/>
  <c r="T3" i="46" s="1"/>
  <c r="V3" i="46" s="1"/>
  <c r="D27" i="6"/>
  <c r="D31" i="6" s="1"/>
  <c r="I5" i="6" s="1"/>
  <c r="L65" i="40"/>
  <c r="K67" i="40"/>
  <c r="C19" i="15"/>
  <c r="C20" i="15" s="1"/>
  <c r="C23" i="15" s="1"/>
  <c r="J11" i="21"/>
  <c r="F11" i="21"/>
  <c r="H11" i="21"/>
  <c r="AA13" i="39"/>
  <c r="S13" i="39"/>
  <c r="U13" i="39"/>
  <c r="AB13" i="39"/>
  <c r="W13" i="39"/>
  <c r="AC13" i="39"/>
  <c r="C21" i="44"/>
  <c r="C22" i="44" s="1"/>
  <c r="C25" i="44" s="1"/>
  <c r="C17" i="12"/>
  <c r="C18" i="12" s="1"/>
  <c r="C23" i="12" s="1"/>
  <c r="R27" i="6"/>
  <c r="R6" i="1"/>
  <c r="R16" i="1" s="1"/>
  <c r="C18" i="43"/>
  <c r="N70" i="39"/>
  <c r="N72" i="39" s="1"/>
  <c r="J9" i="39" s="1"/>
  <c r="M72" i="39"/>
  <c r="E29" i="46" l="1"/>
  <c r="C26" i="46" s="1"/>
  <c r="F106" i="46"/>
  <c r="F109" i="46"/>
  <c r="F105" i="46"/>
  <c r="F103" i="46"/>
  <c r="F107" i="46"/>
  <c r="F102" i="46"/>
  <c r="F104" i="46"/>
  <c r="K107" i="46"/>
  <c r="K102" i="46"/>
  <c r="K103" i="46"/>
  <c r="K105" i="46"/>
  <c r="K106" i="46"/>
  <c r="K104" i="46"/>
  <c r="K109" i="46"/>
  <c r="E104" i="46"/>
  <c r="E106" i="46"/>
  <c r="E105" i="46"/>
  <c r="E107" i="46"/>
  <c r="E103" i="46"/>
  <c r="E109" i="46"/>
  <c r="E102" i="46"/>
  <c r="D105" i="46"/>
  <c r="D107" i="46"/>
  <c r="D106" i="46"/>
  <c r="D102" i="46"/>
  <c r="D104" i="46"/>
  <c r="D103" i="46"/>
  <c r="D109" i="46"/>
  <c r="N106" i="46"/>
  <c r="N104" i="46"/>
  <c r="N109" i="46"/>
  <c r="N105" i="46"/>
  <c r="N107" i="46"/>
  <c r="N102" i="46"/>
  <c r="N103" i="46"/>
  <c r="M106" i="46"/>
  <c r="M105" i="46"/>
  <c r="M102" i="46"/>
  <c r="M107" i="46"/>
  <c r="M103" i="46"/>
  <c r="M109" i="46"/>
  <c r="M104" i="46"/>
  <c r="I115" i="46"/>
  <c r="J115" i="46" s="1"/>
  <c r="K115" i="46" s="1"/>
  <c r="L115" i="46" s="1"/>
  <c r="M115" i="46" s="1"/>
  <c r="D118" i="46"/>
  <c r="E118" i="46" s="1"/>
  <c r="F118" i="46" s="1"/>
  <c r="I116" i="46"/>
  <c r="J116" i="46" s="1"/>
  <c r="K116" i="46" s="1"/>
  <c r="L116" i="46" s="1"/>
  <c r="M116" i="46" s="1"/>
  <c r="G118" i="46"/>
  <c r="H118" i="46" s="1"/>
  <c r="B118" i="46"/>
  <c r="C118" i="46" s="1"/>
  <c r="D117" i="46"/>
  <c r="E117" i="46" s="1"/>
  <c r="F117" i="46" s="1"/>
  <c r="G117" i="46" s="1"/>
  <c r="H117" i="46" s="1"/>
  <c r="B116" i="46"/>
  <c r="C116" i="46" s="1"/>
  <c r="D115" i="46"/>
  <c r="E115" i="46" s="1"/>
  <c r="F115" i="46" s="1"/>
  <c r="G115" i="46" s="1"/>
  <c r="H115" i="46" s="1"/>
  <c r="D116" i="46"/>
  <c r="E116" i="46" s="1"/>
  <c r="F116" i="46" s="1"/>
  <c r="G116" i="46" s="1"/>
  <c r="H116" i="46" s="1"/>
  <c r="I118" i="46"/>
  <c r="J118" i="46" s="1"/>
  <c r="K118" i="46" s="1"/>
  <c r="L118" i="46" s="1"/>
  <c r="M118" i="46" s="1"/>
  <c r="B117" i="46"/>
  <c r="C117" i="46" s="1"/>
  <c r="I117" i="46"/>
  <c r="J117" i="46" s="1"/>
  <c r="K117" i="46" s="1"/>
  <c r="L117" i="46" s="1"/>
  <c r="M117" i="46" s="1"/>
  <c r="B115" i="46"/>
  <c r="C115" i="46" s="1"/>
  <c r="I6" i="6"/>
  <c r="L106" i="46"/>
  <c r="L107" i="46"/>
  <c r="L105" i="46"/>
  <c r="L102" i="46"/>
  <c r="L104" i="46"/>
  <c r="L103" i="46"/>
  <c r="L109" i="46"/>
  <c r="H102" i="46"/>
  <c r="H109" i="46"/>
  <c r="H103" i="46"/>
  <c r="H104" i="46"/>
  <c r="H107" i="46"/>
  <c r="H105" i="46"/>
  <c r="H106" i="46"/>
  <c r="J106" i="46"/>
  <c r="J105" i="46"/>
  <c r="J104" i="46"/>
  <c r="J103" i="46"/>
  <c r="J109" i="46"/>
  <c r="J102" i="46"/>
  <c r="J107" i="46"/>
  <c r="I102" i="46"/>
  <c r="I105" i="46"/>
  <c r="I107" i="46"/>
  <c r="I104" i="46"/>
  <c r="I106" i="46"/>
  <c r="I109" i="46"/>
  <c r="I103" i="46"/>
  <c r="C104" i="46"/>
  <c r="C102" i="46"/>
  <c r="S2" i="46" s="1"/>
  <c r="T2" i="46" s="1"/>
  <c r="V2" i="46" s="1"/>
  <c r="C109" i="46"/>
  <c r="C105" i="46"/>
  <c r="C103" i="46"/>
  <c r="C106" i="46"/>
  <c r="C107" i="46"/>
  <c r="G109" i="46"/>
  <c r="G107" i="46"/>
  <c r="G103" i="46"/>
  <c r="G102" i="46"/>
  <c r="G106" i="46"/>
  <c r="G104" i="46"/>
  <c r="G105" i="46"/>
  <c r="D22" i="46"/>
  <c r="C26" i="15"/>
  <c r="C29" i="15" s="1"/>
  <c r="Q50" i="15" s="1"/>
  <c r="H9" i="39"/>
  <c r="F9" i="39"/>
  <c r="L67" i="40"/>
  <c r="M65" i="40"/>
  <c r="C28" i="44"/>
  <c r="C31" i="44" s="1"/>
  <c r="J21" i="44" s="1"/>
  <c r="J19" i="44" s="1"/>
  <c r="U11" i="21"/>
  <c r="AB11" i="21"/>
  <c r="T48" i="21" s="1"/>
  <c r="G48" i="21" s="1"/>
  <c r="W11" i="21"/>
  <c r="AC11" i="21"/>
  <c r="V48" i="21" s="1"/>
  <c r="I48" i="21" s="1"/>
  <c r="I52" i="21" s="1"/>
  <c r="J52" i="21" s="1"/>
  <c r="AA11" i="21"/>
  <c r="R48" i="21" s="1"/>
  <c r="S11" i="21"/>
  <c r="C19" i="43"/>
  <c r="C25" i="43" s="1"/>
  <c r="C24" i="43" s="1"/>
  <c r="C33" i="15"/>
  <c r="C31" i="15" s="1"/>
  <c r="J59" i="15"/>
  <c r="J60" i="15" s="1"/>
  <c r="W9" i="39"/>
  <c r="AC9" i="39"/>
  <c r="V49" i="39" s="1"/>
  <c r="I49" i="39" s="1"/>
  <c r="S9" i="39"/>
  <c r="AA9" i="39"/>
  <c r="R49" i="39" s="1"/>
  <c r="U9" i="39"/>
  <c r="AB9" i="39"/>
  <c r="T49" i="39" s="1"/>
  <c r="G49" i="39" s="1"/>
  <c r="E7" i="67"/>
  <c r="F7" i="67"/>
  <c r="E4" i="67" l="1"/>
  <c r="D113" i="46"/>
  <c r="F9" i="40"/>
  <c r="C13" i="15"/>
  <c r="J35" i="15" s="1"/>
  <c r="N65" i="40"/>
  <c r="N67" i="40" s="1"/>
  <c r="M67" i="40"/>
  <c r="E3" i="67"/>
  <c r="B2" i="46"/>
  <c r="C56" i="15"/>
  <c r="C63" i="15" s="1"/>
  <c r="C36" i="15"/>
  <c r="C15" i="44"/>
  <c r="Q72" i="44" s="1"/>
  <c r="C38" i="44"/>
  <c r="C35" i="44"/>
  <c r="C33" i="44" s="1"/>
  <c r="J16" i="44"/>
  <c r="J24" i="44" s="1"/>
  <c r="Q51" i="44"/>
  <c r="J14" i="15"/>
  <c r="J22" i="15" s="1"/>
  <c r="J19" i="15"/>
  <c r="J17" i="15" s="1"/>
  <c r="G53" i="21"/>
  <c r="H53" i="21" s="1"/>
  <c r="G52" i="21"/>
  <c r="H52" i="21" s="1"/>
  <c r="E48" i="21"/>
  <c r="R49" i="21"/>
  <c r="Q49" i="15"/>
  <c r="C60" i="15"/>
  <c r="C58" i="15" s="1"/>
  <c r="C22" i="43"/>
  <c r="C21" i="43" s="1"/>
  <c r="C28" i="43" s="1"/>
  <c r="C30" i="43" s="1"/>
  <c r="C32" i="43" s="1"/>
  <c r="B2" i="43" s="1"/>
  <c r="I53" i="39"/>
  <c r="J53" i="39" s="1"/>
  <c r="G53" i="39"/>
  <c r="H53" i="39" s="1"/>
  <c r="G54" i="39"/>
  <c r="H54" i="39" s="1"/>
  <c r="E49" i="39"/>
  <c r="R50" i="39"/>
  <c r="B7" i="67"/>
  <c r="Q71" i="15" l="1"/>
  <c r="C37" i="15"/>
  <c r="C30" i="15" s="1"/>
  <c r="C39" i="15" s="1"/>
  <c r="C40" i="15" s="1"/>
  <c r="C55" i="15"/>
  <c r="C64" i="15" s="1"/>
  <c r="C57" i="15" s="1"/>
  <c r="C66" i="15" s="1"/>
  <c r="C67" i="15" s="1"/>
  <c r="C70" i="15" s="1"/>
  <c r="J9" i="40"/>
  <c r="H9" i="40"/>
  <c r="J15" i="44"/>
  <c r="J25" i="44" s="1"/>
  <c r="J18" i="44" s="1"/>
  <c r="J27" i="44" s="1"/>
  <c r="AA9" i="40"/>
  <c r="R44" i="40" s="1"/>
  <c r="S9" i="40"/>
  <c r="B2" i="67"/>
  <c r="B3" i="46"/>
  <c r="D4" i="46"/>
  <c r="B4" i="46"/>
  <c r="J13" i="15"/>
  <c r="J23" i="15" s="1"/>
  <c r="J16" i="15" s="1"/>
  <c r="J25" i="15" s="1"/>
  <c r="C43" i="44"/>
  <c r="C39" i="44"/>
  <c r="C32" i="44" s="1"/>
  <c r="C42" i="44" s="1"/>
  <c r="Q71" i="44" s="1"/>
  <c r="Q70" i="44" s="1"/>
  <c r="C49" i="21"/>
  <c r="B3" i="21" s="1"/>
  <c r="C48" i="21"/>
  <c r="I53" i="21"/>
  <c r="J53" i="21" s="1"/>
  <c r="E52" i="21"/>
  <c r="F52" i="21" s="1"/>
  <c r="E53" i="21"/>
  <c r="F53" i="21" s="1"/>
  <c r="L57" i="15"/>
  <c r="L60" i="15" s="1"/>
  <c r="L46" i="15" s="1"/>
  <c r="B3" i="43"/>
  <c r="B4" i="43"/>
  <c r="B5" i="43"/>
  <c r="E54" i="39"/>
  <c r="F54" i="39" s="1"/>
  <c r="E53" i="39"/>
  <c r="F53" i="39" s="1"/>
  <c r="C49" i="39"/>
  <c r="C50" i="39"/>
  <c r="I54" i="39"/>
  <c r="J54" i="39" s="1"/>
  <c r="L51" i="15"/>
  <c r="W9" i="40" l="1"/>
  <c r="AC9" i="40"/>
  <c r="V44" i="40" s="1"/>
  <c r="I44" i="40" s="1"/>
  <c r="E44" i="40"/>
  <c r="R45" i="40"/>
  <c r="U9" i="40"/>
  <c r="AB9" i="40"/>
  <c r="T44" i="40" s="1"/>
  <c r="G44" i="40" s="1"/>
  <c r="B4" i="67"/>
  <c r="B3" i="67"/>
  <c r="Q70" i="15"/>
  <c r="Q69" i="15" s="1"/>
  <c r="J39" i="15"/>
  <c r="J40" i="15" s="1"/>
  <c r="Q68" i="15"/>
  <c r="C44" i="44"/>
  <c r="C45" i="44" s="1"/>
  <c r="B2" i="44" s="1"/>
  <c r="B5" i="44" s="1"/>
  <c r="C8" i="12"/>
  <c r="B2" i="21"/>
  <c r="C10" i="12" s="1"/>
  <c r="C6" i="12" s="1"/>
  <c r="C45" i="9"/>
  <c r="Q66" i="15"/>
  <c r="J42" i="15"/>
  <c r="J43" i="15" s="1"/>
  <c r="Q57" i="15"/>
  <c r="B2" i="15"/>
  <c r="B3" i="15" s="1"/>
  <c r="C43" i="15"/>
  <c r="Q48" i="15"/>
  <c r="Q54" i="15" s="1"/>
  <c r="C46" i="15"/>
  <c r="Q67" i="15"/>
  <c r="Q58" i="15"/>
  <c r="B65" i="39"/>
  <c r="F65" i="39" s="1"/>
  <c r="B64" i="39"/>
  <c r="F64" i="39" s="1"/>
  <c r="B61" i="39"/>
  <c r="F61" i="39" s="1"/>
  <c r="B60" i="39"/>
  <c r="F60" i="39" s="1"/>
  <c r="B59" i="39"/>
  <c r="F59" i="39" s="1"/>
  <c r="B63" i="39"/>
  <c r="F63" i="39" s="1"/>
  <c r="B66" i="39"/>
  <c r="F66" i="39" s="1"/>
  <c r="B67" i="39"/>
  <c r="F67" i="39" s="1"/>
  <c r="B62" i="39"/>
  <c r="F62" i="39" s="1"/>
  <c r="B58" i="39"/>
  <c r="F58" i="39" s="1"/>
  <c r="C44" i="40" l="1"/>
  <c r="C45" i="40"/>
  <c r="G48" i="40"/>
  <c r="H48" i="40" s="1"/>
  <c r="G49" i="40"/>
  <c r="H49" i="40" s="1"/>
  <c r="I48" i="40"/>
  <c r="J48" i="40" s="1"/>
  <c r="I49" i="40"/>
  <c r="J49" i="40" s="1"/>
  <c r="E48" i="40"/>
  <c r="F48" i="40" s="1"/>
  <c r="E49" i="40"/>
  <c r="F49" i="40" s="1"/>
  <c r="D45" i="9"/>
  <c r="O40" i="9"/>
  <c r="R7" i="54" s="1"/>
  <c r="B52" i="63" s="1"/>
  <c r="H14" i="66"/>
  <c r="B7" i="66" s="1"/>
  <c r="F45" i="9"/>
  <c r="E45" i="9"/>
  <c r="Q76" i="15"/>
  <c r="B3" i="44"/>
  <c r="B4" i="44"/>
  <c r="C29" i="12"/>
  <c r="C24" i="12"/>
  <c r="F68" i="39"/>
  <c r="B2" i="39" s="1"/>
  <c r="B3" i="39" s="1"/>
  <c r="Q63" i="15"/>
  <c r="D20" i="9"/>
  <c r="D19" i="9"/>
  <c r="B56" i="40" l="1"/>
  <c r="F56" i="40" s="1"/>
  <c r="B54" i="40"/>
  <c r="F54" i="40" s="1"/>
  <c r="F63" i="40"/>
  <c r="B2" i="40" s="1"/>
  <c r="B59" i="40"/>
  <c r="F59" i="40" s="1"/>
  <c r="B57" i="40"/>
  <c r="F57" i="40" s="1"/>
  <c r="B58" i="40"/>
  <c r="F58" i="40" s="1"/>
  <c r="B53" i="40"/>
  <c r="F53" i="40" s="1"/>
  <c r="B61" i="40"/>
  <c r="F61" i="40" s="1"/>
  <c r="B55" i="40"/>
  <c r="F55" i="40" s="1"/>
  <c r="B60" i="40"/>
  <c r="F60" i="40" s="1"/>
  <c r="B62" i="40"/>
  <c r="F62" i="40" s="1"/>
  <c r="C7" i="66"/>
  <c r="D7" i="66"/>
  <c r="C35" i="12"/>
  <c r="C33" i="12" s="1"/>
  <c r="C28" i="12"/>
  <c r="C26" i="12" s="1"/>
  <c r="C31" i="12" s="1"/>
  <c r="C30" i="12" s="1"/>
  <c r="B5" i="39"/>
  <c r="B4" i="39"/>
  <c r="L44" i="9"/>
  <c r="D21" i="9"/>
  <c r="B3" i="40" l="1"/>
  <c r="B5" i="40"/>
  <c r="B4" i="40"/>
  <c r="C36" i="12"/>
  <c r="B2" i="12" s="1"/>
  <c r="C19" i="9"/>
  <c r="L43" i="9" l="1"/>
  <c r="G19" i="9"/>
  <c r="D22" i="9"/>
  <c r="B3" i="12"/>
  <c r="B4" i="12"/>
  <c r="B5" i="12"/>
  <c r="C20" i="9"/>
  <c r="C21" i="9"/>
  <c r="G20" i="9" l="1"/>
  <c r="G21" i="9"/>
  <c r="N43" i="9"/>
  <c r="C32" i="9"/>
  <c r="G22" i="9"/>
  <c r="C34" i="9" l="1"/>
  <c r="C42" i="9"/>
  <c r="O43" i="9"/>
  <c r="O38" i="9"/>
  <c r="C35" i="9"/>
  <c r="F42" i="9" s="1"/>
  <c r="C33" i="9"/>
  <c r="N38" i="9" l="1"/>
  <c r="K28" i="9" s="1"/>
  <c r="D42" i="9"/>
  <c r="Q5" i="54" s="1"/>
  <c r="K25" i="9"/>
  <c r="K26" i="9"/>
  <c r="C44" i="9"/>
  <c r="R5" i="54"/>
  <c r="D63" i="9"/>
  <c r="N68" i="9"/>
  <c r="D14" i="66"/>
  <c r="M38" i="9"/>
  <c r="K27" i="9" s="1"/>
  <c r="E42" i="9"/>
  <c r="P5" i="54" s="1"/>
  <c r="B48" i="63" l="1"/>
  <c r="B47" i="63"/>
  <c r="B46" i="63"/>
  <c r="E14" i="66"/>
  <c r="F14" i="66"/>
  <c r="D70" i="9"/>
  <c r="C90" i="9"/>
  <c r="C103" i="9"/>
  <c r="C82" i="9"/>
  <c r="C81" i="9" s="1"/>
  <c r="C85" i="9" s="1"/>
  <c r="C86" i="9" s="1"/>
  <c r="D72" i="9" s="1"/>
  <c r="D71" i="9"/>
  <c r="D66" i="9" s="1"/>
  <c r="N72" i="9" s="1"/>
  <c r="C96" i="9"/>
  <c r="C91" i="9" s="1"/>
  <c r="C111" i="9"/>
  <c r="C104" i="9" s="1"/>
  <c r="D77" i="9"/>
  <c r="N75" i="9" s="1"/>
  <c r="G14" i="66"/>
  <c r="N69" i="9"/>
  <c r="O39" i="9"/>
  <c r="F44" i="9"/>
  <c r="E44" i="9"/>
  <c r="D44" i="9"/>
  <c r="K29" i="9" l="1"/>
  <c r="K30" i="9" s="1"/>
  <c r="R6" i="54"/>
  <c r="C113" i="9"/>
  <c r="M87" i="9"/>
  <c r="N87" i="9" s="1"/>
  <c r="M83" i="9"/>
  <c r="N83" i="9" s="1"/>
  <c r="M84" i="9"/>
  <c r="N84" i="9" s="1"/>
  <c r="M85" i="9"/>
  <c r="N85" i="9" s="1"/>
  <c r="M86" i="9"/>
  <c r="N86" i="9" s="1"/>
  <c r="M88" i="9"/>
  <c r="N88" i="9" s="1"/>
  <c r="C97" i="9"/>
  <c r="B50" i="63" l="1"/>
  <c r="N89" i="9"/>
  <c r="O89" i="9" s="1"/>
  <c r="C114" i="9"/>
  <c r="E114" i="9" s="1"/>
  <c r="E115" i="9" s="1"/>
  <c r="C98" i="9"/>
  <c r="E98" i="9" s="1"/>
  <c r="E99" i="9" s="1"/>
  <c r="C99" i="9" l="1"/>
  <c r="C115" i="9"/>
  <c r="D76" i="9" s="1"/>
  <c r="D74" i="9" s="1"/>
  <c r="N74" i="9" s="1"/>
  <c r="O77" i="9" s="1"/>
  <c r="Q77" i="9" s="1"/>
  <c r="O78" i="9" l="1"/>
  <c r="O79" i="9"/>
  <c r="O80" i="9" s="1"/>
  <c r="O81" i="9" l="1"/>
  <c r="D15" i="66" l="1"/>
  <c r="G15" i="66"/>
  <c r="B6" i="66" s="1"/>
  <c r="D6" i="66" l="1"/>
  <c r="C6" i="66"/>
  <c r="E15" i="66"/>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<sst xmlns="http://schemas.openxmlformats.org/spreadsheetml/2006/main" count="7335" uniqueCount="3263">
  <si>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</si>
  <si>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</si>
  <si>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</si>
  <si>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</si>
  <si>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</si>
  <si>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</si>
  <si>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</si>
  <si>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</si>
  <si>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</si>
  <si>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</si>
  <si>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</si>
  <si>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</si>
  <si>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</si>
  <si>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</si>
  <si>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</si>
  <si>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</si>
  <si>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</si>
  <si>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</si>
  <si>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</si>
  <si>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</si>
  <si>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</si>
  <si>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</si>
  <si>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</si>
  <si>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</si>
  <si>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</si>
  <si>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</si>
  <si>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</si>
  <si>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</si>
  <si>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</si>
  <si>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</si>
  <si>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</si>
  <si>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</si>
  <si>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</si>
  <si>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</si>
  <si>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</si>
  <si>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</si>
  <si>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</si>
  <si>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</si>
  <si>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</si>
  <si>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</si>
  <si>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</si>
  <si>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</si>
  <si>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</si>
  <si>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</si>
  <si>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</si>
  <si>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</si>
  <si>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</si>
  <si>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</si>
  <si>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</si>
  <si>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</si>
  <si>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</si>
  <si>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</si>
  <si>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</si>
  <si>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</si>
  <si>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</si>
  <si>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</si>
  <si>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</si>
  <si>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</si>
  <si>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</si>
  <si>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</si>
  <si>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</si>
  <si>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</si>
  <si>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</si>
  <si>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</si>
  <si>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</si>
  <si>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</si>
  <si>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</si>
  <si>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</si>
  <si>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</si>
  <si>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</si>
  <si>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</si>
  <si>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</si>
  <si>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</si>
  <si>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</si>
  <si>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</si>
  <si>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</si>
  <si>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</si>
  <si>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</si>
  <si>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</si>
  <si>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</si>
  <si>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</si>
  <si>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</si>
  <si>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</si>
  <si>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</si>
  <si>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</si>
  <si>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</si>
  <si>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</si>
  <si>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</si>
  <si>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</si>
  <si>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</si>
  <si>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</si>
  <si>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</si>
  <si>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</si>
  <si>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</si>
  <si>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</si>
  <si>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</si>
  <si>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</si>
  <si>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</si>
  <si>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</si>
  <si>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</si>
  <si>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</si>
  <si>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</si>
  <si>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</si>
  <si>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</si>
  <si>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</si>
  <si>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</si>
  <si>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</si>
  <si>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</si>
  <si>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</si>
  <si>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</si>
  <si>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</si>
  <si>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</si>
  <si>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</si>
  <si>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</si>
  <si>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</si>
  <si>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</si>
  <si>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</si>
  <si>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</si>
  <si>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</si>
  <si>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</si>
  <si>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</si>
  <si>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</si>
  <si>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</si>
  <si>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</si>
  <si>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</si>
  <si>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</si>
  <si>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</si>
  <si>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</si>
  <si>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</si>
  <si>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</si>
  <si>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</si>
  <si>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</si>
  <si>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</si>
  <si>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</si>
  <si>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</si>
  <si>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</si>
  <si>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</si>
  <si>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</si>
  <si>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</si>
  <si>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</si>
  <si>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</si>
  <si>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</si>
  <si>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</si>
  <si>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</si>
  <si>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</si>
  <si>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</si>
  <si>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</si>
  <si>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</si>
  <si>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</si>
  <si>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</si>
  <si>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</si>
  <si>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</si>
  <si>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</si>
  <si>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</si>
  <si>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</si>
  <si>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</si>
  <si>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</si>
  <si>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</si>
  <si>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</si>
  <si>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</si>
  <si>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</si>
  <si>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</si>
  <si>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</si>
  <si>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</si>
  <si>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</si>
  <si>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</si>
  <si>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</si>
  <si>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</si>
  <si>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</si>
  <si>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</si>
  <si>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</si>
  <si>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</si>
  <si>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</si>
  <si>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</si>
  <si>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</si>
  <si>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</si>
  <si>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</si>
  <si>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</si>
  <si>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</si>
  <si>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</si>
  <si>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</si>
  <si>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</si>
  <si>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</si>
  <si>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</si>
  <si>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</si>
  <si>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</si>
  <si>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</si>
  <si>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</si>
  <si>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</si>
  <si>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</si>
  <si>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</si>
  <si>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</si>
  <si>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</si>
  <si>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</si>
  <si>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</si>
  <si>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</si>
  <si>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</si>
  <si>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</si>
  <si>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</si>
  <si>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</si>
  <si>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</si>
  <si>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</si>
  <si>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</si>
  <si>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</si>
  <si>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</si>
  <si>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</si>
  <si>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</si>
  <si>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</si>
  <si>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</si>
  <si>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</si>
  <si>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</si>
  <si>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</si>
  <si>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</si>
  <si>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</si>
  <si>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</si>
  <si>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</si>
  <si>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</si>
  <si>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</si>
  <si>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</si>
  <si>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</si>
  <si>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</si>
  <si>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</si>
  <si>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</si>
  <si>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</si>
  <si>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</si>
  <si>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</si>
  <si>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</si>
  <si>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</si>
  <si>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</si>
  <si>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</si>
  <si>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</si>
  <si>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</si>
  <si>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</si>
  <si>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</si>
  <si>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</si>
  <si>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</si>
  <si>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</si>
  <si>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</si>
  <si>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</si>
  <si>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</si>
  <si>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</si>
  <si>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</si>
  <si>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</si>
  <si>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</si>
  <si>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</si>
  <si>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</si>
  <si>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</si>
  <si>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</si>
  <si>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</si>
  <si>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</si>
  <si>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</si>
  <si>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</si>
  <si>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</si>
  <si>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</si>
  <si>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</si>
  <si>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</si>
  <si>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</si>
  <si>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</si>
  <si>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</si>
  <si>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</si>
  <si>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</si>
  <si>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</si>
  <si>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</si>
  <si>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</si>
  <si>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</si>
  <si>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</si>
  <si>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</si>
  <si>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</si>
  <si>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</si>
  <si>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</si>
  <si>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</si>
  <si>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</si>
  <si>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</si>
  <si>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</si>
  <si>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</si>
  <si>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</si>
  <si>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</si>
  <si>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</si>
  <si>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</si>
  <si>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</si>
  <si>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</si>
  <si>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</si>
  <si>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</si>
  <si>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</si>
  <si>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</si>
  <si>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</si>
  <si>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</si>
  <si>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</si>
  <si>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</si>
  <si>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</si>
  <si>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</si>
  <si>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</si>
  <si>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</si>
  <si>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</si>
  <si>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</si>
  <si>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</si>
  <si>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</si>
  <si>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</si>
  <si>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</si>
  <si>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</si>
  <si>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</si>
  <si>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</si>
  <si>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</si>
  <si>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</si>
  <si>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</si>
  <si>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</si>
  <si>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</si>
  <si>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</si>
  <si>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</si>
  <si>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</si>
  <si>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</si>
  <si>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</si>
  <si>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</si>
  <si>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</si>
  <si>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</si>
  <si>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</si>
  <si>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</si>
  <si>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</si>
  <si>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</si>
  <si>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</si>
  <si>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</si>
  <si>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</si>
  <si>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</si>
  <si>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</si>
  <si>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</si>
  <si>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</si>
  <si>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</si>
  <si>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</si>
  <si>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</si>
  <si>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</si>
  <si>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</si>
  <si>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</si>
  <si>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</si>
  <si>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</si>
  <si>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</si>
  <si>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</si>
  <si>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</si>
  <si>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</si>
  <si>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</si>
  <si>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</si>
  <si>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</si>
  <si>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</si>
  <si>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</si>
  <si>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</si>
  <si>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</si>
  <si>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</si>
  <si>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</si>
  <si>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</si>
  <si>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</si>
  <si>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</si>
  <si>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</si>
  <si>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</si>
  <si>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</si>
  <si>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</si>
  <si>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</si>
  <si>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</si>
  <si>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</si>
  <si>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</si>
  <si>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</si>
  <si>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</si>
  <si>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</si>
  <si>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</si>
  <si>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</si>
  <si>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</si>
  <si>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</si>
  <si>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</si>
  <si>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</si>
  <si>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</si>
  <si>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</si>
  <si>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</si>
  <si>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</si>
  <si>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</si>
  <si>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</si>
  <si>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</si>
  <si>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</si>
  <si>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</si>
  <si>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</si>
  <si>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</si>
  <si>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</si>
  <si>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</si>
  <si>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</si>
  <si>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</si>
  <si>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</si>
  <si>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</si>
  <si>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</si>
  <si>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</si>
  <si>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</si>
  <si>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</si>
  <si>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</si>
  <si>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</si>
  <si>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</si>
  <si>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</si>
  <si>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</si>
  <si>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</si>
  <si>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</si>
  <si>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</si>
  <si>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</si>
  <si>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</si>
  <si>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</si>
  <si>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</si>
  <si>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</si>
  <si>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</si>
  <si>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</si>
  <si>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</si>
  <si>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</si>
  <si>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</si>
  <si>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</si>
  <si>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</si>
  <si>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</si>
  <si>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</si>
  <si>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</si>
  <si>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</si>
  <si>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</si>
  <si>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</si>
  <si>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</si>
  <si>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</si>
  <si>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</si>
  <si>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</si>
  <si>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</si>
  <si>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</si>
  <si>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</si>
  <si>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</si>
  <si>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</si>
  <si>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</si>
  <si>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</si>
  <si>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</si>
  <si>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</si>
  <si>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</si>
  <si>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</si>
  <si>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</si>
  <si>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</si>
  <si>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</si>
  <si>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</si>
  <si>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</si>
  <si>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</si>
  <si>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</si>
  <si>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</si>
  <si>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</si>
  <si>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</si>
  <si>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</si>
  <si>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</si>
  <si>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</si>
  <si>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</si>
  <si>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</si>
  <si>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</si>
  <si>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</si>
  <si>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</si>
  <si>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</si>
  <si>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</si>
  <si>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</si>
  <si>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</si>
  <si>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</si>
  <si>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</si>
  <si>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</si>
  <si>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</si>
  <si>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</si>
  <si>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</si>
  <si>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</si>
  <si>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</si>
  <si>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</si>
  <si>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</si>
  <si>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</si>
  <si>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</si>
  <si>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</si>
  <si>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</si>
  <si>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</si>
  <si>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</si>
  <si>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</si>
  <si>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</si>
  <si>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</si>
  <si>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</si>
  <si>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</si>
  <si>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</si>
  <si>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</si>
  <si>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</si>
  <si>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</si>
  <si>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</si>
  <si>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</si>
  <si>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</si>
  <si>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</si>
  <si>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</si>
  <si>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</si>
  <si>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</si>
  <si>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</si>
  <si>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</si>
  <si>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</si>
  <si>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</si>
  <si>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</si>
  <si>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</si>
  <si>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</si>
  <si>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</si>
  <si>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</si>
  <si>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</si>
  <si>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</si>
  <si>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</si>
  <si>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</si>
  <si>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</si>
  <si>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</si>
  <si>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</si>
  <si>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</si>
  <si>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</si>
  <si>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</si>
  <si>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</si>
  <si>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</si>
  <si>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</si>
  <si>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</si>
  <si>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</si>
  <si>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</si>
  <si>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</si>
  <si>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</si>
  <si>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</si>
  <si>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</si>
  <si>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</si>
  <si>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</si>
  <si>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</si>
  <si>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</si>
  <si>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</si>
  <si>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</si>
  <si>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</si>
  <si>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</si>
  <si>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</si>
  <si>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</si>
  <si>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</si>
  <si>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</si>
  <si>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</si>
  <si>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</si>
  <si>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</si>
  <si>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</si>
  <si>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</si>
  <si>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</si>
  <si>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</si>
  <si>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</si>
  <si>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</si>
  <si>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</si>
  <si>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</si>
  <si>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</si>
  <si>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</si>
  <si>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</si>
  <si>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</si>
  <si>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</si>
  <si>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</si>
  <si>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</si>
  <si>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</si>
  <si>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</si>
  <si>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</si>
  <si>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</si>
  <si>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</si>
  <si>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</si>
  <si>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</si>
  <si>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</si>
  <si>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</si>
  <si>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</si>
  <si>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</si>
  <si>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</si>
  <si>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</si>
  <si>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</si>
  <si>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</si>
  <si>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</si>
  <si>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</si>
  <si>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</si>
  <si>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</si>
  <si>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</si>
  <si>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</si>
  <si>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</si>
  <si>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</si>
  <si>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</si>
  <si>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</si>
  <si>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</si>
  <si>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</si>
  <si>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</si>
  <si>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</si>
  <si>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</si>
  <si>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</si>
  <si>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</si>
  <si>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</si>
  <si>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</si>
  <si>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</si>
  <si>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</si>
  <si>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</si>
  <si>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</si>
  <si>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</si>
  <si>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</si>
  <si>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</si>
  <si>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</si>
  <si>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</si>
  <si>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</si>
  <si>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</si>
  <si>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</si>
  <si>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</si>
  <si>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</si>
  <si>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</si>
  <si>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</si>
  <si>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</si>
  <si>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</si>
  <si>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</si>
  <si>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</si>
  <si>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</si>
  <si>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</si>
  <si>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</si>
  <si>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</si>
  <si>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</si>
  <si>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</si>
  <si>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</si>
  <si>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</si>
  <si>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</si>
  <si>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</si>
  <si>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</si>
  <si>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</si>
  <si>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</si>
  <si>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</si>
  <si>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</si>
  <si>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</si>
  <si>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</si>
  <si>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</si>
  <si>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</si>
  <si>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</si>
  <si>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</si>
  <si>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</si>
  <si>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</si>
  <si>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</si>
  <si>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</si>
  <si>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</si>
  <si>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</si>
  <si>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</si>
  <si>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</si>
  <si>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</si>
  <si>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</si>
  <si>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</si>
  <si>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</si>
  <si>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</si>
  <si>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</si>
  <si>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</si>
  <si>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</si>
  <si>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</si>
  <si>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</si>
  <si>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</si>
  <si>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</si>
  <si>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</si>
  <si>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</si>
  <si>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</si>
  <si>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</si>
  <si>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</si>
  <si>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</si>
  <si>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</si>
  <si>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</si>
  <si>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</si>
  <si>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</si>
  <si>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</si>
  <si>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</si>
  <si>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</si>
  <si>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</si>
  <si>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</si>
  <si>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</si>
  <si>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</si>
  <si>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</si>
  <si>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</si>
  <si>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</si>
  <si>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</si>
  <si>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</si>
  <si>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</si>
  <si>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</si>
  <si>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</si>
  <si>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</si>
  <si>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</si>
  <si>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</si>
  <si>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</si>
  <si>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</si>
  <si>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</si>
  <si>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</si>
  <si>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</si>
  <si>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</si>
  <si>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</si>
  <si>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</si>
  <si>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</si>
  <si>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</si>
  <si>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</si>
  <si>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</si>
  <si>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</si>
  <si>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</si>
  <si>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</si>
  <si>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</si>
  <si>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</si>
  <si>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</si>
  <si>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</si>
  <si>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</si>
  <si>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</si>
  <si>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</si>
  <si>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</si>
  <si>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</si>
  <si>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</si>
  <si>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</si>
  <si>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</si>
  <si>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</si>
  <si>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</si>
  <si>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</si>
  <si>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</si>
  <si>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</si>
  <si>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</si>
  <si>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</si>
  <si>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</si>
  <si>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</si>
  <si>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</si>
  <si>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</si>
  <si>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</si>
  <si>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</si>
  <si>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</si>
  <si>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</si>
  <si>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</si>
  <si>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</si>
  <si>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</si>
  <si>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</si>
  <si>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</si>
  <si>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</si>
  <si>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</si>
  <si>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</si>
  <si>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</si>
  <si>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</si>
  <si>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</si>
  <si>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</si>
  <si>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</si>
  <si>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</si>
  <si>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</si>
  <si>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</si>
  <si>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</si>
  <si>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</si>
  <si>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</si>
  <si>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</si>
  <si>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</si>
  <si>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</si>
  <si>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</si>
  <si>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</si>
  <si>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</si>
  <si>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</si>
  <si>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</si>
  <si>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</si>
  <si>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</si>
  <si>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</si>
  <si>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</si>
  <si>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</si>
  <si>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</si>
  <si>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</si>
  <si>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</si>
  <si>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</si>
  <si>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</si>
  <si>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</si>
  <si>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</si>
  <si>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</si>
  <si>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</si>
  <si>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</si>
  <si>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</si>
  <si>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</si>
  <si>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</si>
  <si>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</si>
  <si>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</si>
  <si>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</si>
  <si>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</si>
  <si>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</si>
  <si>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</si>
  <si>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</si>
  <si>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</si>
  <si>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</si>
  <si>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</si>
  <si>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</si>
  <si>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</si>
  <si>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</si>
  <si>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</si>
  <si>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</si>
  <si>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</si>
  <si>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</si>
  <si>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</si>
  <si>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</si>
  <si>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</si>
  <si>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</si>
  <si>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</si>
  <si>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</si>
  <si>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</si>
  <si>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</si>
  <si>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</si>
  <si>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</si>
  <si>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</si>
  <si>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</si>
  <si>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</si>
  <si>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</si>
  <si>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</si>
  <si>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</si>
  <si>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</si>
  <si>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</si>
  <si>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</si>
  <si>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</si>
  <si>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</si>
  <si>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</si>
  <si>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</si>
  <si>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</si>
  <si>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</si>
  <si>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</si>
  <si>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</si>
  <si>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</si>
  <si>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</si>
  <si>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</si>
  <si>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</si>
  <si>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</si>
  <si>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</si>
  <si>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</si>
  <si>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</si>
  <si>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</si>
  <si>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</si>
  <si>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</si>
  <si>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</si>
  <si>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</si>
  <si>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</si>
  <si>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</si>
  <si>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</si>
  <si>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</si>
  <si>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</si>
  <si>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</si>
  <si>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</si>
  <si>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</si>
  <si>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</si>
  <si>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</si>
  <si>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</si>
  <si>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</si>
  <si>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</si>
  <si>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</si>
  <si>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</si>
  <si>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</si>
  <si>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</si>
  <si>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</si>
  <si>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</si>
  <si>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</si>
  <si>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</si>
  <si>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</si>
  <si>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</si>
  <si>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</si>
  <si>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</si>
  <si>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</si>
  <si>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</si>
  <si>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</si>
  <si>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</si>
  <si>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</si>
  <si>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</si>
  <si>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</si>
  <si>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</si>
  <si>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</si>
  <si>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</si>
  <si>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</si>
  <si>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</si>
  <si>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</si>
  <si>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</si>
  <si>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</si>
  <si>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</si>
  <si>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</si>
  <si>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</si>
  <si>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</si>
  <si>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</si>
  <si>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</si>
  <si>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</si>
  <si>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</si>
  <si>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</si>
  <si>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</si>
  <si>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</si>
  <si>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</si>
  <si>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</si>
  <si>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</si>
  <si>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</si>
  <si>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</si>
  <si>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</si>
  <si>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</si>
  <si>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</si>
  <si>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</si>
  <si>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</si>
  <si>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</si>
  <si>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</si>
  <si>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</si>
  <si>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</si>
  <si>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</si>
  <si>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</si>
  <si>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</si>
  <si>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</si>
  <si>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</si>
  <si>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</si>
  <si>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</si>
  <si>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</si>
  <si>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</si>
  <si>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</si>
  <si>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</si>
  <si>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</si>
  <si>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</si>
  <si>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</si>
  <si>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</si>
  <si>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</si>
  <si>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</si>
  <si>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</si>
  <si>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</si>
  <si>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</si>
  <si>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</si>
  <si>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</si>
  <si>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</si>
  <si>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</si>
  <si>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</si>
  <si>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</si>
  <si>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</si>
  <si>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</si>
  <si>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</si>
  <si>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</si>
  <si>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</si>
  <si>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</si>
  <si>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</si>
  <si>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</si>
  <si>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</si>
  <si>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</si>
  <si>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</si>
  <si>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</si>
  <si>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</si>
  <si>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</si>
  <si>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</si>
  <si>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</si>
  <si>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</si>
  <si>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</si>
  <si>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</si>
  <si>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</si>
  <si>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</si>
  <si>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</si>
  <si>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</si>
  <si>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</si>
  <si>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</si>
  <si>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</si>
  <si>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</si>
  <si>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</si>
  <si>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</si>
  <si>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</si>
  <si>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</si>
  <si>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</si>
  <si>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</si>
  <si>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</si>
  <si>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</si>
  <si>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</si>
  <si>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</si>
  <si>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</si>
  <si>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</si>
  <si>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</si>
  <si>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</si>
  <si>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</si>
  <si>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</si>
  <si>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</si>
  <si>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</si>
  <si>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</si>
  <si>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</si>
  <si>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</si>
  <si>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</si>
  <si>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</si>
  <si>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</si>
  <si>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</si>
  <si>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</si>
  <si>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</si>
  <si>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</si>
  <si>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</si>
  <si>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</si>
  <si>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</si>
  <si>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</si>
  <si>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</si>
  <si>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</si>
  <si>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</si>
  <si>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</si>
  <si>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</si>
  <si>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</si>
  <si>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</si>
  <si>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</si>
  <si>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</si>
  <si>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</si>
  <si>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</si>
  <si>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</si>
  <si>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</si>
  <si>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</si>
  <si>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</si>
  <si>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</si>
  <si>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</si>
  <si>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</si>
  <si>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</si>
  <si>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</si>
  <si>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</si>
  <si>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</si>
  <si>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</si>
  <si>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</si>
  <si>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</si>
  <si>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</si>
  <si>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</si>
  <si>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</si>
  <si>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</si>
  <si>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</si>
  <si>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</si>
  <si>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</si>
  <si>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</si>
  <si>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</si>
  <si>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</si>
  <si>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</si>
  <si>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</si>
  <si>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</si>
  <si>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</si>
  <si>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</si>
  <si>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</si>
  <si>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</si>
  <si>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</si>
  <si>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</si>
  <si>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</si>
  <si>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</si>
  <si>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</si>
  <si>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</si>
  <si>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</si>
  <si>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</si>
  <si>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</si>
  <si>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</si>
  <si>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</si>
  <si>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</si>
  <si>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</si>
  <si>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</si>
  <si>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</si>
  <si>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</si>
  <si>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</si>
  <si>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</si>
  <si>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</si>
  <si>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</si>
  <si>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</si>
  <si>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</si>
  <si>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</si>
  <si>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</si>
  <si>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</si>
  <si>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</si>
  <si>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</si>
  <si>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</si>
  <si>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</si>
  <si>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</si>
  <si>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</si>
  <si>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</si>
  <si>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</si>
  <si>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</si>
  <si>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</si>
  <si>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</si>
  <si>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</si>
  <si>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</si>
  <si>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</si>
  <si>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</si>
  <si>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</si>
  <si>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</si>
  <si>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</si>
  <si>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</si>
  <si>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</si>
  <si>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</si>
  <si>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</si>
  <si>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</si>
  <si>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</si>
  <si>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</si>
  <si>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</si>
  <si>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</si>
  <si>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</si>
  <si>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</si>
  <si>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</si>
  <si>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</si>
  <si>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</si>
  <si>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</si>
  <si>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</si>
  <si>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</si>
  <si>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</si>
  <si>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</si>
  <si>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</si>
  <si>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</si>
  <si>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</si>
  <si>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</si>
  <si>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</si>
  <si>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</si>
  <si>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</si>
  <si>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</si>
  <si>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</si>
  <si>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</si>
  <si>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</si>
  <si>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</si>
  <si>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</si>
  <si>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</si>
  <si>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</si>
  <si>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</si>
  <si>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</si>
  <si>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</si>
  <si>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</si>
  <si>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</si>
  <si>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</si>
  <si>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</si>
  <si>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</si>
  <si>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</si>
  <si>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</si>
  <si>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</si>
  <si>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</si>
  <si>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</si>
  <si>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</si>
  <si>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</si>
  <si>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</si>
  <si>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</si>
  <si>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</si>
  <si>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</si>
  <si>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</si>
  <si>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</si>
  <si>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</si>
  <si>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</si>
  <si>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</si>
  <si>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</si>
  <si>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</si>
  <si>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</si>
  <si>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</si>
  <si>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</si>
  <si>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</si>
  <si>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</si>
  <si>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</si>
  <si>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</si>
  <si>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</si>
  <si>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</si>
  <si>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</si>
  <si>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</si>
  <si>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</si>
  <si>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</si>
  <si>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</si>
  <si>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</si>
  <si>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</si>
  <si>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</si>
  <si>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</si>
  <si>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</si>
  <si>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</si>
  <si>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</si>
  <si>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</si>
  <si>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</si>
  <si>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</si>
  <si>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</si>
  <si>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</si>
  <si>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</si>
  <si>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</si>
  <si>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</si>
  <si>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</si>
  <si>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</si>
  <si>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</si>
  <si>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</si>
  <si>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</si>
  <si>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</si>
  <si>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</si>
  <si>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</si>
  <si>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</si>
  <si>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</si>
  <si>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</si>
  <si>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</si>
  <si>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</si>
  <si>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</si>
  <si>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</si>
  <si>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</si>
  <si>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</si>
  <si>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</si>
  <si>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</si>
  <si>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</si>
  <si>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</si>
  <si>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</si>
  <si>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</si>
  <si>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</si>
  <si>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</si>
  <si>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</si>
  <si>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</si>
  <si>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</si>
  <si>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</si>
  <si>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</si>
  <si>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</si>
  <si>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</si>
  <si>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</si>
  <si>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</si>
  <si>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</si>
  <si>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</si>
  <si>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</si>
  <si>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</si>
  <si>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</si>
  <si>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</si>
  <si>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</si>
  <si>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</si>
  <si>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</si>
  <si>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</si>
  <si>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</si>
  <si>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</si>
  <si>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</si>
  <si>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</si>
  <si>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</si>
  <si>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</si>
  <si>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</si>
  <si>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</si>
  <si>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</si>
  <si>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</si>
  <si>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</si>
  <si>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</si>
  <si>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</si>
  <si>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</si>
  <si>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</si>
  <si>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</si>
  <si>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</si>
  <si>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</si>
  <si>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</si>
  <si>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</si>
  <si>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</si>
  <si>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</si>
  <si>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</si>
  <si>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</si>
  <si>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</si>
  <si>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</si>
  <si>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</si>
  <si>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</si>
  <si>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</si>
  <si>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</si>
  <si>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</si>
  <si>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</si>
  <si>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</si>
  <si>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</si>
  <si>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</si>
  <si>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</si>
  <si>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</si>
  <si>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</si>
  <si>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</si>
  <si>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</si>
  <si>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</si>
  <si>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</si>
  <si>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</si>
  <si>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</si>
  <si>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</si>
  <si>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</si>
  <si>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</si>
  <si>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</si>
  <si>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</si>
  <si>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</si>
  <si>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</si>
  <si>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</si>
  <si>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</si>
  <si>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</si>
  <si>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</si>
  <si>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</si>
  <si>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</si>
  <si>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</si>
  <si>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</si>
  <si>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</si>
  <si>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</si>
  <si>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</si>
  <si>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</si>
  <si>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</si>
  <si>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</si>
  <si>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</si>
  <si>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</si>
  <si>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</si>
  <si>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</si>
  <si>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</si>
  <si>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</si>
  <si>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</si>
  <si>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</si>
  <si>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</si>
  <si>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</si>
  <si>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</si>
  <si>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</si>
  <si>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</si>
  <si>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</si>
  <si>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</si>
  <si>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</si>
  <si>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</si>
  <si>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</si>
  <si>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</si>
  <si>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</si>
  <si>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</si>
  <si>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</si>
  <si>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</si>
  <si>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</si>
  <si>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</si>
  <si>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</si>
  <si>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</si>
  <si>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</si>
  <si>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</si>
  <si>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</si>
  <si>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</si>
  <si>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</si>
  <si>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</si>
  <si>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</si>
  <si>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</si>
  <si>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</si>
  <si>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</si>
  <si>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</si>
  <si>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</si>
  <si>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</si>
  <si>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</si>
  <si>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</si>
  <si>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</si>
  <si>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</si>
  <si>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</si>
  <si>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</si>
  <si>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</si>
  <si>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</si>
  <si>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</si>
  <si>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</si>
  <si>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</si>
  <si>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</si>
  <si>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</si>
  <si>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</si>
  <si>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</si>
  <si>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</si>
  <si>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</si>
  <si>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</si>
  <si>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</si>
  <si>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</si>
  <si>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</si>
  <si>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</si>
  <si>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</si>
  <si>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</si>
  <si>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</si>
  <si>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</si>
  <si>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</si>
  <si>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</si>
  <si>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</si>
  <si>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</si>
  <si>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</si>
  <si>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</si>
  <si>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</si>
  <si>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</si>
  <si>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</si>
  <si>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</si>
  <si>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</si>
  <si>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</si>
  <si>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</si>
  <si>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</si>
  <si>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</si>
  <si>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</si>
  <si>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</si>
  <si>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</si>
  <si>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</si>
  <si>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</si>
  <si>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</si>
  <si>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</si>
  <si>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</si>
  <si>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</si>
  <si>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</si>
  <si>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</si>
  <si>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</si>
  <si>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</si>
  <si>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</si>
  <si>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</si>
  <si>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</si>
  <si>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</si>
  <si>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</si>
  <si>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</si>
  <si>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</si>
  <si>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</si>
  <si>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</si>
  <si>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</si>
  <si>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</si>
  <si>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</si>
  <si>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</si>
  <si>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</si>
  <si>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</si>
  <si>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</si>
  <si>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</si>
  <si>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</si>
  <si>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</si>
  <si>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</si>
  <si>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</si>
  <si>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</si>
  <si>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</si>
  <si>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</si>
  <si>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</si>
  <si>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</si>
  <si>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</si>
  <si>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</si>
  <si>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</si>
  <si>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</si>
  <si>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</si>
  <si>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</si>
  <si>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</si>
  <si>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</si>
  <si>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</si>
  <si>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</si>
  <si>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</si>
  <si>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</si>
  <si>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</si>
  <si>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</si>
  <si>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</si>
  <si>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</si>
  <si>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</si>
  <si>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</si>
  <si>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</si>
  <si>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</si>
  <si>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</si>
  <si>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</si>
  <si>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</si>
  <si>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</si>
  <si>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</si>
  <si>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</si>
  <si>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</si>
  <si>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</si>
  <si>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</si>
  <si>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</si>
  <si>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</si>
  <si>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</si>
  <si>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</si>
  <si>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</si>
  <si>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</si>
  <si>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</si>
  <si>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</si>
  <si>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</si>
  <si>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</si>
  <si>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</si>
  <si>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</si>
  <si>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</si>
  <si>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</si>
  <si>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</si>
  <si>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</si>
  <si>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</si>
  <si>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</si>
  <si>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</si>
  <si>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</si>
  <si>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</si>
  <si>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</si>
  <si>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</si>
  <si>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</si>
  <si>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</si>
  <si>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</si>
  <si>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</si>
  <si>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</si>
  <si>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</si>
  <si>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</si>
  <si>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</si>
  <si>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</si>
  <si>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</si>
  <si>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</si>
  <si>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</si>
  <si>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</si>
  <si>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</si>
  <si>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</si>
  <si>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</si>
  <si>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</si>
  <si>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</si>
  <si>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</si>
  <si>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</si>
  <si>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</si>
  <si>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</si>
  <si>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</si>
  <si>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</si>
  <si>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</si>
  <si>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</si>
  <si>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</si>
  <si>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</si>
  <si>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</si>
  <si>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</si>
  <si>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</si>
  <si>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</si>
  <si>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</si>
  <si>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</si>
  <si>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</si>
  <si>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</si>
  <si>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</si>
  <si>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</si>
  <si>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</si>
  <si>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</si>
  <si>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</si>
  <si>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</si>
  <si>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</si>
  <si>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</si>
  <si>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</si>
  <si>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</si>
  <si>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</si>
  <si>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</si>
  <si>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</si>
  <si>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</si>
  <si>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</si>
  <si>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</si>
  <si>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</si>
  <si>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</si>
  <si>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</si>
  <si>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</si>
  <si>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</si>
  <si>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</si>
  <si>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</si>
  <si>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</si>
  <si>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</si>
  <si>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</si>
  <si>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</si>
  <si>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</si>
  <si>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</si>
  <si>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</si>
  <si>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</si>
  <si>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</si>
  <si>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</si>
  <si>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</si>
  <si>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</si>
  <si>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</si>
  <si>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</si>
  <si>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</si>
  <si>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</si>
  <si>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</si>
  <si>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</si>
  <si>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</si>
  <si>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</si>
  <si>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</si>
  <si>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</si>
  <si>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</si>
  <si>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</si>
  <si>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</si>
  <si>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</si>
  <si>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</si>
  <si>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</si>
  <si>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</si>
  <si>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</si>
  <si>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</si>
  <si>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</si>
  <si>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</si>
  <si>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</si>
  <si>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</si>
  <si>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</si>
  <si>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</si>
  <si>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</si>
  <si>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</si>
  <si>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</si>
  <si>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</si>
  <si>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</si>
  <si>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</si>
  <si>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</si>
  <si>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</si>
  <si>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</si>
  <si>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</si>
  <si>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</si>
  <si>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</si>
  <si>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</si>
  <si>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</si>
  <si>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</si>
  <si>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</si>
  <si>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</si>
  <si>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</si>
  <si>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</si>
  <si>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</si>
  <si>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</si>
  <si>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</si>
  <si>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</si>
  <si>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</si>
  <si>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</si>
  <si>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</si>
  <si>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</si>
  <si>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</si>
  <si>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</si>
  <si>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</si>
  <si>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</si>
  <si>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</si>
  <si>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</si>
  <si>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</si>
  <si>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</si>
  <si>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</si>
  <si>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</si>
  <si>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</si>
  <si>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</si>
  <si>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</si>
  <si>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</si>
  <si>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</si>
  <si>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</si>
  <si>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</si>
  <si>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</si>
  <si>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</si>
  <si>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</si>
  <si>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</si>
  <si>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</si>
  <si>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</si>
  <si>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</si>
  <si>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</si>
  <si>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</si>
  <si>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</si>
  <si>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</si>
  <si>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</si>
  <si>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</si>
  <si>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</si>
  <si>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</si>
  <si>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</si>
  <si>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</si>
  <si>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</si>
  <si>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</si>
  <si>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</si>
  <si>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</si>
  <si>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</si>
  <si>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</si>
  <si>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</si>
  <si>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</si>
  <si>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</si>
  <si>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</si>
  <si>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</si>
  <si>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</si>
  <si>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</si>
  <si>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</si>
  <si>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</si>
  <si>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</si>
  <si>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</si>
  <si>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</si>
  <si>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</si>
  <si>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</si>
  <si>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</si>
  <si>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</si>
  <si>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</si>
  <si>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</si>
  <si>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</si>
  <si>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</si>
  <si>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</si>
  <si>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</si>
  <si>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</si>
  <si>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</si>
  <si>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</si>
  <si>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</si>
  <si>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</si>
  <si>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</si>
  <si>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</si>
  <si>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</si>
  <si>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</si>
  <si>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</si>
  <si>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</si>
  <si>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</si>
  <si>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</si>
  <si>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</si>
  <si>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</si>
  <si>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</si>
  <si>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</si>
  <si>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</si>
  <si>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</si>
  <si>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</si>
  <si>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</si>
  <si>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</si>
  <si>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</si>
  <si>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</si>
  <si>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</si>
  <si>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</si>
  <si>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</si>
  <si>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</si>
  <si>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</si>
  <si>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</si>
  <si>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</si>
  <si>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</si>
  <si>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</si>
  <si>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</si>
  <si>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</si>
  <si>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</si>
  <si>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</si>
  <si>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</si>
  <si>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</si>
  <si>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</si>
  <si>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</si>
  <si>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</si>
  <si>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</si>
  <si>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</si>
  <si>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</si>
  <si>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</si>
  <si>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</si>
  <si>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</si>
  <si>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</si>
  <si>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</si>
  <si>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</si>
  <si>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</si>
  <si>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</si>
  <si>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</si>
  <si>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</si>
  <si>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</si>
  <si>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</si>
  <si>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</si>
  <si>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</si>
  <si>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</si>
  <si>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</si>
  <si>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</si>
  <si>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</si>
  <si>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</si>
  <si>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</si>
  <si>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</si>
  <si>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</si>
  <si>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</si>
  <si>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</si>
  <si>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</si>
  <si>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</si>
  <si>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</si>
  <si>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</si>
  <si>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</si>
  <si>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</si>
  <si>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</si>
  <si>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</si>
  <si>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</si>
  <si>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</si>
  <si>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</si>
  <si>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</si>
  <si>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</si>
  <si>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</si>
  <si>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</si>
  <si>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</si>
  <si>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</si>
  <si>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</si>
  <si>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</si>
  <si>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</si>
  <si>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</si>
  <si>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</si>
  <si>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</si>
  <si>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</si>
  <si>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</si>
  <si>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</si>
  <si>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</si>
  <si>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</si>
  <si>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</si>
  <si>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</si>
  <si>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</si>
  <si>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</si>
  <si>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</si>
  <si>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</si>
  <si>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</si>
  <si>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</si>
  <si>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</si>
  <si>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</si>
  <si>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</si>
  <si>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</si>
  <si>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</si>
  <si>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</si>
  <si>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</si>
  <si>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</si>
  <si>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</si>
  <si>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</si>
  <si>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</si>
  <si>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</si>
  <si>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</si>
  <si>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</si>
  <si>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</si>
  <si>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</si>
  <si>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</si>
  <si>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</si>
  <si>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</si>
  <si>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</si>
  <si>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</si>
  <si>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</si>
  <si>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</si>
  <si>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</si>
  <si>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</si>
  <si>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</si>
  <si>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</si>
  <si>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</si>
  <si>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</si>
  <si>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</si>
  <si>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</si>
  <si>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</si>
  <si>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</si>
  <si>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</si>
  <si>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</si>
  <si>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</si>
  <si>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</si>
  <si>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</si>
  <si>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</si>
  <si>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</si>
  <si>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</si>
  <si>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</si>
  <si>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</si>
  <si>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</si>
  <si>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</si>
  <si>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</si>
  <si>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</si>
  <si>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</si>
  <si>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</si>
  <si>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</si>
  <si>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</si>
  <si>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</si>
  <si>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</si>
  <si>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</si>
  <si>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</si>
  <si>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</si>
  <si>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</si>
  <si>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</si>
  <si>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</si>
  <si>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</si>
  <si>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</si>
  <si>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</si>
  <si>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</si>
  <si>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</si>
  <si>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</si>
  <si>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</si>
  <si>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</si>
  <si>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</si>
  <si>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</si>
  <si>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</si>
  <si>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</si>
  <si>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</si>
  <si>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</si>
  <si>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</si>
  <si>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</si>
  <si>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</si>
  <si>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</si>
  <si>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</si>
  <si>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</si>
  <si>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</si>
  <si>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</si>
  <si>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</si>
  <si>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</si>
  <si>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</si>
  <si>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</si>
  <si>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</si>
  <si>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</si>
  <si>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</si>
  <si>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</si>
  <si>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</si>
  <si>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</si>
  <si>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</si>
  <si>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</si>
  <si>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</si>
  <si>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</si>
  <si>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</si>
  <si>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</si>
  <si>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</si>
  <si>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</si>
  <si>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</si>
  <si>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</si>
  <si>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</si>
  <si>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</si>
  <si>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</si>
  <si>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</si>
  <si>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</si>
  <si>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</si>
  <si>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</si>
  <si>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</si>
  <si>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</si>
  <si>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</si>
  <si>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</si>
  <si>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</si>
  <si>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</si>
  <si>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</si>
  <si>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</si>
  <si>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</si>
  <si>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</si>
  <si>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</si>
  <si>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</si>
  <si>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</si>
  <si>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</si>
  <si>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</si>
  <si>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</si>
  <si>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</si>
  <si>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</si>
  <si>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</si>
  <si>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</si>
  <si>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</si>
  <si>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</si>
  <si>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</si>
  <si>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</si>
  <si>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</si>
  <si>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</si>
  <si>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</si>
  <si>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</si>
  <si>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</si>
  <si>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</si>
  <si>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</si>
  <si>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</si>
  <si>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</si>
  <si>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</si>
  <si>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</si>
  <si>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</si>
  <si>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</si>
  <si>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</si>
  <si>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</si>
  <si>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</si>
  <si>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</si>
  <si>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</si>
  <si>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</si>
  <si>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</si>
  <si>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</si>
  <si>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</si>
  <si>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</si>
  <si>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</si>
  <si>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</si>
  <si>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</si>
  <si>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</si>
  <si>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</si>
  <si>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</si>
  <si>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</si>
  <si>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</si>
  <si>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</si>
  <si>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</si>
  <si>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</si>
  <si>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</si>
  <si>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</si>
  <si>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</si>
  <si>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</si>
  <si>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</si>
  <si>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</si>
  <si>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</si>
  <si>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</si>
  <si>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</si>
  <si>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</si>
  <si>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</si>
  <si>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</si>
  <si>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</si>
  <si>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</si>
  <si>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</si>
  <si>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</si>
  <si>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</si>
  <si>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</si>
  <si>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</si>
  <si>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</si>
  <si>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</si>
  <si>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</si>
  <si>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</si>
  <si>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</si>
  <si>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</si>
  <si>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</si>
  <si>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</si>
  <si>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</si>
  <si>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</si>
  <si>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</si>
  <si>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</si>
  <si>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</si>
  <si>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</si>
  <si>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</si>
  <si>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</si>
  <si>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</si>
  <si>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</si>
  <si>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</si>
  <si>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</si>
  <si>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</si>
  <si>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</si>
  <si>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</si>
  <si>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</si>
  <si>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</si>
  <si>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</si>
  <si>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</si>
  <si>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</si>
  <si>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</si>
  <si>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</si>
  <si>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</si>
  <si>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</si>
  <si>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</si>
  <si>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</si>
  <si>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</si>
  <si>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</si>
  <si>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</si>
  <si>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</si>
  <si>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</si>
  <si>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</si>
  <si>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</si>
  <si>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</si>
  <si>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</si>
  <si>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</si>
  <si>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</si>
  <si>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</si>
  <si>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</si>
  <si>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</si>
  <si>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</si>
  <si>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</si>
  <si>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</si>
  <si>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</si>
  <si>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</si>
  <si>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</si>
  <si>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</si>
  <si>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</si>
  <si>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</si>
  <si>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</si>
  <si>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</si>
  <si>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</si>
  <si>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</si>
  <si>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</si>
  <si>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</si>
  <si>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</si>
  <si>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</si>
  <si>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</si>
  <si>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</si>
  <si>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</si>
  <si>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</si>
  <si>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</si>
  <si>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</si>
  <si>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</si>
  <si>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</si>
  <si>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</si>
  <si>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</si>
  <si>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</si>
  <si>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</si>
  <si>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</si>
  <si>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</si>
  <si>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</si>
  <si>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</si>
  <si>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</si>
  <si>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</si>
  <si>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</si>
  <si>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</si>
  <si>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</si>
  <si>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</si>
  <si>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</si>
  <si>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</si>
  <si>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</si>
  <si>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</si>
  <si>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</si>
  <si>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</si>
  <si>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</si>
  <si>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</si>
  <si>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</si>
  <si>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</si>
  <si>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</si>
  <si>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</si>
  <si>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</si>
  <si>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</si>
  <si>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</si>
  <si>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</si>
  <si>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</si>
  <si>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</si>
  <si>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</si>
  <si>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</si>
  <si>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</si>
  <si>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</si>
  <si>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</si>
  <si>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</si>
  <si>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</si>
  <si>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</si>
  <si>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</si>
  <si>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</si>
  <si>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</si>
  <si>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</si>
  <si>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</si>
  <si>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</si>
  <si>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</si>
  <si>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</si>
  <si>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</si>
  <si>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</si>
  <si>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</si>
  <si>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</si>
  <si>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</si>
  <si>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</si>
  <si>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</si>
  <si>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</si>
  <si>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</si>
  <si>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</si>
  <si>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</si>
  <si>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</si>
  <si>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</si>
  <si>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</si>
  <si>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</si>
  <si>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</si>
  <si>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</si>
  <si>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</si>
  <si>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</si>
  <si>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</si>
  <si>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</si>
  <si>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</si>
  <si>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</si>
  <si>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</si>
  <si>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</si>
  <si>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</si>
  <si>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</si>
  <si>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</si>
  <si>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</si>
  <si>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</si>
  <si>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</si>
  <si>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</si>
  <si>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</si>
  <si>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</si>
  <si>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</si>
  <si>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</si>
  <si>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</si>
  <si>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</si>
  <si>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</si>
  <si>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</si>
  <si>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</si>
  <si>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</si>
  <si>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</si>
  <si>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</si>
  <si>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</si>
  <si>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</si>
  <si>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</si>
  <si>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</si>
  <si>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</si>
  <si>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</si>
  <si>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</si>
  <si>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</si>
  <si>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</si>
  <si>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</si>
  <si>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</si>
  <si>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</si>
  <si>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</si>
  <si>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</si>
  <si>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</si>
  <si>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</si>
  <si>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</si>
  <si>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</si>
  <si>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</si>
  <si>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</si>
  <si>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</si>
  <si>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</si>
  <si>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</si>
  <si>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</si>
  <si>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</si>
  <si>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</si>
  <si>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</si>
  <si>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</si>
  <si>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</si>
  <si>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</si>
  <si>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</si>
  <si>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</si>
  <si>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</si>
  <si>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</si>
  <si>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</si>
  <si>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</si>
  <si>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</si>
  <si>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</si>
  <si>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</si>
  <si>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</si>
  <si>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</si>
  <si>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</si>
  <si>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</si>
  <si>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</si>
  <si>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</si>
  <si>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</si>
  <si>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</si>
  <si>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</si>
  <si>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</si>
  <si>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</si>
  <si>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</si>
  <si>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</si>
  <si>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</si>
  <si>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</si>
  <si>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</si>
  <si>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</si>
  <si>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</si>
  <si>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</si>
  <si>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</si>
  <si>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</si>
  <si>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</si>
  <si>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</si>
  <si>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</si>
  <si>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</si>
  <si>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</si>
  <si>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</si>
  <si>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</si>
  <si>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</si>
  <si>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</si>
  <si>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</si>
  <si>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</si>
  <si>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</si>
  <si>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</si>
  <si>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</si>
  <si>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</si>
  <si>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</si>
  <si>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</si>
  <si>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</si>
  <si>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</si>
  <si>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</si>
  <si>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</si>
  <si>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</si>
  <si>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</si>
  <si>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</si>
  <si>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</si>
  <si>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</si>
  <si>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</si>
  <si>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</si>
  <si>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</si>
  <si>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</si>
  <si>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</si>
  <si>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</si>
  <si>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</si>
  <si>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</si>
  <si>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</si>
  <si>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</si>
  <si>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</si>
  <si>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</si>
  <si>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</si>
  <si>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</si>
  <si>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</si>
  <si>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</si>
  <si>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</si>
  <si>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</si>
  <si>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</si>
  <si>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</si>
  <si>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</si>
  <si>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</si>
  <si>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</si>
  <si>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</si>
  <si>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</si>
  <si>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</si>
  <si>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</si>
  <si>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</si>
  <si>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</si>
  <si>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</si>
  <si>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</si>
  <si>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</si>
  <si>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</si>
  <si>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</si>
  <si>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</si>
  <si>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</si>
  <si>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</si>
  <si>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</si>
  <si>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</si>
  <si>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</si>
  <si>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</si>
  <si>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</si>
  <si>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</si>
  <si>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</si>
  <si>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</si>
  <si>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</si>
  <si>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</si>
  <si>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</si>
  <si>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</si>
  <si>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</si>
  <si>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</si>
  <si>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</si>
  <si>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</si>
  <si>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</si>
  <si>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</si>
  <si>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</si>
  <si>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</si>
  <si>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</si>
  <si>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</si>
  <si>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</si>
  <si>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</si>
  <si>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</si>
  <si>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</si>
  <si>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</si>
  <si>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</si>
  <si>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</si>
  <si>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</si>
  <si>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</si>
  <si>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</si>
  <si>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</si>
  <si>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</si>
  <si>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</si>
  <si>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</si>
  <si>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</si>
  <si>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</si>
  <si>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</si>
  <si>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</si>
  <si>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</si>
  <si>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</si>
  <si>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</si>
  <si>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</si>
  <si>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</si>
  <si>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</si>
  <si>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</si>
  <si>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</si>
  <si>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</si>
  <si>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</si>
  <si>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</si>
  <si>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</si>
  <si>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</si>
  <si>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</si>
  <si>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</si>
  <si>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</si>
  <si>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</si>
  <si>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</si>
  <si>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</si>
  <si>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</si>
  <si>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</si>
  <si>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</si>
  <si>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</si>
  <si>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</si>
  <si>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</si>
  <si>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</si>
  <si>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</si>
  <si>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</si>
  <si>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</si>
  <si>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</si>
  <si>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</si>
  <si>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</si>
  <si>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</si>
  <si>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</si>
  <si>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</si>
  <si>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</si>
  <si>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</si>
  <si>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</si>
  <si>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</si>
  <si>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</si>
  <si>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</si>
  <si>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</si>
  <si>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</si>
  <si>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</si>
  <si>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</si>
  <si>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</si>
  <si>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</si>
  <si>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</si>
  <si>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</si>
  <si>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</si>
  <si>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</si>
  <si>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</si>
  <si>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</si>
  <si>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</si>
  <si>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</si>
  <si>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</si>
  <si>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</si>
  <si>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</si>
  <si>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</si>
  <si>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</si>
  <si>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</si>
  <si>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</si>
  <si>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</si>
  <si>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</si>
  <si>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</si>
  <si>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</si>
  <si>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</si>
  <si>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</si>
  <si>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</si>
  <si>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</si>
  <si>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</si>
  <si>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</si>
  <si>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</si>
  <si>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</si>
  <si>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</si>
  <si>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</si>
  <si>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</si>
  <si>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</si>
  <si>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</si>
  <si>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</si>
  <si>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</si>
  <si>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</si>
  <si>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</si>
  <si>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</si>
  <si>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</si>
  <si>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</si>
  <si>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</si>
  <si>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</si>
  <si>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</si>
  <si>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</si>
  <si>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</si>
  <si>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</si>
  <si>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</si>
  <si>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</si>
  <si>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</si>
  <si>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</si>
  <si>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</si>
  <si>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</si>
  <si>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</si>
  <si>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</si>
  <si>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</si>
  <si>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</si>
  <si>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</si>
  <si>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</si>
  <si>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</si>
  <si>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</si>
  <si>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</si>
  <si>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</si>
  <si>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</si>
  <si>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</si>
  <si>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</si>
  <si>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</si>
  <si>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</si>
  <si>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</si>
  <si>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</si>
  <si>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</si>
  <si>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</si>
  <si>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</si>
  <si>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</si>
  <si>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</si>
  <si>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</si>
  <si>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</si>
  <si>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</si>
  <si>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</si>
  <si>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</si>
  <si>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</si>
  <si>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</si>
  <si>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</si>
  <si>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</si>
  <si>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</si>
  <si>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</si>
  <si>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</si>
  <si>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</si>
  <si>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</si>
  <si>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</si>
  <si>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</si>
  <si>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</si>
  <si>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</si>
  <si>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</si>
  <si>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</si>
  <si>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</si>
  <si>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</si>
  <si>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</si>
  <si>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</si>
  <si>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</si>
  <si>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</si>
  <si>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</si>
  <si>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</si>
  <si>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</si>
  <si>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</si>
  <si>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</si>
  <si>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</si>
  <si>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</si>
  <si>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</si>
  <si>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</si>
  <si>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</si>
  <si>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</si>
  <si>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</si>
  <si>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</si>
  <si>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</si>
  <si>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</si>
  <si>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</si>
  <si>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</si>
  <si>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</si>
  <si>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</si>
  <si>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</si>
  <si>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</si>
  <si>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</si>
  <si>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</si>
  <si>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</si>
  <si>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</si>
  <si>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</si>
  <si>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</si>
  <si>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</si>
  <si>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</si>
  <si>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</si>
  <si>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</si>
  <si>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</si>
  <si>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</si>
  <si>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</si>
  <si>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</si>
  <si>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</si>
  <si>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</si>
  <si>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</si>
  <si>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</si>
  <si>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</si>
  <si>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</si>
  <si>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</si>
  <si>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</si>
  <si>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</si>
  <si>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</si>
  <si>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</si>
  <si>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</si>
  <si>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</si>
  <si>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</si>
  <si>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</si>
  <si>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</si>
  <si>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</si>
  <si>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</si>
  <si>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</si>
  <si>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</si>
  <si>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</si>
  <si>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</si>
  <si>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</si>
  <si>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</si>
  <si>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</si>
  <si>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</si>
  <si>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</si>
  <si>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</si>
  <si>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</si>
  <si>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</si>
  <si>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</si>
  <si>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</si>
  <si>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</si>
  <si>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</si>
  <si>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</si>
  <si>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</si>
  <si>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</si>
  <si>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</si>
  <si>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</si>
  <si>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</si>
  <si>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</si>
  <si>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</si>
  <si>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</si>
  <si>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</si>
  <si>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</si>
  <si>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</si>
  <si>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</si>
  <si>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</si>
  <si>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</si>
  <si>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</si>
  <si>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</si>
  <si>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</si>
  <si>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</si>
  <si>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</si>
  <si>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</si>
  <si>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</si>
  <si>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</si>
  <si>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</si>
  <si>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</si>
  <si>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</si>
  <si>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</si>
  <si>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</si>
  <si>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</si>
  <si>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</si>
  <si>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</si>
  <si>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</si>
  <si>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</si>
  <si>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</si>
  <si>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</si>
  <si>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</si>
  <si>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</si>
  <si>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</si>
  <si>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</si>
  <si>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</si>
  <si>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</si>
  <si>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</si>
  <si>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</si>
  <si>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</si>
  <si>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</si>
  <si>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</si>
  <si>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</si>
  <si>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</si>
  <si>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</si>
  <si>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</si>
  <si>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</si>
  <si>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</si>
  <si>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</si>
  <si>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</si>
  <si>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</si>
  <si>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</si>
  <si>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</si>
  <si>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</si>
  <si>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</si>
  <si>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</si>
  <si>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</si>
  <si>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</si>
  <si>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</si>
  <si>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</si>
  <si>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</si>
  <si>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</si>
  <si>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</si>
  <si>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</si>
  <si>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</si>
  <si>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</si>
  <si>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</si>
  <si>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</si>
  <si>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</si>
  <si>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</si>
  <si>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</si>
  <si>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</si>
  <si>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</si>
  <si>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</si>
  <si>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</si>
  <si>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</si>
  <si>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</si>
  <si>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</si>
  <si>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</si>
  <si>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</si>
  <si>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</si>
  <si>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</si>
  <si>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</si>
  <si>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</si>
  <si>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</si>
  <si>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</si>
  <si>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</si>
  <si>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</si>
  <si>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</si>
  <si>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</si>
  <si>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</si>
  <si>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</si>
  <si>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</si>
  <si>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</si>
  <si>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</si>
  <si>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</si>
  <si>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</si>
  <si>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</si>
  <si>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</si>
  <si>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</si>
  <si>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</si>
  <si>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</si>
  <si>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</si>
  <si>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</si>
  <si>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</si>
  <si>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</si>
  <si>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</si>
  <si>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</si>
  <si>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</si>
  <si>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</si>
  <si>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</si>
  <si>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</si>
  <si>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</si>
  <si>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</si>
  <si>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</si>
  <si>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</si>
  <si>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</si>
  <si>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</si>
  <si>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</si>
  <si>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</si>
  <si>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</si>
  <si>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</si>
  <si>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</si>
  <si>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</si>
  <si>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</si>
  <si>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</si>
  <si>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</si>
  <si>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</si>
  <si>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</si>
  <si>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</si>
  <si>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</si>
  <si>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</si>
  <si>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</si>
  <si>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</si>
  <si>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</si>
  <si>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</si>
  <si>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</si>
  <si>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</si>
  <si>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</si>
  <si>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</si>
  <si>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</si>
  <si>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</si>
  <si>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</si>
  <si>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</si>
  <si>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</si>
  <si>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</si>
  <si>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</si>
  <si>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</si>
  <si>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</si>
  <si>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</si>
  <si>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</si>
  <si>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</si>
  <si>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</si>
  <si>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</si>
  <si>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</si>
  <si>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</si>
  <si>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</si>
  <si>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</si>
  <si>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</si>
  <si>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</si>
  <si>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</si>
  <si>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</si>
  <si>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</si>
  <si>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</si>
  <si>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</si>
  <si>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</si>
  <si>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</si>
  <si>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</si>
  <si>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</si>
  <si>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</si>
  <si>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</si>
  <si>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</si>
  <si>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</si>
  <si>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</si>
  <si>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</si>
  <si>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</si>
  <si>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</si>
  <si>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</si>
  <si>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</si>
  <si>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</si>
  <si>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</si>
  <si>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</si>
  <si>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</si>
  <si>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</si>
  <si>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</si>
  <si>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</si>
  <si>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</si>
  <si>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</si>
  <si>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</si>
  <si>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</si>
  <si>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</si>
  <si>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</si>
  <si>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</si>
  <si>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</si>
  <si>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</si>
  <si>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</si>
  <si>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</si>
  <si>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</si>
  <si>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</si>
  <si>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</si>
  <si>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</si>
  <si>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</si>
  <si>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</si>
  <si>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</si>
  <si>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</si>
  <si>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</si>
  <si>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</si>
  <si>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</si>
  <si>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</si>
  <si>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</si>
  <si>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</si>
  <si>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</si>
  <si>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</si>
  <si>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</si>
  <si>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</si>
  <si>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</si>
  <si>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</si>
  <si>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</si>
  <si>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</si>
  <si>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</si>
  <si>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</si>
  <si>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</si>
  <si>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</si>
  <si>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</si>
  <si>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</si>
  <si>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</si>
  <si>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</si>
  <si>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</si>
  <si>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</si>
  <si>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</si>
  <si>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</si>
  <si>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</si>
  <si>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</si>
  <si>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</si>
  <si>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</si>
  <si>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</si>
  <si>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</si>
  <si>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</si>
  <si>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</si>
  <si>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</si>
  <si>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</si>
  <si>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</si>
  <si>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</si>
  <si>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</si>
  <si>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</si>
  <si>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</si>
  <si>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</si>
  <si>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</si>
  <si>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</si>
  <si>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</si>
  <si>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</si>
  <si>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</si>
  <si>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</si>
  <si>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</si>
  <si>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</si>
  <si>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</si>
  <si>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</si>
  <si>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</si>
  <si>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</si>
  <si>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</si>
  <si>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</si>
  <si>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</si>
  <si>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</si>
  <si>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</si>
  <si>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</si>
  <si>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</si>
  <si>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</si>
  <si>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</si>
  <si>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</si>
  <si>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</si>
  <si>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</si>
  <si>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</si>
  <si>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</si>
  <si>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</si>
  <si>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</si>
  <si>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</si>
  <si>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</si>
  <si>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</si>
  <si>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</si>
  <si>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</si>
  <si>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</si>
  <si>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</si>
  <si>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</si>
  <si>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</si>
  <si>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</si>
  <si>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</si>
  <si>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</si>
  <si>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</si>
  <si>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</si>
  <si>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</si>
  <si>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</si>
  <si>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</si>
  <si>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</si>
  <si>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</si>
  <si>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</si>
  <si>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</si>
  <si>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</si>
  <si>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</si>
  <si>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</si>
  <si>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</si>
  <si>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</si>
  <si>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</si>
  <si>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</si>
  <si>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</si>
  <si>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</si>
  <si>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</si>
  <si>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</si>
  <si>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</si>
  <si>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</si>
  <si>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</si>
  <si>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</si>
  <si>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</si>
  <si>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</si>
  <si>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</si>
  <si>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</si>
  <si>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</si>
  <si>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</si>
  <si>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</si>
  <si>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</si>
  <si>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</si>
  <si>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</si>
  <si>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</si>
  <si>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</si>
  <si>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</si>
  <si>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</si>
  <si>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</si>
  <si>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</si>
  <si>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</si>
  <si>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</si>
  <si>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</si>
  <si>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</si>
  <si>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</si>
  <si>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</si>
  <si>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</si>
  <si>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</si>
  <si>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</si>
  <si>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</si>
  <si>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</si>
  <si>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</si>
  <si>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</si>
  <si>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</si>
  <si>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</si>
  <si>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</si>
  <si>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</si>
  <si>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</si>
  <si>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</si>
  <si>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</si>
  <si>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</si>
  <si>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</si>
  <si>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</si>
  <si>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</si>
  <si>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</si>
  <si>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</si>
  <si>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</si>
  <si>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</si>
  <si>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</si>
  <si>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</si>
  <si>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</si>
  <si>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</si>
  <si>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</si>
  <si>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</si>
  <si>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</si>
  <si>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</si>
  <si>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</si>
  <si>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</si>
  <si>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</si>
  <si>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</si>
  <si>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</si>
  <si>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</si>
  <si>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</si>
  <si>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</si>
  <si>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</si>
  <si>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</si>
  <si>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</si>
  <si>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</si>
  <si>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</si>
  <si>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</si>
  <si>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</si>
  <si>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</si>
  <si>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</si>
  <si>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</si>
  <si>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</si>
  <si>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</si>
  <si>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</si>
  <si>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</si>
  <si>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</si>
  <si>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</si>
  <si>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</si>
  <si>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</si>
  <si>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</si>
  <si>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</si>
  <si>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</si>
  <si>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</si>
  <si>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</si>
  <si>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</si>
  <si>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</si>
  <si>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</si>
  <si>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</si>
  <si>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</si>
  <si>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</si>
  <si>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</si>
  <si>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</si>
  <si>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</si>
  <si>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</si>
  <si>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</si>
  <si>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</si>
  <si>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</si>
  <si>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</si>
  <si>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</si>
  <si>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</si>
  <si>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</si>
  <si>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</si>
  <si>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</si>
  <si>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</si>
  <si>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</si>
  <si>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</si>
  <si>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</si>
  <si>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</si>
  <si>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</si>
  <si>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</si>
  <si>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</si>
  <si>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</si>
  <si>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</si>
  <si>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</si>
  <si>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</si>
  <si>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</si>
  <si>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</si>
  <si>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</si>
  <si>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</si>
  <si>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</si>
  <si>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</si>
  <si>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</si>
  <si>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</si>
  <si>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</si>
  <si>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</si>
  <si>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</si>
  <si>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</si>
  <si>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</si>
  <si>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</si>
  <si>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</si>
  <si>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</si>
  <si>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</si>
  <si>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</si>
  <si>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</si>
  <si>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</si>
  <si>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</si>
  <si>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</si>
  <si>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</si>
  <si>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</si>
  <si>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</si>
  <si>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</si>
  <si>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</si>
  <si>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</si>
  <si>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</si>
  <si>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</si>
  <si>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</si>
  <si>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</si>
  <si>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</si>
  <si>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</si>
  <si>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</si>
  <si>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</si>
  <si>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</si>
  <si>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</si>
  <si>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</si>
  <si>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</si>
  <si>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</si>
  <si>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</si>
  <si>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</si>
  <si>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</si>
  <si>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</si>
  <si>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</si>
  <si>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</si>
  <si>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</si>
  <si>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</si>
  <si>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</si>
  <si>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</si>
  <si>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</si>
  <si>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</si>
  <si>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</si>
  <si>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</si>
  <si>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</si>
  <si>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</si>
  <si>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</si>
  <si>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</si>
  <si>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</si>
  <si>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</si>
  <si>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</si>
  <si>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</si>
  <si>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</si>
  <si>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</si>
  <si>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</si>
  <si>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</si>
  <si>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</si>
  <si>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</si>
  <si>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</si>
  <si>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</si>
  <si>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</si>
  <si>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</si>
  <si>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</si>
  <si>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</si>
  <si>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</si>
  <si>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</si>
  <si>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</si>
  <si>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</si>
  <si>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</si>
  <si>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</si>
  <si>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</si>
  <si>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</si>
  <si>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</si>
  <si>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</si>
  <si>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</si>
  <si>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</si>
  <si>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</si>
  <si>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</si>
  <si>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</si>
  <si>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</si>
  <si>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</si>
  <si>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</si>
  <si>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</si>
  <si>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</si>
  <si>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</si>
  <si>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</si>
  <si>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</si>
  <si>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</si>
  <si>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</si>
  <si>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</si>
  <si>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</si>
  <si>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</si>
  <si>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</si>
  <si>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</si>
  <si>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</si>
  <si>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</si>
  <si>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</si>
  <si>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</si>
  <si>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</si>
  <si>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</si>
  <si>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</si>
  <si>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</si>
  <si>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</si>
  <si>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</si>
  <si>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</si>
  <si>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</si>
  <si>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</si>
  <si>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</si>
  <si>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</si>
  <si>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</si>
  <si>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</si>
  <si>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</si>
  <si>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</si>
  <si>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</si>
  <si>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</si>
  <si>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</si>
  <si>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</si>
  <si>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刘俊财</t>
    <phoneticPr fontId="4" type="noConversion"/>
  </si>
  <si>
    <t>2020-1</t>
    <phoneticPr fontId="4" type="noConversion"/>
  </si>
  <si>
    <t>2020-2</t>
    <phoneticPr fontId="4" type="noConversion"/>
  </si>
  <si>
    <t>抵押价格</t>
  </si>
  <si>
    <t>企业</t>
  </si>
  <si>
    <t>车库</t>
  </si>
  <si>
    <t>仓储</t>
  </si>
  <si>
    <t>否</t>
  </si>
  <si>
    <t>居住项目</t>
  </si>
  <si>
    <t>无</t>
  </si>
  <si>
    <t>场地平整</t>
  </si>
  <si>
    <t>通路</t>
  </si>
  <si>
    <t>通电</t>
  </si>
  <si>
    <t>通上水</t>
  </si>
  <si>
    <t>地上</t>
  </si>
  <si>
    <t>地上</t>
    <phoneticPr fontId="229" type="noConversion"/>
  </si>
  <si>
    <t>地下</t>
  </si>
  <si>
    <t>地下</t>
    <phoneticPr fontId="229" type="noConversion"/>
  </si>
  <si>
    <t>住宅</t>
    <phoneticPr fontId="229" type="noConversion"/>
  </si>
  <si>
    <t>仓储</t>
    <phoneticPr fontId="229" type="noConversion"/>
  </si>
  <si>
    <t>设备</t>
    <phoneticPr fontId="229" type="noConversion"/>
  </si>
  <si>
    <t xml:space="preserve"> 设备</t>
    <phoneticPr fontId="229" type="noConversion"/>
  </si>
  <si>
    <t>公共配套</t>
    <phoneticPr fontId="229" type="noConversion"/>
  </si>
  <si>
    <t>物业管理</t>
    <phoneticPr fontId="229" type="noConversion"/>
  </si>
  <si>
    <t>06-01#住宅</t>
    <phoneticPr fontId="229" type="noConversion"/>
  </si>
  <si>
    <t>06-02#住宅</t>
  </si>
  <si>
    <t>06-03#住宅</t>
  </si>
  <si>
    <t>06-04#住宅</t>
  </si>
  <si>
    <t>06-05#住宅</t>
  </si>
  <si>
    <t>06-06#住宅</t>
  </si>
  <si>
    <t>06-07#住宅</t>
  </si>
  <si>
    <t>06-08#住宅</t>
  </si>
  <si>
    <t>06-09#住宅</t>
  </si>
  <si>
    <t>06-10#住宅</t>
  </si>
  <si>
    <t>06-11#住宅</t>
  </si>
  <si>
    <t>06-12#住宅</t>
  </si>
  <si>
    <t>06-13#住宅</t>
  </si>
  <si>
    <t>06-14#住宅</t>
  </si>
  <si>
    <t>06-15#住宅</t>
  </si>
  <si>
    <t>06-S1#配套</t>
    <phoneticPr fontId="229" type="noConversion"/>
  </si>
  <si>
    <t>06-S2#配套</t>
  </si>
  <si>
    <t>06-S3#配套</t>
  </si>
  <si>
    <t>06-16#地下车库</t>
    <phoneticPr fontId="229" type="noConversion"/>
  </si>
  <si>
    <t>地下车库</t>
    <phoneticPr fontId="229" type="noConversion"/>
  </si>
  <si>
    <t>人防</t>
    <phoneticPr fontId="229" type="noConversion"/>
  </si>
  <si>
    <t>小计</t>
    <phoneticPr fontId="229" type="noConversion"/>
  </si>
  <si>
    <t>合计</t>
    <phoneticPr fontId="229" type="noConversion"/>
  </si>
  <si>
    <t>建筑面积</t>
    <phoneticPr fontId="229" type="noConversion"/>
  </si>
  <si>
    <t>楼号</t>
    <phoneticPr fontId="229" type="noConversion"/>
  </si>
  <si>
    <t>平层住宅</t>
  </si>
  <si>
    <t>戊类库房</t>
  </si>
  <si>
    <t>平层住宅</t>
    <phoneticPr fontId="8" type="noConversion"/>
  </si>
  <si>
    <t>剩余法-待开发</t>
  </si>
  <si>
    <t>比较法-住宅、综合</t>
  </si>
  <si>
    <t>已全部缴纳</t>
  </si>
  <si>
    <t>正常</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</si>
  <si>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</si>
  <si>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</si>
  <si>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</si>
  <si>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</si>
  <si>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</si>
  <si>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</si>
  <si>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</si>
  <si>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</si>
  <si>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</si>
  <si>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</si>
  <si>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</si>
  <si>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</si>
  <si>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</si>
  <si>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北京市通州区台湖镇亦庄新城站前区YZ00-0401-0056、YZ00-0401-L0055-02地块R2二类居住用地、A334托幼用地</t>
  </si>
  <si>
    <t>综合用地(含住宅)</t>
  </si>
  <si>
    <t>a334≤0.8,r2≤2.0</t>
  </si>
  <si>
    <t>挂牌</t>
  </si>
  <si>
    <t>2020-02-18</t>
  </si>
  <si>
    <t>北京绿城投资有限公司</t>
  </si>
  <si>
    <t>5星</t>
  </si>
  <si>
    <t>北京市通州区马驹桥镇亦庄新城0500街区YZ00-0500-6007等地块R2二类居住用地、A334托幼用地</t>
  </si>
  <si>
    <t>a334≤0.8,r2(6007)≤2.4,r2(6011)≤2.2</t>
  </si>
  <si>
    <t>2020-02-11</t>
  </si>
  <si>
    <t>北京润置商业运营管理有限公司和华通置业有限公司联合体</t>
  </si>
  <si>
    <t>3星</t>
  </si>
  <si>
    <t>北京市通州区马驹桥镇国家环保产业园区YZ00-0703-6004、6005、6006地块R2二类居住用地及A33基础教育用地</t>
  </si>
  <si>
    <t>r2≤2.2,a33≤0.8</t>
  </si>
  <si>
    <t>2019-10-15</t>
  </si>
  <si>
    <t>北京融玺企业管理服务有限公司、北京首都开发股份有限公司和北京通州投资发展有限公司联合体</t>
  </si>
  <si>
    <t>北京市通州新城0203街区TZ00-0203-6009地块R2二类居住用地、TZ00-0203-6010地块A33基础教育用地</t>
  </si>
  <si>
    <t>r2=1.6,a33=0.8</t>
  </si>
  <si>
    <t>2019-02-02</t>
  </si>
  <si>
    <t>北京通州房地产开发有限责任公司</t>
  </si>
  <si>
    <t>4星</t>
  </si>
  <si>
    <t>北京市通州区永顺镇TZ-0104-6002地块F1住宅混合公建用地、TZ-0104-6001地块A33基础教育用地</t>
  </si>
  <si>
    <t>f1=1.6,a33=0.8</t>
  </si>
  <si>
    <t>天津北方泽茂企业管理有限公司和北京煦腾房地产开发有限公司联合体</t>
  </si>
  <si>
    <t>北京市通州区台湖镇TZ09-0100-6016地块、6019地块R2二类居住用地、TZ09-0100-6018地块A33基础教育用地</t>
  </si>
  <si>
    <t>2019-01-31</t>
  </si>
  <si>
    <t>中建一局集团房地产开发有限公司</t>
  </si>
  <si>
    <t>北京市通州区台湖镇YZ00-0405-0094等地块R2二类居住用地、YZ00-0405-0097地块A33基础教育用地</t>
  </si>
  <si>
    <t>北京万科企业有限公司和深圳市创邺企业管理有限公司联合体</t>
  </si>
  <si>
    <t>北京市通州区台湖镇YZ00-0405-0099、YZ00-0405-0104地块R2二类居住用地</t>
  </si>
  <si>
    <t>住宅用地</t>
  </si>
  <si>
    <t>北京住总房地产开发有限责任公司、北京通州投资发展有限公司和北京住总置业有限公司联合体</t>
  </si>
  <si>
    <t>北京市通州区马驹桥镇C01地块B1商业用地、C-07地块R2二类居住用地、C-09地块A33基础教育用地</t>
  </si>
  <si>
    <t>2019-01-28</t>
  </si>
  <si>
    <t>北京北投置业有限公司、北京通州投资发展有限公司</t>
  </si>
  <si>
    <t>2星</t>
  </si>
  <si>
    <t>北京市通州区台湖镇YZ00-0405-0078、0079、0081地块R2二类居住用地</t>
  </si>
  <si>
    <t>2018-02-06</t>
  </si>
  <si>
    <t>北京住总置业有限公司和北京住总房地产开发有限责任公司联合体</t>
  </si>
  <si>
    <t>北京市通州区西集镇西集村TZ07-0103-0019、0029地块R2二类居住用地、TZ07-0103-0020地块B1商业用地</t>
  </si>
  <si>
    <t>2017-10-11</t>
  </si>
  <si>
    <t>北京德俊置业有限公司、北京房地置业发展有限公司、北京新奥集团有限公司和北京首都开发股份有限公司联合体</t>
  </si>
  <si>
    <t>北京市通州区通州新城0204街区TZ00-0024-0006、0007地块R2二类居住用地</t>
  </si>
  <si>
    <t>2017-09-21</t>
  </si>
  <si>
    <t>北京首都开发股份有限公司和北京新奥集团有限公司联合体</t>
  </si>
  <si>
    <t>限价</t>
    <phoneticPr fontId="229" type="noConversion"/>
  </si>
  <si>
    <t>无</t>
    <phoneticPr fontId="229" type="noConversion"/>
  </si>
  <si>
    <t>自持</t>
    <phoneticPr fontId="229" type="noConversion"/>
  </si>
  <si>
    <t>住宅</t>
    <phoneticPr fontId="27" type="noConversion"/>
  </si>
  <si>
    <t>限价</t>
    <phoneticPr fontId="27" type="noConversion"/>
  </si>
  <si>
    <t>是</t>
    <phoneticPr fontId="27" type="noConversion"/>
  </si>
  <si>
    <t>否</t>
    <phoneticPr fontId="27" type="noConversion"/>
  </si>
  <si>
    <t>是否有自持</t>
    <phoneticPr fontId="27" type="noConversion"/>
  </si>
  <si>
    <r>
      <t>40000</t>
    </r>
    <r>
      <rPr>
        <sz val="11"/>
        <color indexed="8"/>
        <rFont val="宋体"/>
        <family val="3"/>
        <charset val="134"/>
      </rPr>
      <t>（含）</t>
    </r>
    <r>
      <rPr>
        <sz val="11"/>
        <color indexed="8"/>
        <rFont val="Arial"/>
        <family val="2"/>
      </rPr>
      <t>-50000</t>
    </r>
    <phoneticPr fontId="27" type="noConversion"/>
  </si>
  <si>
    <r>
      <t>50000</t>
    </r>
    <r>
      <rPr>
        <sz val="11"/>
        <color indexed="8"/>
        <rFont val="宋体"/>
        <family val="3"/>
        <charset val="134"/>
      </rPr>
      <t>（含）</t>
    </r>
    <r>
      <rPr>
        <sz val="11"/>
        <color indexed="8"/>
        <rFont val="Arial"/>
        <family val="2"/>
      </rPr>
      <t>-60000</t>
    </r>
    <phoneticPr fontId="27" type="noConversion"/>
  </si>
  <si>
    <t>无限价</t>
    <phoneticPr fontId="27" type="noConversion"/>
  </si>
  <si>
    <r>
      <t>40000</t>
    </r>
    <r>
      <rPr>
        <sz val="11"/>
        <rFont val="宋体"/>
        <family val="3"/>
        <charset val="134"/>
      </rPr>
      <t>（含）</t>
    </r>
    <r>
      <rPr>
        <sz val="11"/>
        <rFont val="Arial"/>
        <family val="2"/>
      </rPr>
      <t>-50000</t>
    </r>
    <phoneticPr fontId="27" type="noConversion"/>
  </si>
  <si>
    <r>
      <t>50000</t>
    </r>
    <r>
      <rPr>
        <sz val="11"/>
        <rFont val="宋体"/>
        <family val="3"/>
        <charset val="134"/>
      </rPr>
      <t>（含）</t>
    </r>
    <r>
      <rPr>
        <sz val="11"/>
        <rFont val="Arial"/>
        <family val="2"/>
      </rPr>
      <t>-60000</t>
    </r>
    <phoneticPr fontId="27" type="noConversion"/>
  </si>
  <si>
    <t>楼面地价</t>
  </si>
  <si>
    <r>
      <t>70</t>
    </r>
    <r>
      <rPr>
        <sz val="11"/>
        <color indexed="8"/>
        <rFont val="宋体"/>
        <family val="3"/>
        <charset val="134"/>
      </rPr>
      <t>年</t>
    </r>
    <phoneticPr fontId="27" type="noConversion"/>
  </si>
  <si>
    <t>高速路</t>
    <phoneticPr fontId="27" type="noConversion"/>
  </si>
  <si>
    <t>快速路</t>
    <phoneticPr fontId="27" type="noConversion"/>
  </si>
  <si>
    <t>主干道</t>
    <phoneticPr fontId="27" type="noConversion"/>
  </si>
  <si>
    <t>次干道</t>
    <phoneticPr fontId="27" type="noConversion"/>
  </si>
  <si>
    <t>支路</t>
    <phoneticPr fontId="27" type="noConversion"/>
  </si>
  <si>
    <t>较好</t>
  </si>
  <si>
    <t>好</t>
  </si>
  <si>
    <t>一般</t>
  </si>
  <si>
    <t>七通</t>
  </si>
  <si>
    <t>规则</t>
    <phoneticPr fontId="27" type="noConversion"/>
  </si>
  <si>
    <t>较规则</t>
  </si>
  <si>
    <t>较规则</t>
    <phoneticPr fontId="27" type="noConversion"/>
  </si>
  <si>
    <t>较不规则</t>
  </si>
  <si>
    <t>较不规则</t>
    <phoneticPr fontId="27" type="noConversion"/>
  </si>
  <si>
    <t>不规则</t>
    <phoneticPr fontId="27" type="noConversion"/>
  </si>
  <si>
    <t>适宜</t>
    <phoneticPr fontId="27" type="noConversion"/>
  </si>
  <si>
    <t>较适宜</t>
  </si>
  <si>
    <t>较适宜</t>
    <phoneticPr fontId="27" type="noConversion"/>
  </si>
  <si>
    <t>一般适宜</t>
    <phoneticPr fontId="27" type="noConversion"/>
  </si>
  <si>
    <t>较不适宜</t>
    <phoneticPr fontId="27" type="noConversion"/>
  </si>
  <si>
    <t>不适宜</t>
    <phoneticPr fontId="27" type="noConversion"/>
  </si>
  <si>
    <t>七通</t>
    <phoneticPr fontId="27" type="noConversion"/>
  </si>
  <si>
    <t>六通</t>
  </si>
  <si>
    <t>六通</t>
    <phoneticPr fontId="27" type="noConversion"/>
  </si>
  <si>
    <t>五通</t>
  </si>
  <si>
    <t>五通</t>
    <phoneticPr fontId="27" type="noConversion"/>
  </si>
  <si>
    <t>四通</t>
    <phoneticPr fontId="27" type="noConversion"/>
  </si>
  <si>
    <t>三通</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</si>
  <si>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</si>
  <si>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</si>
  <si>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</si>
  <si>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</si>
  <si>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</si>
  <si>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通州区科创十一街与经海九路交汇处西南角</t>
    <phoneticPr fontId="4" type="noConversion"/>
  </si>
  <si>
    <t>通州区科创十一街与经海九路交汇处</t>
    <phoneticPr fontId="4" type="noConversion"/>
  </si>
  <si>
    <t>通州区马驹桥</t>
    <phoneticPr fontId="4" type="noConversion"/>
  </si>
  <si>
    <t>住宅</t>
    <phoneticPr fontId="22" type="noConversion"/>
  </si>
  <si>
    <t>60-70（含）</t>
  </si>
  <si>
    <t>普通住宅</t>
  </si>
  <si>
    <t>普通住宅</t>
    <phoneticPr fontId="22" type="noConversion"/>
  </si>
  <si>
    <t>钢混</t>
  </si>
  <si>
    <t>钢混</t>
    <phoneticPr fontId="22" type="noConversion"/>
  </si>
  <si>
    <t>精装</t>
  </si>
  <si>
    <t>精装</t>
    <phoneticPr fontId="22" type="noConversion"/>
  </si>
  <si>
    <t>专业</t>
    <phoneticPr fontId="22" type="noConversion"/>
  </si>
  <si>
    <t>普通</t>
  </si>
  <si>
    <t>普通</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</si>
  <si>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</si>
  <si>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</si>
  <si>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</si>
  <si>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</si>
  <si>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</si>
  <si>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平层</t>
  </si>
  <si>
    <t>平层</t>
    <phoneticPr fontId="22" type="noConversion"/>
  </si>
  <si>
    <t>普装</t>
    <phoneticPr fontId="22" type="noConversion"/>
  </si>
  <si>
    <t>简装</t>
    <phoneticPr fontId="22" type="noConversion"/>
  </si>
  <si>
    <t>毛坯</t>
  </si>
  <si>
    <t>毛坯</t>
    <phoneticPr fontId="22" type="noConversion"/>
  </si>
  <si>
    <t>售价</t>
  </si>
  <si>
    <t>仓储</t>
    <phoneticPr fontId="8" type="noConversion"/>
  </si>
  <si>
    <t>车库</t>
    <phoneticPr fontId="8" type="noConversion"/>
  </si>
  <si>
    <t>富力尚悦居</t>
    <phoneticPr fontId="4" type="noConversion"/>
  </si>
  <si>
    <t>通州区</t>
    <phoneticPr fontId="4" type="noConversion"/>
  </si>
  <si>
    <t>通州区</t>
    <phoneticPr fontId="4" type="noConversion"/>
  </si>
  <si>
    <t>车库</t>
    <phoneticPr fontId="28" type="noConversion"/>
  </si>
  <si>
    <t>40-50（含）</t>
  </si>
  <si>
    <t>精装</t>
    <phoneticPr fontId="28" type="noConversion"/>
  </si>
  <si>
    <t>普装</t>
    <phoneticPr fontId="28" type="noConversion"/>
  </si>
  <si>
    <t>简装</t>
    <phoneticPr fontId="28" type="noConversion"/>
  </si>
  <si>
    <t>毛坯</t>
    <phoneticPr fontId="28" type="noConversion"/>
  </si>
  <si>
    <t>专业</t>
    <phoneticPr fontId="28" type="noConversion"/>
  </si>
  <si>
    <t>普通</t>
    <phoneticPr fontId="28" type="noConversion"/>
  </si>
  <si>
    <t>立体车位</t>
    <phoneticPr fontId="28" type="noConversion"/>
  </si>
  <si>
    <t>平面车位</t>
  </si>
  <si>
    <t>平面车位</t>
    <phoneticPr fontId="28" type="noConversion"/>
  </si>
  <si>
    <t>是</t>
    <phoneticPr fontId="28" type="noConversion"/>
  </si>
  <si>
    <t>否</t>
    <phoneticPr fontId="28" type="noConversion"/>
  </si>
  <si>
    <t>银河湾</t>
    <phoneticPr fontId="4" type="noConversion"/>
  </si>
  <si>
    <t>泰禾·1号街区</t>
    <phoneticPr fontId="4" type="noConversion"/>
  </si>
  <si>
    <t>押一</t>
  </si>
  <si>
    <t>按租金收入计税</t>
  </si>
  <si>
    <t>华锦佳苑、和悦华锦</t>
    <phoneticPr fontId="229" type="noConversion"/>
  </si>
  <si>
    <t>金隅·金麟府、金林佳园</t>
    <phoneticPr fontId="229" type="noConversion"/>
  </si>
  <si>
    <t>金隅学府</t>
    <phoneticPr fontId="229" type="noConversion"/>
  </si>
  <si>
    <t>地下仓储</t>
  </si>
  <si>
    <t>地下仓储</t>
    <phoneticPr fontId="28" type="noConversion"/>
  </si>
  <si>
    <t>一般</t>
    <phoneticPr fontId="4" type="noConversion"/>
  </si>
  <si>
    <t>七通</t>
    <phoneticPr fontId="4" type="noConversion"/>
  </si>
  <si>
    <t>较好</t>
    <phoneticPr fontId="4" type="noConversion"/>
  </si>
  <si>
    <t>简单装修</t>
  </si>
  <si>
    <t>专业物业管理</t>
  </si>
  <si>
    <t>简单装修</t>
    <phoneticPr fontId="28" type="noConversion"/>
  </si>
  <si>
    <t>专业</t>
  </si>
  <si>
    <t>专业</t>
    <phoneticPr fontId="28" type="noConversion"/>
  </si>
  <si>
    <t>简装</t>
  </si>
  <si>
    <r>
      <t>0</t>
    </r>
    <r>
      <rPr>
        <sz val="11"/>
        <color theme="1"/>
        <rFont val="宋体"/>
        <family val="3"/>
        <charset val="134"/>
        <scheme val="minor"/>
      </rPr>
      <t>4地块</t>
    </r>
    <phoneticPr fontId="229" type="noConversion"/>
  </si>
  <si>
    <r>
      <t>0</t>
    </r>
    <r>
      <rPr>
        <sz val="11"/>
        <color theme="1"/>
        <rFont val="宋体"/>
        <family val="3"/>
        <charset val="134"/>
        <scheme val="minor"/>
      </rPr>
      <t>6地块</t>
    </r>
    <phoneticPr fontId="229" type="noConversion"/>
  </si>
  <si>
    <r>
      <t>0</t>
    </r>
    <r>
      <rPr>
        <sz val="11"/>
        <color theme="1"/>
        <rFont val="宋体"/>
        <family val="3"/>
        <charset val="134"/>
        <scheme val="minor"/>
      </rPr>
      <t>4-1#住宅</t>
    </r>
    <phoneticPr fontId="229" type="noConversion"/>
  </si>
  <si>
    <r>
      <t>0</t>
    </r>
    <r>
      <rPr>
        <sz val="11"/>
        <color theme="1"/>
        <rFont val="宋体"/>
        <family val="3"/>
        <charset val="134"/>
        <scheme val="minor"/>
      </rPr>
      <t>4-2#住宅</t>
    </r>
    <r>
      <rPr>
        <sz val="11"/>
        <color theme="1"/>
        <rFont val="宋体"/>
        <family val="2"/>
        <charset val="134"/>
        <scheme val="minor"/>
      </rPr>
      <t/>
    </r>
  </si>
  <si>
    <r>
      <t>0</t>
    </r>
    <r>
      <rPr>
        <sz val="11"/>
        <color theme="1"/>
        <rFont val="宋体"/>
        <family val="3"/>
        <charset val="134"/>
        <scheme val="minor"/>
      </rPr>
      <t>4-3#住宅</t>
    </r>
    <r>
      <rPr>
        <sz val="11"/>
        <color theme="1"/>
        <rFont val="宋体"/>
        <family val="2"/>
        <charset val="134"/>
        <scheme val="minor"/>
      </rPr>
      <t/>
    </r>
  </si>
  <si>
    <r>
      <t>0</t>
    </r>
    <r>
      <rPr>
        <sz val="11"/>
        <color theme="1"/>
        <rFont val="宋体"/>
        <family val="3"/>
        <charset val="134"/>
        <scheme val="minor"/>
      </rPr>
      <t>4-4#住宅</t>
    </r>
    <r>
      <rPr>
        <sz val="11"/>
        <color theme="1"/>
        <rFont val="宋体"/>
        <family val="2"/>
        <charset val="134"/>
        <scheme val="minor"/>
      </rPr>
      <t/>
    </r>
  </si>
  <si>
    <r>
      <t>0</t>
    </r>
    <r>
      <rPr>
        <sz val="11"/>
        <color theme="1"/>
        <rFont val="宋体"/>
        <family val="3"/>
        <charset val="134"/>
        <scheme val="minor"/>
      </rPr>
      <t>4-5#住宅</t>
    </r>
    <r>
      <rPr>
        <sz val="11"/>
        <color theme="1"/>
        <rFont val="宋体"/>
        <family val="2"/>
        <charset val="134"/>
        <scheme val="minor"/>
      </rPr>
      <t/>
    </r>
  </si>
  <si>
    <r>
      <t>0</t>
    </r>
    <r>
      <rPr>
        <sz val="11"/>
        <color theme="1"/>
        <rFont val="宋体"/>
        <family val="3"/>
        <charset val="134"/>
        <scheme val="minor"/>
      </rPr>
      <t>4-6#住宅</t>
    </r>
    <r>
      <rPr>
        <sz val="11"/>
        <color theme="1"/>
        <rFont val="宋体"/>
        <family val="2"/>
        <charset val="134"/>
        <scheme val="minor"/>
      </rPr>
      <t/>
    </r>
  </si>
  <si>
    <r>
      <t>0</t>
    </r>
    <r>
      <rPr>
        <sz val="11"/>
        <color theme="1"/>
        <rFont val="宋体"/>
        <family val="3"/>
        <charset val="134"/>
        <scheme val="minor"/>
      </rPr>
      <t>4-7#住宅</t>
    </r>
    <r>
      <rPr>
        <sz val="11"/>
        <color theme="1"/>
        <rFont val="宋体"/>
        <family val="2"/>
        <charset val="134"/>
        <scheme val="minor"/>
      </rPr>
      <t/>
    </r>
  </si>
  <si>
    <r>
      <t>0</t>
    </r>
    <r>
      <rPr>
        <sz val="11"/>
        <color theme="1"/>
        <rFont val="宋体"/>
        <family val="3"/>
        <charset val="134"/>
        <scheme val="minor"/>
      </rPr>
      <t>4-8#住宅</t>
    </r>
    <r>
      <rPr>
        <sz val="11"/>
        <color theme="1"/>
        <rFont val="宋体"/>
        <family val="2"/>
        <charset val="134"/>
        <scheme val="minor"/>
      </rPr>
      <t/>
    </r>
  </si>
  <si>
    <r>
      <t>0</t>
    </r>
    <r>
      <rPr>
        <sz val="11"/>
        <color theme="1"/>
        <rFont val="宋体"/>
        <family val="3"/>
        <charset val="134"/>
        <scheme val="minor"/>
      </rPr>
      <t>4-9#住宅</t>
    </r>
    <r>
      <rPr>
        <sz val="11"/>
        <color theme="1"/>
        <rFont val="宋体"/>
        <family val="2"/>
        <charset val="134"/>
        <scheme val="minor"/>
      </rPr>
      <t/>
    </r>
  </si>
  <si>
    <r>
      <t>0</t>
    </r>
    <r>
      <rPr>
        <sz val="11"/>
        <color theme="1"/>
        <rFont val="宋体"/>
        <family val="3"/>
        <charset val="134"/>
        <scheme val="minor"/>
      </rPr>
      <t>4-10#住宅</t>
    </r>
    <r>
      <rPr>
        <sz val="11"/>
        <color theme="1"/>
        <rFont val="宋体"/>
        <family val="2"/>
        <charset val="134"/>
        <scheme val="minor"/>
      </rPr>
      <t/>
    </r>
  </si>
  <si>
    <r>
      <t>0</t>
    </r>
    <r>
      <rPr>
        <sz val="11"/>
        <color theme="1"/>
        <rFont val="宋体"/>
        <family val="3"/>
        <charset val="134"/>
        <scheme val="minor"/>
      </rPr>
      <t>4-11#住宅</t>
    </r>
    <r>
      <rPr>
        <sz val="11"/>
        <color theme="1"/>
        <rFont val="宋体"/>
        <family val="2"/>
        <charset val="134"/>
        <scheme val="minor"/>
      </rPr>
      <t/>
    </r>
  </si>
  <si>
    <r>
      <t>0</t>
    </r>
    <r>
      <rPr>
        <sz val="11"/>
        <color theme="1"/>
        <rFont val="宋体"/>
        <family val="3"/>
        <charset val="134"/>
        <scheme val="minor"/>
      </rPr>
      <t>4-12#住宅</t>
    </r>
    <r>
      <rPr>
        <sz val="11"/>
        <color theme="1"/>
        <rFont val="宋体"/>
        <family val="2"/>
        <charset val="134"/>
        <scheme val="minor"/>
      </rPr>
      <t/>
    </r>
  </si>
  <si>
    <r>
      <t>0</t>
    </r>
    <r>
      <rPr>
        <sz val="11"/>
        <color theme="1"/>
        <rFont val="宋体"/>
        <family val="3"/>
        <charset val="134"/>
        <scheme val="minor"/>
      </rPr>
      <t>4-13#住宅</t>
    </r>
    <r>
      <rPr>
        <sz val="11"/>
        <color theme="1"/>
        <rFont val="宋体"/>
        <family val="2"/>
        <charset val="134"/>
        <scheme val="minor"/>
      </rPr>
      <t/>
    </r>
  </si>
  <si>
    <r>
      <t>0</t>
    </r>
    <r>
      <rPr>
        <sz val="11"/>
        <color theme="1"/>
        <rFont val="宋体"/>
        <family val="3"/>
        <charset val="134"/>
        <scheme val="minor"/>
      </rPr>
      <t>4-14#住宅</t>
    </r>
    <r>
      <rPr>
        <sz val="11"/>
        <color theme="1"/>
        <rFont val="宋体"/>
        <family val="2"/>
        <charset val="134"/>
        <scheme val="minor"/>
      </rPr>
      <t/>
    </r>
  </si>
  <si>
    <r>
      <t>0</t>
    </r>
    <r>
      <rPr>
        <sz val="11"/>
        <color theme="1"/>
        <rFont val="宋体"/>
        <family val="3"/>
        <charset val="134"/>
        <scheme val="minor"/>
      </rPr>
      <t>4-15#住宅</t>
    </r>
    <r>
      <rPr>
        <sz val="11"/>
        <color theme="1"/>
        <rFont val="宋体"/>
        <family val="2"/>
        <charset val="134"/>
        <scheme val="minor"/>
      </rPr>
      <t/>
    </r>
  </si>
  <si>
    <r>
      <t>0</t>
    </r>
    <r>
      <rPr>
        <sz val="11"/>
        <color theme="1"/>
        <rFont val="宋体"/>
        <family val="3"/>
        <charset val="134"/>
        <scheme val="minor"/>
      </rPr>
      <t>4-16#住宅</t>
    </r>
    <r>
      <rPr>
        <sz val="11"/>
        <color theme="1"/>
        <rFont val="宋体"/>
        <family val="2"/>
        <charset val="134"/>
        <scheme val="minor"/>
      </rPr>
      <t/>
    </r>
  </si>
  <si>
    <t>04-S1#配套</t>
    <phoneticPr fontId="229" type="noConversion"/>
  </si>
  <si>
    <t>04-S2#配套</t>
  </si>
  <si>
    <t>04-S3#配套</t>
  </si>
  <si>
    <t>04-S4#配套</t>
  </si>
  <si>
    <t>04-S5#配套</t>
  </si>
  <si>
    <t>04-17#地下车库</t>
    <phoneticPr fontId="229" type="noConversion"/>
  </si>
  <si>
    <t>合计</t>
    <phoneticPr fontId="229" type="noConversion"/>
  </si>
  <si>
    <t>合计</t>
    <phoneticPr fontId="229" type="noConversion"/>
  </si>
  <si>
    <t>北京融泰房地产开发有限公司</t>
    <phoneticPr fontId="7" type="noConversion"/>
  </si>
  <si>
    <t>建行</t>
    <phoneticPr fontId="7" type="noConversion"/>
  </si>
  <si>
    <t>通州区马驹桥镇国家环保产业园区YZ00-073-6004、6006地块R2二类居住用地</t>
    <phoneticPr fontId="7" type="noConversion"/>
  </si>
  <si>
    <t>城镇住宅用地</t>
    <phoneticPr fontId="7" type="noConversion"/>
  </si>
  <si>
    <t>住宅、地下仓储、地下车库</t>
    <phoneticPr fontId="7" type="noConversion"/>
  </si>
  <si>
    <t>一致</t>
  </si>
  <si>
    <t>建筑与土地面积依据相同</t>
  </si>
  <si>
    <t>《建设工程规划许可证》[2020规自（通）建字0025、0028号]及附件附图</t>
    <phoneticPr fontId="4" type="noConversion"/>
  </si>
  <si>
    <t>《国有建设用地使用权出让合同》[电子监管号：1101002019B02949]及附件、《建设工程规划许可证》[2020规自（通）建字0025、0028号]及附件附图</t>
    <phoneticPr fontId="7" type="noConversion"/>
  </si>
  <si>
    <t>未平整</t>
  </si>
  <si>
    <t>燃气</t>
  </si>
  <si>
    <t>住宅69.5年、地下仓储及地下车库49.5年</t>
    <phoneticPr fontId="7" type="noConversion"/>
  </si>
  <si>
    <t>金隅学府</t>
    <phoneticPr fontId="4" type="noConversion"/>
  </si>
  <si>
    <t>首创远洋·禧瑞天著</t>
    <phoneticPr fontId="4" type="noConversion"/>
  </si>
  <si>
    <t xml:space="preserve"> </t>
    <phoneticPr fontId="4" type="noConversion"/>
  </si>
  <si>
    <t>北京经开·汀塘</t>
    <phoneticPr fontId="4" type="noConversion"/>
  </si>
  <si>
    <t>3000+2200</t>
    <phoneticPr fontId="8" type="noConversion"/>
  </si>
  <si>
    <t>建安</t>
    <phoneticPr fontId="229" type="noConversion"/>
  </si>
  <si>
    <r>
      <t>住宅5</t>
    </r>
    <r>
      <rPr>
        <sz val="11"/>
        <color theme="1"/>
        <rFont val="宋体"/>
        <family val="3"/>
        <charset val="134"/>
        <scheme val="minor"/>
      </rPr>
      <t>100</t>
    </r>
    <phoneticPr fontId="229" type="noConversion"/>
  </si>
  <si>
    <t>幼儿园</t>
    <phoneticPr fontId="229" type="noConversion"/>
  </si>
  <si>
    <t>人防</t>
    <phoneticPr fontId="229" type="noConversion"/>
  </si>
  <si>
    <r>
      <t>地下4</t>
    </r>
    <r>
      <rPr>
        <sz val="11"/>
        <color theme="1"/>
        <rFont val="宋体"/>
        <family val="3"/>
        <charset val="134"/>
        <scheme val="minor"/>
      </rPr>
      <t>000</t>
    </r>
    <phoneticPr fontId="229" type="noConversion"/>
  </si>
  <si>
    <t>自定义容积率</t>
  </si>
  <si>
    <t>居住用地（指二类居住用地）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</si>
</sst>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52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237" fillId="13" borderId="124" xfId="13" applyFont="1" applyFill="1" applyBorder="1" applyAlignment="1" applyProtection="1">
      <alignment horizontal="center" vertical="center" wrapText="1"/>
    </xf>
    <xf numFmtId="0" fontId="237" fillId="13" borderId="128" xfId="13" applyFont="1" applyFill="1" applyBorder="1" applyAlignment="1" applyProtection="1">
      <alignment horizontal="center" vertical="center" wrapText="1"/>
    </xf>
    <xf numFmtId="0" fontId="146" fillId="0" borderId="0" xfId="0" applyFont="1">
      <alignment vertical="center"/>
    </xf>
    <xf numFmtId="178" fontId="82" fillId="0" borderId="2" xfId="2" applyNumberFormat="1" applyFont="1" applyFill="1" applyBorder="1" applyAlignment="1" applyProtection="1">
      <alignment vertical="center"/>
      <protection locked="0"/>
    </xf>
    <xf numFmtId="0" fontId="0" fillId="0" borderId="0" xfId="0" applyFont="1" applyAlignment="1"/>
    <xf numFmtId="0" fontId="148" fillId="0" borderId="0" xfId="0" applyFont="1" applyAlignment="1"/>
    <xf numFmtId="0" fontId="0" fillId="6" borderId="0" xfId="0" applyFill="1" applyAlignment="1"/>
    <xf numFmtId="0" fontId="146" fillId="6" borderId="0" xfId="0" applyFont="1" applyFill="1" applyAlignment="1"/>
    <xf numFmtId="9" fontId="0" fillId="6" borderId="0" xfId="0" applyNumberFormat="1" applyFill="1" applyAlignment="1"/>
    <xf numFmtId="0" fontId="145" fillId="0" borderId="6"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34" fillId="8" borderId="66" xfId="0" applyFont="1" applyFill="1" applyBorder="1" applyAlignment="1" applyProtection="1">
      <alignment horizontal="left"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145" fillId="2" borderId="24" xfId="0" applyNumberFormat="1" applyFont="1" applyFill="1" applyBorder="1" applyAlignment="1" applyProtection="1">
      <alignment horizontal="center" vertical="center" wrapText="1"/>
      <protection locked="0"/>
    </xf>
    <xf numFmtId="0" fontId="146" fillId="6" borderId="0" xfId="0" applyFont="1" applyFill="1">
      <alignment vertical="center"/>
    </xf>
    <xf numFmtId="0" fontId="154" fillId="6" borderId="9" xfId="0" applyNumberFormat="1" applyFont="1" applyFill="1" applyBorder="1" applyAlignment="1" applyProtection="1">
      <alignment horizontal="center" vertical="center" wrapText="1"/>
      <protection locked="0"/>
    </xf>
    <xf numFmtId="0" fontId="154" fillId="6" borderId="12" xfId="0" applyNumberFormat="1" applyFont="1" applyFill="1" applyBorder="1" applyAlignment="1" applyProtection="1">
      <alignment horizontal="center" vertical="center" wrapText="1"/>
    </xf>
    <xf numFmtId="0" fontId="154" fillId="0" borderId="0" xfId="0" applyFont="1" applyProtection="1">
      <alignment vertical="center"/>
      <protection locked="0"/>
    </xf>
    <xf numFmtId="0" fontId="0" fillId="6" borderId="0" xfId="0" applyFill="1">
      <alignment vertical="center"/>
    </xf>
    <xf numFmtId="0" fontId="148" fillId="0" borderId="0" xfId="0" applyFont="1">
      <alignment vertical="center"/>
    </xf>
    <xf numFmtId="0" fontId="154" fillId="0" borderId="2" xfId="0" applyFont="1" applyBorder="1" applyAlignment="1" applyProtection="1">
      <alignment horizontal="center" vertical="center" wrapText="1"/>
      <protection locked="0"/>
    </xf>
    <xf numFmtId="0" fontId="202" fillId="0" borderId="2" xfId="1" applyFont="1" applyFill="1" applyBorder="1" applyAlignment="1" applyProtection="1">
      <alignment horizontal="center" vertical="center" wrapText="1"/>
      <protection locked="0"/>
    </xf>
    <xf numFmtId="0" fontId="276" fillId="0" borderId="2" xfId="0" applyFont="1" applyBorder="1" applyAlignment="1" applyProtection="1">
      <alignment horizontal="center" vertical="center" wrapText="1"/>
      <protection locked="0"/>
    </xf>
    <xf numFmtId="0" fontId="276" fillId="2" borderId="21" xfId="0" applyFont="1" applyFill="1" applyBorder="1" applyAlignment="1" applyProtection="1">
      <alignment horizontal="center" vertical="center" wrapText="1"/>
      <protection locked="0"/>
    </xf>
    <xf numFmtId="177" fontId="154" fillId="5" borderId="2" xfId="0" applyNumberFormat="1" applyFont="1" applyFill="1" applyBorder="1" applyAlignment="1" applyProtection="1">
      <alignment horizontal="center" vertical="center" wrapText="1"/>
    </xf>
    <xf numFmtId="177" fontId="154" fillId="0" borderId="21" xfId="0" applyNumberFormat="1" applyFont="1" applyFill="1" applyBorder="1" applyAlignment="1" applyProtection="1">
      <alignment horizontal="center" vertical="center" wrapText="1"/>
      <protection locked="0"/>
    </xf>
    <xf numFmtId="177" fontId="154" fillId="5" borderId="21" xfId="0" applyNumberFormat="1" applyFont="1" applyFill="1" applyBorder="1" applyAlignment="1" applyProtection="1">
      <alignment horizontal="center" vertical="center" wrapText="1"/>
    </xf>
    <xf numFmtId="177" fontId="154" fillId="5" borderId="10" xfId="0" applyNumberFormat="1" applyFont="1" applyFill="1" applyBorder="1" applyAlignment="1" applyProtection="1">
      <alignment horizontal="center" vertical="center" wrapText="1"/>
    </xf>
    <xf numFmtId="0" fontId="162" fillId="0" borderId="2" xfId="1" applyFont="1" applyFill="1" applyBorder="1" applyAlignment="1" applyProtection="1">
      <alignment horizontal="center" vertical="center" wrapText="1"/>
      <protection locked="0"/>
    </xf>
    <xf numFmtId="177" fontId="154" fillId="0" borderId="2" xfId="0" applyNumberFormat="1" applyFont="1" applyBorder="1" applyAlignment="1" applyProtection="1">
      <alignment vertical="center" wrapText="1"/>
      <protection locked="0"/>
    </xf>
    <xf numFmtId="177" fontId="276" fillId="0" borderId="2" xfId="0" applyNumberFormat="1" applyFont="1" applyBorder="1" applyAlignment="1" applyProtection="1">
      <alignment vertical="center" wrapText="1"/>
      <protection locked="0"/>
    </xf>
    <xf numFmtId="177" fontId="276" fillId="0" borderId="2" xfId="0" applyNumberFormat="1" applyFont="1" applyBorder="1" applyAlignment="1" applyProtection="1">
      <alignment horizontal="center" vertical="center" wrapText="1"/>
      <protection locked="0"/>
    </xf>
    <xf numFmtId="177" fontId="154" fillId="0" borderId="2" xfId="0" applyNumberFormat="1" applyFont="1" applyBorder="1" applyAlignment="1" applyProtection="1">
      <alignment horizontal="center" vertical="center" wrapText="1"/>
      <protection locked="0"/>
    </xf>
    <xf numFmtId="177" fontId="154" fillId="0" borderId="21" xfId="0" applyNumberFormat="1" applyFont="1" applyBorder="1" applyAlignment="1" applyProtection="1">
      <alignment horizontal="center" vertical="center" wrapText="1"/>
      <protection locked="0"/>
    </xf>
    <xf numFmtId="0" fontId="154" fillId="0" borderId="17" xfId="0" applyFont="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xf>
    <xf numFmtId="0" fontId="154" fillId="5" borderId="9" xfId="0" applyFont="1" applyFill="1" applyBorder="1" applyAlignment="1" applyProtection="1">
      <alignment horizontal="center" vertical="center" wrapText="1"/>
    </xf>
    <xf numFmtId="177" fontId="154" fillId="5" borderId="12" xfId="0" applyNumberFormat="1" applyFont="1" applyFill="1" applyBorder="1" applyAlignment="1" applyProtection="1">
      <alignment horizontal="center" vertical="center" wrapText="1"/>
    </xf>
    <xf numFmtId="0" fontId="154" fillId="0" borderId="0" xfId="0" applyFont="1" applyAlignment="1" applyProtection="1">
      <alignment horizontal="center" vertical="center" wrapText="1"/>
      <protection locked="0"/>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46" fillId="0" borderId="0" xfId="0" applyFont="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3"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2" fillId="0" borderId="10"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wrapText="1"/>
    </xf>
    <xf numFmtId="0" fontId="72" fillId="0" borderId="3"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7" fillId="5" borderId="16" xfId="0"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11" xfId="0" applyFont="1" applyFill="1" applyBorder="1" applyAlignment="1" applyProtection="1">
      <alignment horizontal="left" vertical="center" wrapText="1"/>
    </xf>
    <xf numFmtId="0" fontId="86" fillId="5" borderId="61" xfId="0" applyFont="1" applyFill="1" applyBorder="1" applyAlignment="1" applyProtection="1">
      <alignment horizontal="center" vertical="center"/>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7" fillId="12" borderId="11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237" fillId="12" borderId="129"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128" fillId="0" borderId="2" xfId="0" applyFont="1" applyBorder="1" applyAlignment="1"/>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9" xfId="0" applyFont="1" applyFill="1" applyBorder="1" applyAlignment="1" applyProtection="1">
      <alignment horizontal="center" vertical="center" wrapText="1"/>
      <protection locked="0"/>
    </xf>
    <xf numFmtId="0" fontId="85" fillId="5" borderId="8" xfId="0" applyFont="1" applyFill="1" applyBorder="1" applyAlignment="1" applyProtection="1">
      <alignment horizontal="center" vertical="center"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54" fillId="6" borderId="48" xfId="2" applyNumberFormat="1" applyFont="1" applyFill="1" applyBorder="1" applyAlignment="1" applyProtection="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xdr:col>
      <xdr:colOff>675691</xdr:colOff>
      <xdr:row>44</xdr:row>
      <xdr:rowOff>27929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400300"/>
          <a:ext cx="4676191" cy="5171429"/>
        </a:xfrm>
        <a:prstGeom prst="rect">
          <a:avLst/>
        </a:prstGeom>
      </xdr:spPr>
    </xdr:pic>
    <xdr:clientData/>
  </xdr:twoCellAnchor>
  <xdr:twoCellAnchor editAs="oneCell">
    <xdr:from>
      <xdr:col>3</xdr:col>
      <xdr:colOff>0</xdr:colOff>
      <xdr:row>14</xdr:row>
      <xdr:rowOff>0</xdr:rowOff>
    </xdr:from>
    <xdr:to>
      <xdr:col>10</xdr:col>
      <xdr:colOff>351797</xdr:colOff>
      <xdr:row>44</xdr:row>
      <xdr:rowOff>161262</xdr:rowOff>
    </xdr:to>
    <xdr:pic>
      <xdr:nvPicPr>
        <xdr:cNvPr id="3" name="图片 2"/>
        <xdr:cNvPicPr>
          <a:picLocks noChangeAspect="1"/>
        </xdr:cNvPicPr>
      </xdr:nvPicPr>
      <xdr:blipFill>
        <a:blip xmlns:r="http://schemas.openxmlformats.org/officeDocument/2006/relationships" r:embed="rId2"/>
        <a:stretch>
          <a:fillRect/>
        </a:stretch>
      </xdr:blipFill>
      <xdr:spPr>
        <a:xfrm>
          <a:off x="5372100" y="2400300"/>
          <a:ext cx="5028572" cy="5304762"/>
        </a:xfrm>
        <a:prstGeom prst="rect">
          <a:avLst/>
        </a:prstGeom>
      </xdr:spPr>
    </xdr:pic>
    <xdr:clientData/>
  </xdr:twoCellAnchor>
  <xdr:twoCellAnchor editAs="oneCell">
    <xdr:from>
      <xdr:col>0</xdr:col>
      <xdr:colOff>0</xdr:colOff>
      <xdr:row>45</xdr:row>
      <xdr:rowOff>0</xdr:rowOff>
    </xdr:from>
    <xdr:to>
      <xdr:col>11</xdr:col>
      <xdr:colOff>589135</xdr:colOff>
      <xdr:row>71</xdr:row>
      <xdr:rowOff>75634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11323810" cy="4533334"/>
        </a:xfrm>
        <a:prstGeom prst="rect">
          <a:avLst/>
        </a:prstGeom>
      </xdr:spPr>
    </xdr:pic>
    <xdr:clientData/>
  </xdr:twoCellAnchor>
  <xdr:twoCellAnchor editAs="oneCell">
    <xdr:from>
      <xdr:col>0</xdr:col>
      <xdr:colOff>0</xdr:colOff>
      <xdr:row>72</xdr:row>
      <xdr:rowOff>0</xdr:rowOff>
    </xdr:from>
    <xdr:to>
      <xdr:col>12</xdr:col>
      <xdr:colOff>236669</xdr:colOff>
      <xdr:row>97</xdr:row>
      <xdr:rowOff>104226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344400"/>
          <a:ext cx="11657144" cy="4390476"/>
        </a:xfrm>
        <a:prstGeom prst="rect">
          <a:avLst/>
        </a:prstGeom>
      </xdr:spPr>
    </xdr:pic>
    <xdr:clientData/>
  </xdr:twoCellAnchor>
  <xdr:twoCellAnchor editAs="oneCell">
    <xdr:from>
      <xdr:col>0</xdr:col>
      <xdr:colOff>0</xdr:colOff>
      <xdr:row>98</xdr:row>
      <xdr:rowOff>0</xdr:rowOff>
    </xdr:from>
    <xdr:to>
      <xdr:col>12</xdr:col>
      <xdr:colOff>284288</xdr:colOff>
      <xdr:row>123</xdr:row>
      <xdr:rowOff>85179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802100"/>
          <a:ext cx="11704763" cy="4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12</xdr:col>
      <xdr:colOff>495172</xdr:colOff>
      <xdr:row>22</xdr:row>
      <xdr:rowOff>155865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8807899" cy="3965864"/>
        </a:xfrm>
        <a:prstGeom prst="rect">
          <a:avLst/>
        </a:prstGeom>
      </xdr:spPr>
    </xdr:pic>
    <xdr:clientData/>
  </xdr:twoCellAnchor>
  <xdr:twoCellAnchor editAs="oneCell">
    <xdr:from>
      <xdr:col>0</xdr:col>
      <xdr:colOff>0</xdr:colOff>
      <xdr:row>23</xdr:row>
      <xdr:rowOff>86589</xdr:rowOff>
    </xdr:from>
    <xdr:to>
      <xdr:col>12</xdr:col>
      <xdr:colOff>640773</xdr:colOff>
      <xdr:row>45</xdr:row>
      <xdr:rowOff>132689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069771"/>
          <a:ext cx="8953500" cy="3856100"/>
        </a:xfrm>
        <a:prstGeom prst="rect">
          <a:avLst/>
        </a:prstGeom>
      </xdr:spPr>
    </xdr:pic>
    <xdr:clientData/>
  </xdr:twoCellAnchor>
  <xdr:twoCellAnchor editAs="oneCell">
    <xdr:from>
      <xdr:col>0</xdr:col>
      <xdr:colOff>17318</xdr:colOff>
      <xdr:row>46</xdr:row>
      <xdr:rowOff>121228</xdr:rowOff>
    </xdr:from>
    <xdr:to>
      <xdr:col>12</xdr:col>
      <xdr:colOff>440238</xdr:colOff>
      <xdr:row>68</xdr:row>
      <xdr:rowOff>69274</xdr:rowOff>
    </xdr:to>
    <xdr:pic>
      <xdr:nvPicPr>
        <xdr:cNvPr id="4" name="图片 3"/>
        <xdr:cNvPicPr>
          <a:picLocks noChangeAspect="1"/>
        </xdr:cNvPicPr>
      </xdr:nvPicPr>
      <xdr:blipFill>
        <a:blip xmlns:r="http://schemas.openxmlformats.org/officeDocument/2006/relationships" r:embed="rId3"/>
        <a:stretch>
          <a:fillRect/>
        </a:stretch>
      </xdr:blipFill>
      <xdr:spPr>
        <a:xfrm>
          <a:off x="17318" y="8087592"/>
          <a:ext cx="8735647" cy="3758046"/>
        </a:xfrm>
        <a:prstGeom prst="rect">
          <a:avLst/>
        </a:prstGeom>
      </xdr:spPr>
    </xdr:pic>
    <xdr:clientData/>
  </xdr:twoCellAnchor>
  <xdr:twoCellAnchor editAs="oneCell">
    <xdr:from>
      <xdr:col>0</xdr:col>
      <xdr:colOff>0</xdr:colOff>
      <xdr:row>70</xdr:row>
      <xdr:rowOff>121228</xdr:rowOff>
    </xdr:from>
    <xdr:to>
      <xdr:col>7</xdr:col>
      <xdr:colOff>361305</xdr:colOff>
      <xdr:row>96</xdr:row>
      <xdr:rowOff>99891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243955"/>
          <a:ext cx="5210396" cy="4481391"/>
        </a:xfrm>
        <a:prstGeom prst="rect">
          <a:avLst/>
        </a:prstGeom>
      </xdr:spPr>
    </xdr:pic>
    <xdr:clientData/>
  </xdr:twoCellAnchor>
  <xdr:twoCellAnchor editAs="oneCell">
    <xdr:from>
      <xdr:col>14</xdr:col>
      <xdr:colOff>0</xdr:colOff>
      <xdr:row>0</xdr:row>
      <xdr:rowOff>0</xdr:rowOff>
    </xdr:from>
    <xdr:to>
      <xdr:col>20</xdr:col>
      <xdr:colOff>108333</xdr:colOff>
      <xdr:row>26</xdr:row>
      <xdr:rowOff>96024</xdr:rowOff>
    </xdr:to>
    <xdr:pic>
      <xdr:nvPicPr>
        <xdr:cNvPr id="6" name="图片 5"/>
        <xdr:cNvPicPr>
          <a:picLocks noChangeAspect="1"/>
        </xdr:cNvPicPr>
      </xdr:nvPicPr>
      <xdr:blipFill>
        <a:blip xmlns:r="http://schemas.openxmlformats.org/officeDocument/2006/relationships" r:embed="rId5"/>
        <a:stretch>
          <a:fillRect/>
        </a:stretch>
      </xdr:blipFill>
      <xdr:spPr>
        <a:xfrm>
          <a:off x="9525000" y="0"/>
          <a:ext cx="4190476" cy="4695238"/>
        </a:xfrm>
        <a:prstGeom prst="rect">
          <a:avLst/>
        </a:prstGeom>
      </xdr:spPr>
    </xdr:pic>
    <xdr:clientData/>
  </xdr:twoCellAnchor>
  <xdr:twoCellAnchor editAs="oneCell">
    <xdr:from>
      <xdr:col>14</xdr:col>
      <xdr:colOff>0</xdr:colOff>
      <xdr:row>27</xdr:row>
      <xdr:rowOff>0</xdr:rowOff>
    </xdr:from>
    <xdr:to>
      <xdr:col>25</xdr:col>
      <xdr:colOff>525595</xdr:colOff>
      <xdr:row>48</xdr:row>
      <xdr:rowOff>18584</xdr:rowOff>
    </xdr:to>
    <xdr:pic>
      <xdr:nvPicPr>
        <xdr:cNvPr id="7" name="图片 6"/>
        <xdr:cNvPicPr>
          <a:picLocks noChangeAspect="1"/>
        </xdr:cNvPicPr>
      </xdr:nvPicPr>
      <xdr:blipFill>
        <a:blip xmlns:r="http://schemas.openxmlformats.org/officeDocument/2006/relationships" r:embed="rId6"/>
        <a:stretch>
          <a:fillRect/>
        </a:stretch>
      </xdr:blipFill>
      <xdr:spPr>
        <a:xfrm>
          <a:off x="9525000" y="4776107"/>
          <a:ext cx="8009524" cy="3733334"/>
        </a:xfrm>
        <a:prstGeom prst="rect">
          <a:avLst/>
        </a:prstGeom>
      </xdr:spPr>
    </xdr:pic>
    <xdr:clientData/>
  </xdr:twoCellAnchor>
  <xdr:twoCellAnchor editAs="oneCell">
    <xdr:from>
      <xdr:col>14</xdr:col>
      <xdr:colOff>0</xdr:colOff>
      <xdr:row>48</xdr:row>
      <xdr:rowOff>0</xdr:rowOff>
    </xdr:from>
    <xdr:to>
      <xdr:col>25</xdr:col>
      <xdr:colOff>277976</xdr:colOff>
      <xdr:row>75</xdr:row>
      <xdr:rowOff>14370</xdr:rowOff>
    </xdr:to>
    <xdr:pic>
      <xdr:nvPicPr>
        <xdr:cNvPr id="8" name="图片 7"/>
        <xdr:cNvPicPr>
          <a:picLocks noChangeAspect="1"/>
        </xdr:cNvPicPr>
      </xdr:nvPicPr>
      <xdr:blipFill>
        <a:blip xmlns:r="http://schemas.openxmlformats.org/officeDocument/2006/relationships" r:embed="rId7"/>
        <a:stretch>
          <a:fillRect/>
        </a:stretch>
      </xdr:blipFill>
      <xdr:spPr>
        <a:xfrm>
          <a:off x="9525000" y="8490857"/>
          <a:ext cx="7761905" cy="4790477"/>
        </a:xfrm>
        <a:prstGeom prst="rect">
          <a:avLst/>
        </a:prstGeom>
      </xdr:spPr>
    </xdr:pic>
    <xdr:clientData/>
  </xdr:twoCellAnchor>
  <xdr:twoCellAnchor editAs="oneCell">
    <xdr:from>
      <xdr:col>14</xdr:col>
      <xdr:colOff>0</xdr:colOff>
      <xdr:row>76</xdr:row>
      <xdr:rowOff>0</xdr:rowOff>
    </xdr:from>
    <xdr:to>
      <xdr:col>25</xdr:col>
      <xdr:colOff>535119</xdr:colOff>
      <xdr:row>93</xdr:row>
      <xdr:rowOff>107107</xdr:rowOff>
    </xdr:to>
    <xdr:pic>
      <xdr:nvPicPr>
        <xdr:cNvPr id="9" name="图片 8"/>
        <xdr:cNvPicPr>
          <a:picLocks noChangeAspect="1"/>
        </xdr:cNvPicPr>
      </xdr:nvPicPr>
      <xdr:blipFill>
        <a:blip xmlns:r="http://schemas.openxmlformats.org/officeDocument/2006/relationships" r:embed="rId8"/>
        <a:stretch>
          <a:fillRect/>
        </a:stretch>
      </xdr:blipFill>
      <xdr:spPr>
        <a:xfrm>
          <a:off x="9525000" y="13443857"/>
          <a:ext cx="8019048" cy="3114286"/>
        </a:xfrm>
        <a:prstGeom prst="rect">
          <a:avLst/>
        </a:prstGeom>
      </xdr:spPr>
    </xdr:pic>
    <xdr:clientData/>
  </xdr:twoCellAnchor>
  <xdr:twoCellAnchor editAs="oneCell">
    <xdr:from>
      <xdr:col>0</xdr:col>
      <xdr:colOff>0</xdr:colOff>
      <xdr:row>98</xdr:row>
      <xdr:rowOff>136071</xdr:rowOff>
    </xdr:from>
    <xdr:to>
      <xdr:col>10</xdr:col>
      <xdr:colOff>586905</xdr:colOff>
      <xdr:row>107</xdr:row>
      <xdr:rowOff>67845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7471571"/>
          <a:ext cx="7390476" cy="1523810"/>
        </a:xfrm>
        <a:prstGeom prst="rect">
          <a:avLst/>
        </a:prstGeom>
      </xdr:spPr>
    </xdr:pic>
    <xdr:clientData/>
  </xdr:twoCellAnchor>
  <xdr:twoCellAnchor editAs="oneCell">
    <xdr:from>
      <xdr:col>0</xdr:col>
      <xdr:colOff>0</xdr:colOff>
      <xdr:row>109</xdr:row>
      <xdr:rowOff>0</xdr:rowOff>
    </xdr:from>
    <xdr:to>
      <xdr:col>11</xdr:col>
      <xdr:colOff>363690</xdr:colOff>
      <xdr:row>117</xdr:row>
      <xdr:rowOff>13428</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9281321"/>
          <a:ext cx="7847619" cy="1428571"/>
        </a:xfrm>
        <a:prstGeom prst="rect">
          <a:avLst/>
        </a:prstGeom>
      </xdr:spPr>
    </xdr:pic>
    <xdr:clientData/>
  </xdr:twoCellAnchor>
  <xdr:twoCellAnchor editAs="oneCell">
    <xdr:from>
      <xdr:col>0</xdr:col>
      <xdr:colOff>0</xdr:colOff>
      <xdr:row>118</xdr:row>
      <xdr:rowOff>163286</xdr:rowOff>
    </xdr:from>
    <xdr:to>
      <xdr:col>11</xdr:col>
      <xdr:colOff>554166</xdr:colOff>
      <xdr:row>127</xdr:row>
      <xdr:rowOff>9345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036643"/>
          <a:ext cx="8038095" cy="1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4701;&#27888;&#22303;&#22320;06&#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典型户型修正"/>
      <sheetName val="存贷款利率"/>
      <sheetName val="不动产比较法-仓储"/>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27407.919999999998</v>
          </cell>
          <cell r="E3">
            <v>103566.73</v>
          </cell>
        </row>
        <row r="19">
          <cell r="E19">
            <v>61634.62</v>
          </cell>
        </row>
        <row r="20">
          <cell r="E20">
            <v>4172.57</v>
          </cell>
        </row>
        <row r="21">
          <cell r="E21">
            <v>26570.66</v>
          </cell>
        </row>
        <row r="28">
          <cell r="E28">
            <v>7858.14</v>
          </cell>
        </row>
        <row r="29">
          <cell r="E29">
            <v>3330.74</v>
          </cell>
        </row>
      </sheetData>
      <sheetData sheetId="14" refreshError="1"/>
      <sheetData sheetId="15" refreshError="1"/>
      <sheetData sheetId="16">
        <row r="14">
          <cell r="B14">
            <v>103566.73</v>
          </cell>
          <cell r="C14">
            <v>27407.919999999998</v>
          </cell>
          <cell r="D14">
            <v>146646</v>
          </cell>
          <cell r="G14">
            <v>146646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40" zoomScale="80" zoomScaleNormal="80" workbookViewId="0">
      <selection activeCell="A76" sqref="A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2650</v>
      </c>
      <c r="B1" s="2844" t="s">
        <v>2747</v>
      </c>
    </row>
    <row r="2" spans="1:55" s="2848" customFormat="1" ht="15" thickTop="1">
      <c r="A2" s="2846" t="s">
        <v>2654</v>
      </c>
      <c r="B2" s="2847" t="str">
        <f>'预评函-封皮'!B37</f>
        <v>北京市通州区马驹桥镇国家环保产业园区YZ00-073-6004、6006地块R2二类居住用地出让国有建设用地使用权抵押价格预评估</v>
      </c>
      <c r="AX2" s="2849"/>
      <c r="AZ2" s="2849"/>
      <c r="BA2" s="2850"/>
      <c r="BC2" s="2850"/>
    </row>
    <row r="3" spans="1:55" s="2851" customFormat="1">
      <c r="A3" s="2830" t="s">
        <v>2655</v>
      </c>
      <c r="B3" s="2833" t="str">
        <f>'预评函-封皮'!B40</f>
        <v>北京融泰房地产开发有限公司</v>
      </c>
    </row>
    <row r="4" spans="1:55" s="2832" customFormat="1">
      <c r="A4" s="2830" t="s">
        <v>2656</v>
      </c>
      <c r="B4" s="2831" t="str">
        <f>'预评函-封皮'!B46</f>
        <v>土地估价师、土地估价师</v>
      </c>
      <c r="N4" s="2832" t="str">
        <f>'预评函-1'!A28</f>
        <v/>
      </c>
    </row>
    <row r="5" spans="1:55" s="2845" customFormat="1" ht="15" thickBot="1">
      <c r="A5" s="2852" t="s">
        <v>2657</v>
      </c>
      <c r="B5" s="2853" t="str">
        <f>'预评函-封皮'!B49</f>
        <v>康正预评字号</v>
      </c>
    </row>
    <row r="6" spans="1:55" s="2854" customFormat="1" ht="15" thickTop="1">
      <c r="A6" s="2846" t="s">
        <v>2699</v>
      </c>
      <c r="B6" s="2847" t="str">
        <f>'预评函-1'!A4</f>
        <v>受贵公司委托，我公司对北京市通州区马驹桥镇国家环保产业园区YZ00-073-6004、6006地块R2二类居住用地出让国有建设用地使用权抵押价格进行了预评估。</v>
      </c>
      <c r="AM6" s="2855"/>
    </row>
    <row r="7" spans="1:55" s="2829" customFormat="1">
      <c r="A7" s="2830" t="s">
        <v>2651</v>
      </c>
      <c r="B7" s="2831" t="str">
        <f>'预评函-1'!A6</f>
        <v>估价对象为北京融泰房地产开发有限公司使用的、位于北京市通州区马驹桥镇国家环保产业园区YZ00-073-6004、6006地块R2二类居住用地出让国有建设用地使用权。根据《建设工程规划许可证》[2020规自（通）建字0025、0028号]及附件附图，估价对象（分摊）出让国有建设用地使用权面积为35973.68平方米，规划建筑面积为133190.67平方米。</v>
      </c>
    </row>
    <row r="8" spans="1:55" s="2829" customFormat="1">
      <c r="A8" s="2830" t="s">
        <v>2652</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2702</v>
      </c>
      <c r="B9" s="2831" t="str">
        <f>'预评函-1'!A9</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2653</v>
      </c>
      <c r="B10" s="2831" t="str">
        <f>'预评函-1'!A11</f>
        <v>2020年4月21日（评估专业人员勘察现场之日）</v>
      </c>
    </row>
    <row r="11" spans="1:55" s="2829" customFormat="1">
      <c r="A11" s="2830" t="s">
        <v>2659</v>
      </c>
      <c r="B11" s="2831" t="str">
        <f>'预评函-1'!A14</f>
        <v>根据《国有建设用地使用权出让合同》[电子监管号：1101002019B02949]及附件、《建设工程规划许可证》[2020规自（通）建字0025、0028号]及附件附图，本次评估估价对象证载（地类）用途为城镇住宅用地。</v>
      </c>
    </row>
    <row r="12" spans="1:55" s="2829" customFormat="1">
      <c r="A12" s="2830" t="s">
        <v>2660</v>
      </c>
      <c r="B12" s="2831" t="str">
        <f>'预评函-1'!A15</f>
        <v>本次评估设定用途即为证载用途住宅、地下仓储、地下车库。</v>
      </c>
    </row>
    <row r="13" spans="1:55" s="2829" customFormat="1">
      <c r="A13" s="2830" t="s">
        <v>2661</v>
      </c>
      <c r="B13" s="2831" t="str">
        <f>'预评函-1'!A17</f>
        <v>根据委托估价方介绍及评估专业人员现场勘查，本次评估估价对象实际土地开发程度为红线外市政基础设施达“七通”（即通路、通电、通上水、燃气、、、）、宗地红线内场地平整。</v>
      </c>
    </row>
    <row r="14" spans="1:55" s="2829" customFormat="1">
      <c r="A14" s="2830" t="s">
        <v>2662</v>
      </c>
      <c r="B14" s="2831" t="str">
        <f>'预评函-1'!A18</f>
        <v>本次评估设定土地开发程度为红线外市政基础设施达“七通”、宗地红线内场地平整。</v>
      </c>
    </row>
    <row r="15" spans="1:55" s="2829" customFormat="1">
      <c r="A15" s="2830" t="s">
        <v>2658</v>
      </c>
      <c r="B15" s="2831" t="str">
        <f>'预评函-1'!A20</f>
        <v>根据《建设工程规划许可证》[2020规自（通）建字0025、0028号]及附件附图，估价对象（分摊）出让国有建设用地使用权面积为35973.68平方米，规划建筑面积为133190.67平方米。</v>
      </c>
    </row>
    <row r="16" spans="1:55" s="2829" customFormat="1">
      <c r="A16" s="2830" t="s">
        <v>2663</v>
      </c>
      <c r="B16" s="2831" t="str">
        <f>'预评函-1'!A22</f>
        <v>本次估价对象为出让国有建设用地使用权，《国有建设用地使用权出让合同》[电子监管号：1101002019B02949]及附件、《建设工程规划许可证》[2020规自（通）建字0025、0028号]及附件附图证载土地终止日期为住宅2089年10月30日车库2069年10月30日、仓储2069年10月30日。截至估价期日，出让国有建设用地使用权剩余土地使用年限为住宅69.5年、地下仓储及地下车库49.5年。</v>
      </c>
    </row>
    <row r="17" spans="1:48" s="2829" customFormat="1">
      <c r="A17" s="2830" t="s">
        <v>2664</v>
      </c>
      <c r="B17" s="2831" t="str">
        <f>'预评函-1'!A23</f>
        <v>本次评估设定估价对象剩余土地使用年限为住宅69.5年、地下仓储及地下车库49.5年。</v>
      </c>
    </row>
    <row r="18" spans="1:48" s="2829" customFormat="1">
      <c r="A18" s="2830" t="s">
        <v>2665</v>
      </c>
      <c r="B18" s="2831" t="str">
        <f>'预评函-1'!A25</f>
        <v>本次估价的“出让国有建设用地使用权价格”是指在估价对象土地所有权为国家所有，使用权性质为出让，在公开市场条件下、于估价期日2020年4月21日，在规划利用条件下、设定土地开发程度为红线外“七通”、宗地内场地未平整，设定用途为住宅、地下仓储、地下车库，剩余土地使用年限为住宅69.5年、地下仓储及地下车库49.5年的出让国有建设用地使用权价格。</v>
      </c>
    </row>
    <row r="19" spans="1:48" s="2829" customFormat="1">
      <c r="A19" s="2830" t="s">
        <v>2666</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2667</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2668</v>
      </c>
      <c r="B21" s="2853" t="str">
        <f>'预评函-1'!A28</f>
        <v/>
      </c>
    </row>
    <row r="22" spans="1:48" ht="15" thickTop="1">
      <c r="A22" s="2841" t="s">
        <v>2669</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2670</v>
      </c>
      <c r="B23" s="2831" t="str">
        <f>'预评函-2'!K2</f>
        <v>估价期日：2020年4月21日</v>
      </c>
    </row>
    <row r="24" spans="1:48">
      <c r="A24" s="2830" t="s">
        <v>2671</v>
      </c>
      <c r="B24" s="2831" t="str">
        <f>'预评函-2'!R2</f>
        <v>估价期日的国有建设用地使用权性质：出让</v>
      </c>
    </row>
    <row r="25" spans="1:48">
      <c r="A25" s="2830" t="s">
        <v>2727</v>
      </c>
      <c r="B25" s="2831" t="str">
        <f>'预评函-2'!A3</f>
        <v>估价期日土地使用者</v>
      </c>
    </row>
    <row r="26" spans="1:48">
      <c r="A26" s="2830" t="s">
        <v>2703</v>
      </c>
      <c r="B26" s="2831" t="str">
        <f>'预评函-2'!A5</f>
        <v>中信开发</v>
      </c>
    </row>
    <row r="27" spans="1:48">
      <c r="A27" s="2830" t="s">
        <v>2728</v>
      </c>
      <c r="B27" s="2831" t="str">
        <f>'预评函-2'!B3</f>
        <v>宗地编号/不动产单元号</v>
      </c>
    </row>
    <row r="28" spans="1:48">
      <c r="A28" s="2830" t="s">
        <v>2704</v>
      </c>
      <c r="B28" s="2831" t="str">
        <f>'预评函-2'!B5</f>
        <v>11111111111</v>
      </c>
    </row>
    <row r="29" spans="1:48">
      <c r="A29" s="2830" t="s">
        <v>2730</v>
      </c>
      <c r="B29" s="2831">
        <f>'预评函-2'!C5</f>
        <v>22</v>
      </c>
    </row>
    <row r="30" spans="1:48">
      <c r="A30" s="2830" t="s">
        <v>2731</v>
      </c>
      <c r="B30" s="2831" t="str">
        <f>'预评函-2'!D3</f>
        <v>土地使用证编号/不动产权证书编号</v>
      </c>
    </row>
    <row r="31" spans="1:48">
      <c r="A31" s="2830" t="s">
        <v>2705</v>
      </c>
      <c r="B31" s="2831" t="str">
        <f>'预评函-2'!D5</f>
        <v>京国土字第111号</v>
      </c>
    </row>
    <row r="32" spans="1:48">
      <c r="A32" s="2830" t="s">
        <v>2706</v>
      </c>
      <c r="B32" s="2831" t="str">
        <f>'预评函-2'!E5</f>
        <v>城镇住宅用地</v>
      </c>
      <c r="AV32" s="2835"/>
    </row>
    <row r="33" spans="1:2">
      <c r="A33" s="2830" t="s">
        <v>2707</v>
      </c>
      <c r="B33" s="2831">
        <f>'预评函-2'!F5</f>
        <v>258</v>
      </c>
    </row>
    <row r="34" spans="1:2">
      <c r="A34" s="2830" t="s">
        <v>2708</v>
      </c>
      <c r="B34" s="2831" t="str">
        <f>'预评函-2'!G5</f>
        <v>住宅、地下仓储、地下车库</v>
      </c>
    </row>
    <row r="35" spans="1:2">
      <c r="A35" s="2830" t="s">
        <v>2709</v>
      </c>
      <c r="B35" s="2831">
        <f>'预评函-2'!H5</f>
        <v>1.5</v>
      </c>
    </row>
    <row r="36" spans="1:2">
      <c r="A36" s="2830" t="s">
        <v>2710</v>
      </c>
      <c r="B36" s="2831">
        <f>'预评函-2'!I5</f>
        <v>1.5</v>
      </c>
    </row>
    <row r="37" spans="1:2">
      <c r="A37" s="2830" t="s">
        <v>2711</v>
      </c>
      <c r="B37" s="2831">
        <f>'预评函-2'!J5</f>
        <v>1.5</v>
      </c>
    </row>
    <row r="38" spans="1:2">
      <c r="A38" s="2830" t="s">
        <v>2712</v>
      </c>
      <c r="B38" s="2831" t="str">
        <f>'预评函-2'!K5</f>
        <v>红线外七通、宗地红线内场地平整</v>
      </c>
    </row>
    <row r="39" spans="1:2">
      <c r="A39" s="2830" t="s">
        <v>2713</v>
      </c>
      <c r="B39" s="2831" t="str">
        <f>'预评函-2'!L5</f>
        <v>红线外七通、宗地红线内场地未平整</v>
      </c>
    </row>
    <row r="40" spans="1:2">
      <c r="A40" s="2830" t="s">
        <v>2732</v>
      </c>
      <c r="B40" s="2831" t="str">
        <f>'预评函-2'!M3</f>
        <v>（剩余）土地使用年限/年</v>
      </c>
    </row>
    <row r="41" spans="1:2">
      <c r="A41" s="2830" t="s">
        <v>2714</v>
      </c>
      <c r="B41" s="2831" t="str">
        <f>'预评函-2'!M5</f>
        <v>住宅69.5年、地下仓储及地下车库49.5年</v>
      </c>
    </row>
    <row r="42" spans="1:2">
      <c r="A42" s="2830" t="s">
        <v>2733</v>
      </c>
      <c r="B42" s="2831" t="str">
        <f>'预评函-2'!N3</f>
        <v>（分摊）出让国有建设用地使用权面积/㎡</v>
      </c>
    </row>
    <row r="43" spans="1:2">
      <c r="A43" s="2830" t="s">
        <v>2715</v>
      </c>
      <c r="B43" s="2831">
        <f>'预评函-2'!N5</f>
        <v>35973.68</v>
      </c>
    </row>
    <row r="44" spans="1:2">
      <c r="A44" s="2830" t="s">
        <v>2734</v>
      </c>
      <c r="B44" s="2831" t="str">
        <f>'预评函-2'!O3</f>
        <v>规划建筑面积/㎡</v>
      </c>
    </row>
    <row r="45" spans="1:2">
      <c r="A45" s="2830" t="s">
        <v>2716</v>
      </c>
      <c r="B45" s="2831">
        <f>'预评函-2'!O5</f>
        <v>133190.67000000001</v>
      </c>
    </row>
    <row r="46" spans="1:2">
      <c r="A46" s="2830" t="s">
        <v>2717</v>
      </c>
      <c r="B46" s="2831">
        <f ca="1">'预评函-2'!P5</f>
        <v>55387</v>
      </c>
    </row>
    <row r="47" spans="1:2">
      <c r="A47" s="2830" t="s">
        <v>2718</v>
      </c>
      <c r="B47" s="2831">
        <f ca="1">'预评函-2'!Q5</f>
        <v>14960</v>
      </c>
    </row>
    <row r="48" spans="1:2">
      <c r="A48" s="2830" t="s">
        <v>2719</v>
      </c>
      <c r="B48" s="2831">
        <f ca="1">'预评函-2'!R5</f>
        <v>199248</v>
      </c>
    </row>
    <row r="49" spans="1:2">
      <c r="A49" s="2830" t="s">
        <v>2735</v>
      </c>
      <c r="B49" s="2831" t="str">
        <f>'预评函-2'!A6</f>
        <v>抵押价格</v>
      </c>
    </row>
    <row r="50" spans="1:2">
      <c r="A50" s="2830" t="s">
        <v>2720</v>
      </c>
      <c r="B50" s="2831">
        <f ca="1">'预评函-2'!R6</f>
        <v>199248</v>
      </c>
    </row>
    <row r="51" spans="1:2">
      <c r="A51" s="2830" t="s">
        <v>2736</v>
      </c>
      <c r="B51" s="2831" t="str">
        <f>'预评函-2'!A7</f>
        <v>——</v>
      </c>
    </row>
    <row r="52" spans="1:2">
      <c r="A52" s="2830" t="s">
        <v>2721</v>
      </c>
      <c r="B52" s="2831" t="str">
        <f>'预评函-2'!R7</f>
        <v>——</v>
      </c>
    </row>
    <row r="53" spans="1:2">
      <c r="A53" s="2830" t="s">
        <v>2737</v>
      </c>
      <c r="B53" s="2831" t="str">
        <f>'预评函-2'!A8</f>
        <v>——</v>
      </c>
    </row>
    <row r="54" spans="1:2" s="2845" customFormat="1" ht="15" thickBot="1">
      <c r="A54" s="2852" t="s">
        <v>2722</v>
      </c>
      <c r="B54" s="2853" t="str">
        <f>'预评函-2'!R8</f>
        <v>——</v>
      </c>
    </row>
    <row r="55" spans="1:2" ht="15" thickTop="1">
      <c r="A55" s="2841" t="s">
        <v>2672</v>
      </c>
      <c r="B55" s="2842" t="str">
        <f>'预评函-3'!A2</f>
        <v>1.权利限制：根据估价对象——原件、《国有土地使用权》复印件，截至估价期日，估价对象抵押权未见登记。未设定租赁等其他他项权利。</v>
      </c>
    </row>
    <row r="56" spans="1:2">
      <c r="A56" s="2830" t="s">
        <v>2673</v>
      </c>
      <c r="B56" s="2831" t="str">
        <f>'预评函-3'!A3</f>
        <v>2.基础设施条件：估价对象实际开发程度为红线外七通、宗地红线内场地平整；本次评估设定开发程度为红线外七通、宗地红线内场地未平整。</v>
      </c>
    </row>
    <row r="57" spans="1:2">
      <c r="A57" s="2830" t="s">
        <v>2674</v>
      </c>
      <c r="B57" s="2831" t="str">
        <f>'预评函-3'!A4</f>
        <v>3.估价规划限制条件：详见《建设工程规划许可证》[2020规自（通）建字0025、0028号]及附件附图。</v>
      </c>
    </row>
    <row r="58" spans="1:2" s="2845" customFormat="1" ht="15" thickBot="1">
      <c r="A58" s="2852" t="s">
        <v>2723</v>
      </c>
      <c r="B58" s="2853" t="str">
        <f>'预评函-3'!A5</f>
        <v>4.影响价格的其他限定条件：无。</v>
      </c>
    </row>
    <row r="59" spans="1:2" ht="15" thickTop="1">
      <c r="A59" s="2841" t="s">
        <v>2675</v>
      </c>
      <c r="B59" s="2842" t="str">
        <f>'预评函-3'!A8</f>
        <v>2.本《评估意见函》仅供金融机构进行内部审核使用，不做其他目的之用。</v>
      </c>
    </row>
    <row r="60" spans="1:2">
      <c r="A60" s="2830" t="s">
        <v>2676</v>
      </c>
      <c r="B60" s="2831" t="str">
        <f>'预评函-3'!A9</f>
        <v>3.抵押双方在办理抵押登记手续时，应使用本公司出具的正式《土地估价报告》，特提请报告使用者注意。</v>
      </c>
    </row>
    <row r="61" spans="1:2">
      <c r="A61" s="2830" t="s">
        <v>2678</v>
      </c>
      <c r="B61" s="2831" t="str">
        <f>'预评函-3'!A10</f>
        <v>4.估价师所知悉的法定优先受偿款情况为：</v>
      </c>
    </row>
    <row r="62" spans="1:2">
      <c r="A62" s="2830" t="s">
        <v>2677</v>
      </c>
      <c r="B62" s="2831" t="str">
        <f>'预评函-3'!A11</f>
        <v>（1）根据估价对象——原件、《国有土地使用权》复印件，截至估价期日，估价对象抵押权未见登记。</v>
      </c>
    </row>
    <row r="63" spans="1:2">
      <c r="A63" s="2830" t="s">
        <v>2679</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2680</v>
      </c>
      <c r="B64" s="2836" t="str">
        <f>'预评函-3'!A13</f>
        <v>（3）。</v>
      </c>
    </row>
    <row r="65" spans="1:2">
      <c r="A65" s="2830" t="s">
        <v>2681</v>
      </c>
      <c r="B65" s="2837" t="str">
        <f>'预评函-3'!A14</f>
        <v>综上，本次评估不存在估价师知悉的法定优先受偿款</v>
      </c>
    </row>
    <row r="66" spans="1:2">
      <c r="A66" s="2830" t="s">
        <v>2682</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2683</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2686</v>
      </c>
      <c r="B68" s="2856">
        <f>'预评函-3'!D30</f>
        <v>42558</v>
      </c>
    </row>
    <row r="69" spans="1:2" ht="15" thickTop="1">
      <c r="A69" s="2841" t="s">
        <v>2684</v>
      </c>
      <c r="B69" s="2842" t="str">
        <f>'预评函-3'!A20</f>
        <v>土地估价师</v>
      </c>
    </row>
    <row r="70" spans="1:2">
      <c r="A70" s="2830" t="s">
        <v>2684</v>
      </c>
      <c r="B70" s="2837">
        <f>'预评函-3'!B20</f>
        <v>0</v>
      </c>
    </row>
    <row r="71" spans="1:2">
      <c r="A71" s="2830" t="s">
        <v>2685</v>
      </c>
      <c r="B71" s="2831" t="str">
        <f>'预评函-3'!A21</f>
        <v>土地估价师</v>
      </c>
    </row>
    <row r="72" spans="1:2" s="2845" customFormat="1" ht="15" thickBot="1">
      <c r="A72" s="2852" t="s">
        <v>2685</v>
      </c>
      <c r="B72" s="2858">
        <f>'预评函-3'!B21</f>
        <v>0</v>
      </c>
    </row>
    <row r="73" spans="1:2" ht="15" thickTop="1">
      <c r="A73" s="2841" t="s">
        <v>2744</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2745</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2746</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2781</v>
      </c>
      <c r="B76" s="2840"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1" zoomScale="90" zoomScaleNormal="100" zoomScaleSheetLayoutView="90" workbookViewId="0">
      <selection activeCell="F47" sqref="F47"/>
    </sheetView>
  </sheetViews>
  <sheetFormatPr defaultColWidth="10" defaultRowHeight="14.25"/>
  <cols>
    <col min="1" max="1" width="15.375" style="1672" customWidth="1"/>
    <col min="2" max="2" width="11.375" style="1672" customWidth="1"/>
    <col min="3" max="3" width="12.625" style="1672" customWidth="1"/>
    <col min="4" max="4" width="12"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1935</v>
      </c>
      <c r="B1" s="3267" t="str">
        <f>IF(B10="北京市","北京市",C10)&amp;F10&amp;B16&amp;"国有建设用地使用权"&amp;B9&amp;"预评估"</f>
        <v>北京市通州区马驹桥镇国家环保产业园区YZ00-073-6004、6006地块R2二类居住用地出让国有建设用地使用权抵押价格预评估</v>
      </c>
      <c r="C1" s="3268"/>
      <c r="D1" s="3268"/>
      <c r="E1" s="3268"/>
      <c r="F1" s="3268"/>
      <c r="G1" s="3268"/>
      <c r="H1" s="3268"/>
      <c r="I1" s="3269"/>
      <c r="J1" s="1675"/>
      <c r="K1" s="2416" t="str">
        <f>IF(B10="北京市","北京市",C10)&amp;F10&amp;B16&amp;"国有建设用地使用权"&amp;B9</f>
        <v>北京市通州区马驹桥镇国家环保产业园区YZ00-073-6004、6006地块R2二类居住用地出让国有建设用地使用权抵押价格</v>
      </c>
      <c r="L1" s="1704"/>
      <c r="M1" s="1704"/>
      <c r="N1" s="1675"/>
      <c r="O1" s="1676"/>
      <c r="P1" s="1675"/>
      <c r="Q1" s="1675"/>
      <c r="R1" s="1675"/>
      <c r="S1" s="1675"/>
      <c r="T1" s="1675"/>
      <c r="U1" s="1675"/>
    </row>
    <row r="2" spans="1:21">
      <c r="A2" s="1641" t="s">
        <v>1936</v>
      </c>
      <c r="B2" s="1823"/>
      <c r="D2" s="1675"/>
      <c r="E2" s="1675"/>
      <c r="F2" s="1675"/>
      <c r="G2" s="1675"/>
      <c r="H2" s="1641"/>
      <c r="I2" s="1676"/>
      <c r="J2" s="1675"/>
      <c r="K2" s="2416" t="str">
        <f>IF(B10="北京市","北京市",C10)&amp;F10&amp;B16&amp;"国有建设用地使用权"</f>
        <v>北京市通州区马驹桥镇国家环保产业园区YZ00-073-6004、6006地块R2二类居住用地出让国有建设用地使用权</v>
      </c>
      <c r="L2" s="1704"/>
      <c r="M2" s="1704"/>
      <c r="N2" s="1675"/>
      <c r="O2" s="1676"/>
      <c r="P2" s="1675"/>
      <c r="Q2" s="1675"/>
      <c r="R2" s="1675"/>
      <c r="S2" s="1675"/>
      <c r="T2" s="1675"/>
      <c r="U2" s="1675"/>
    </row>
    <row r="3" spans="1:21">
      <c r="A3" s="1642" t="s">
        <v>1937</v>
      </c>
      <c r="B3" s="1643">
        <v>43942</v>
      </c>
      <c r="C3" s="1644" t="s">
        <v>1993</v>
      </c>
      <c r="D3" s="1643">
        <f>B3</f>
        <v>43942</v>
      </c>
      <c r="E3" s="1675"/>
      <c r="F3" s="1675"/>
      <c r="G3" s="1675"/>
      <c r="H3" s="1641"/>
      <c r="I3" s="1676"/>
      <c r="J3" s="1675"/>
      <c r="K3" s="1755"/>
      <c r="L3" s="1704"/>
      <c r="M3" s="1704"/>
      <c r="N3" s="1675"/>
      <c r="O3" s="1676"/>
      <c r="P3" s="1675"/>
      <c r="Q3" s="1675"/>
      <c r="R3" s="1675"/>
      <c r="S3" s="1675"/>
      <c r="T3" s="1675"/>
      <c r="U3" s="1675"/>
    </row>
    <row r="4" spans="1:21" ht="15" thickBot="1">
      <c r="A4" s="1645" t="s">
        <v>1938</v>
      </c>
      <c r="B4" s="1824" t="s">
        <v>2883</v>
      </c>
      <c r="C4" s="1827">
        <f>SUMIF(土地估价师,B4,估价师及机构信息!E3:E24)</f>
        <v>0</v>
      </c>
      <c r="D4" s="1824" t="s">
        <v>2883</v>
      </c>
      <c r="E4" s="1827">
        <f>SUMIF(土地估价师,D4,估价师及机构信息!E3:E24)</f>
        <v>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土地估价师、土地估价师</v>
      </c>
      <c r="L4" s="1704"/>
      <c r="M4" s="1704"/>
      <c r="N4" s="1675"/>
      <c r="O4" s="1676"/>
      <c r="P4" s="1675"/>
      <c r="Q4" s="1675"/>
      <c r="R4" s="1675"/>
      <c r="S4" s="1675"/>
      <c r="T4" s="1675"/>
      <c r="U4" s="1675"/>
    </row>
    <row r="5" spans="1:21" ht="15" thickTop="1">
      <c r="A5" s="1646" t="s">
        <v>1939</v>
      </c>
      <c r="B5" s="1770" t="s">
        <v>3239</v>
      </c>
      <c r="C5" s="1647"/>
      <c r="D5" s="1648"/>
      <c r="E5" s="1675"/>
      <c r="F5" s="1675"/>
      <c r="G5" s="1675"/>
      <c r="H5" s="1641"/>
      <c r="I5" s="1676"/>
      <c r="J5" s="1675"/>
      <c r="K5" s="1755"/>
      <c r="L5" s="1704"/>
      <c r="M5" s="1704"/>
      <c r="N5" s="1675"/>
      <c r="O5" s="1676"/>
      <c r="P5" s="1675"/>
      <c r="Q5" s="1675"/>
      <c r="R5" s="1675"/>
      <c r="S5" s="1675"/>
      <c r="T5" s="1675"/>
      <c r="U5" s="1675"/>
    </row>
    <row r="6" spans="1:21" ht="26.25">
      <c r="A6" s="1644" t="s">
        <v>2700</v>
      </c>
      <c r="B6" s="1770" t="s">
        <v>3240</v>
      </c>
      <c r="C6" s="1742"/>
      <c r="D6" s="1649"/>
      <c r="E6" s="1675"/>
      <c r="F6" s="1675"/>
      <c r="G6" s="1675"/>
      <c r="H6" s="1641"/>
      <c r="I6" s="1676"/>
      <c r="J6" s="1675"/>
      <c r="K6" s="3002" t="str">
        <f>IF(COUNTIF(B6,"*上海银行*"),"上海银行","")</f>
        <v/>
      </c>
      <c r="L6" s="1704"/>
      <c r="M6" s="1704"/>
      <c r="N6" s="1675"/>
      <c r="O6" s="1676"/>
      <c r="P6" s="1675"/>
      <c r="Q6" s="1675"/>
      <c r="R6" s="1675"/>
      <c r="S6" s="1675"/>
      <c r="T6" s="1675"/>
      <c r="U6" s="1675"/>
    </row>
    <row r="7" spans="1:21">
      <c r="A7" s="1650" t="s">
        <v>2701</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1940</v>
      </c>
      <c r="B8" s="1651" t="s">
        <v>2984</v>
      </c>
      <c r="C8" s="1652"/>
      <c r="D8" s="3273" t="s">
        <v>1942</v>
      </c>
      <c r="E8" s="1825" t="s">
        <v>2992</v>
      </c>
      <c r="F8" s="1653"/>
      <c r="G8" s="1641"/>
      <c r="H8" s="1641"/>
      <c r="I8" s="1688"/>
      <c r="J8" s="1675"/>
      <c r="K8" s="1755"/>
      <c r="L8" s="1704"/>
      <c r="M8" s="1704"/>
      <c r="N8" s="1675"/>
      <c r="O8" s="1676"/>
      <c r="P8" s="1675"/>
      <c r="Q8" s="1675"/>
      <c r="R8" s="1675"/>
      <c r="S8" s="1675"/>
      <c r="T8" s="1675"/>
      <c r="U8" s="1675"/>
    </row>
    <row r="9" spans="1:21" ht="15" thickBot="1">
      <c r="A9" s="1654" t="s">
        <v>1941</v>
      </c>
      <c r="B9" s="1655" t="s">
        <v>2992</v>
      </c>
      <c r="C9" s="1656"/>
      <c r="D9" s="3274"/>
      <c r="E9" s="1655" t="s">
        <v>952</v>
      </c>
      <c r="F9" s="1728"/>
      <c r="G9" s="1723"/>
      <c r="H9" s="1723"/>
      <c r="I9" s="1724"/>
      <c r="J9" s="1675"/>
      <c r="K9" s="1755"/>
      <c r="L9" s="1704"/>
      <c r="M9" s="1704"/>
      <c r="N9" s="1675"/>
      <c r="O9" s="1676"/>
      <c r="P9" s="1675"/>
      <c r="Q9" s="1675"/>
      <c r="R9" s="1675"/>
      <c r="S9" s="1675"/>
      <c r="T9" s="1675"/>
      <c r="U9" s="1675"/>
    </row>
    <row r="10" spans="1:21" ht="15" thickTop="1">
      <c r="A10" s="1725" t="s">
        <v>1996</v>
      </c>
      <c r="B10" s="1700" t="s">
        <v>1943</v>
      </c>
      <c r="C10" s="1657"/>
      <c r="D10" s="1648"/>
      <c r="E10" s="1658" t="s">
        <v>1944</v>
      </c>
      <c r="F10" s="1659" t="s">
        <v>3241</v>
      </c>
      <c r="G10" s="1726"/>
      <c r="H10" s="1727"/>
      <c r="I10" s="1648"/>
      <c r="J10" s="1675"/>
      <c r="K10" s="1755"/>
      <c r="L10" s="1704"/>
      <c r="M10" s="1704"/>
      <c r="N10" s="1675"/>
      <c r="O10" s="1676"/>
      <c r="P10" s="1675"/>
      <c r="Q10" s="1675"/>
      <c r="R10" s="1675"/>
      <c r="S10" s="1675"/>
      <c r="T10" s="1675"/>
      <c r="U10" s="1675"/>
    </row>
    <row r="11" spans="1:21" ht="42.75">
      <c r="A11" s="1678" t="s">
        <v>1997</v>
      </c>
      <c r="B11" s="1679" t="s">
        <v>2993</v>
      </c>
      <c r="C11" s="1660" t="str">
        <f>B5</f>
        <v>北京融泰房地产开发有限公司</v>
      </c>
      <c r="D11" s="1743"/>
      <c r="E11" s="1641"/>
      <c r="F11" s="1641"/>
      <c r="G11" s="1641"/>
      <c r="H11" s="1641"/>
      <c r="I11" s="1641"/>
      <c r="J11" s="1675"/>
      <c r="K11" s="1755"/>
      <c r="L11" s="1704"/>
      <c r="M11" s="1704"/>
      <c r="N11" s="1675"/>
      <c r="O11" s="1676"/>
      <c r="P11" s="1675"/>
      <c r="Q11" s="1675"/>
      <c r="R11" s="1675"/>
      <c r="S11" s="1675"/>
      <c r="T11" s="1675"/>
      <c r="U11" s="1675"/>
    </row>
    <row r="12" spans="1:21">
      <c r="A12" s="1766" t="s">
        <v>2055</v>
      </c>
      <c r="B12" s="3270" t="s">
        <v>3242</v>
      </c>
      <c r="C12" s="3271"/>
      <c r="D12" s="3272"/>
      <c r="E12" s="1680" t="s">
        <v>2058</v>
      </c>
      <c r="F12" s="3288" t="s">
        <v>3247</v>
      </c>
      <c r="G12" s="3289"/>
      <c r="H12" s="3289"/>
      <c r="I12" s="3290"/>
      <c r="J12" s="1675"/>
      <c r="K12" s="1755"/>
      <c r="L12" s="1704"/>
      <c r="M12" s="1704"/>
      <c r="N12" s="1675"/>
      <c r="O12" s="1676"/>
      <c r="P12" s="1675"/>
      <c r="Q12" s="1675"/>
      <c r="R12" s="1675"/>
      <c r="S12" s="1675"/>
      <c r="T12" s="1675"/>
      <c r="U12" s="1675"/>
    </row>
    <row r="13" spans="1:21">
      <c r="A13" s="1668" t="s">
        <v>2056</v>
      </c>
      <c r="B13" s="3270" t="s">
        <v>3243</v>
      </c>
      <c r="C13" s="3271"/>
      <c r="D13" s="3272"/>
      <c r="E13" s="1680" t="s">
        <v>2058</v>
      </c>
      <c r="F13" s="3288" t="s">
        <v>3247</v>
      </c>
      <c r="G13" s="3289"/>
      <c r="H13" s="3289"/>
      <c r="I13" s="3290"/>
      <c r="J13" s="1675"/>
      <c r="K13" s="1755"/>
      <c r="L13" s="1704"/>
      <c r="M13" s="1704"/>
      <c r="N13" s="1675"/>
      <c r="O13" s="1676"/>
      <c r="P13" s="1675"/>
      <c r="Q13" s="1675"/>
      <c r="R13" s="1675"/>
      <c r="S13" s="1675"/>
      <c r="T13" s="1675"/>
      <c r="U13" s="1675"/>
    </row>
    <row r="14" spans="1:21">
      <c r="A14" s="1642" t="s">
        <v>2059</v>
      </c>
      <c r="B14" s="1680"/>
      <c r="C14" s="1826" t="s">
        <v>3244</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2.75">
      <c r="A16" s="1661" t="s">
        <v>1945</v>
      </c>
      <c r="B16" s="1662" t="s">
        <v>2979</v>
      </c>
      <c r="C16" s="1680" t="s">
        <v>1946</v>
      </c>
      <c r="D16" s="2607" t="s">
        <v>1947</v>
      </c>
      <c r="E16" s="1703"/>
      <c r="F16" s="1703"/>
      <c r="G16" s="1703" t="s">
        <v>2994</v>
      </c>
      <c r="H16" s="1703" t="s">
        <v>2995</v>
      </c>
      <c r="I16" s="1667" t="s">
        <v>1952</v>
      </c>
      <c r="J16" s="1675"/>
      <c r="K16" s="2417" t="str">
        <f>IF(D17="","",D16&amp;TEXT(D17,"yyyy年m月d日;;"))</f>
        <v>住宅2089年10月30日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车库2069年10月30日</v>
      </c>
      <c r="R16" s="1680" t="str">
        <f>IF(OR(Q16="",S16=""),"","、")</f>
        <v>、</v>
      </c>
      <c r="S16" s="2417" t="str">
        <f>IF(H17="","",H16&amp;TEXT(H17,"yyyy年m月d日;;"))</f>
        <v>仓储2069年10月30日</v>
      </c>
      <c r="T16" s="1680" t="str">
        <f>IF(OR(S16="",U16=""),"","、")</f>
        <v/>
      </c>
      <c r="U16" s="2417" t="str">
        <f>IF(I17="","",I16&amp;TEXT(I17,"yyyy年m月d日;;"))</f>
        <v/>
      </c>
    </row>
    <row r="17" spans="1:21">
      <c r="A17" s="1744"/>
      <c r="B17" s="1663"/>
      <c r="C17" s="1664" t="s">
        <v>1953</v>
      </c>
      <c r="D17" s="1681">
        <v>69336</v>
      </c>
      <c r="E17" s="1681"/>
      <c r="F17" s="1681"/>
      <c r="G17" s="1681">
        <v>62031</v>
      </c>
      <c r="H17" s="1681">
        <v>62031</v>
      </c>
      <c r="I17" s="1681"/>
      <c r="J17" s="1675"/>
      <c r="K17" s="2416" t="str">
        <f>CONCATENATE(K16,L16,M16,N16,O16,P16,Q16,R16,S16,T16,,U16)</f>
        <v>住宅2089年10月30日车库2069年10月30日、仓储2069年10月30日</v>
      </c>
      <c r="L17" s="1704"/>
      <c r="M17" s="1704"/>
      <c r="N17" s="1675"/>
      <c r="O17" s="1676"/>
      <c r="P17" s="1675"/>
      <c r="Q17" s="1675"/>
      <c r="R17" s="1675"/>
      <c r="S17" s="1675"/>
      <c r="T17" s="1675"/>
      <c r="U17" s="1675"/>
    </row>
    <row r="18" spans="1:21">
      <c r="A18" s="1744"/>
      <c r="B18" s="1663"/>
      <c r="C18" s="1664" t="s">
        <v>1954</v>
      </c>
      <c r="D18" s="1665">
        <v>70</v>
      </c>
      <c r="E18" s="1665"/>
      <c r="F18" s="1665"/>
      <c r="G18" s="1665">
        <v>50</v>
      </c>
      <c r="H18" s="1665">
        <v>50</v>
      </c>
      <c r="I18" s="1665"/>
      <c r="J18" s="1675"/>
      <c r="K18" s="1755"/>
      <c r="L18" s="1704"/>
      <c r="M18" s="1704"/>
      <c r="N18" s="1675"/>
      <c r="O18" s="1676"/>
      <c r="P18" s="1675"/>
      <c r="Q18" s="1675"/>
      <c r="R18" s="1675"/>
      <c r="S18" s="1675"/>
      <c r="T18" s="1675"/>
      <c r="U18" s="1675"/>
    </row>
    <row r="19" spans="1:21">
      <c r="A19" s="1744"/>
      <c r="B19" s="1663"/>
      <c r="C19" s="1641" t="s">
        <v>1955</v>
      </c>
      <c r="D19" s="1739">
        <f>IF(B16="出让",IF(D17="","",ROUNDDOWN(MIN((D17-$D$3)/365,D18),2)),D18)</f>
        <v>69.569999999999993</v>
      </c>
      <c r="E19" s="1666" t="str">
        <f>IF(B16="出让",IF(E17="","",ROUNDDOWN(MIN((E17-$D$3)/365,E18),2)),E18)</f>
        <v/>
      </c>
      <c r="F19" s="1666" t="str">
        <f>IF(B16="出让",IF(F17="","",ROUNDDOWN(MIN((F17-$D$3)/365,F18),2)),F18)</f>
        <v/>
      </c>
      <c r="G19" s="1666">
        <f>IF(B16="出让",IF(G17="","",ROUNDDOWN(MIN((G17-$D$3)/365,G18),2)),G18)</f>
        <v>49.55</v>
      </c>
      <c r="H19" s="1666">
        <f>IF(B16="出让",IF(H17="","",ROUNDDOWN(MIN((H17-$D$3)/365,H18),2)),H18)</f>
        <v>49.55</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85" t="s">
        <v>3250</v>
      </c>
      <c r="E20" s="3286"/>
      <c r="F20" s="3286"/>
      <c r="G20" s="3286"/>
      <c r="H20" s="3286"/>
      <c r="I20" s="3287"/>
      <c r="J20" s="1675"/>
      <c r="K20" s="1755"/>
      <c r="L20" s="1704"/>
      <c r="M20" s="1704"/>
      <c r="N20" s="1675"/>
      <c r="O20" s="1676"/>
      <c r="P20" s="1675"/>
      <c r="Q20" s="1675"/>
      <c r="R20" s="1675"/>
      <c r="S20" s="1675"/>
      <c r="T20" s="1675"/>
      <c r="U20" s="1675"/>
    </row>
    <row r="21" spans="1:21">
      <c r="A21" s="1744" t="s">
        <v>1956</v>
      </c>
      <c r="B21" s="1745" t="s">
        <v>1957</v>
      </c>
      <c r="C21" s="1740">
        <f>'数据-汇总表'!E3</f>
        <v>133190.67000000001</v>
      </c>
      <c r="D21" s="1741" t="s">
        <v>1958</v>
      </c>
      <c r="E21" s="3275" t="s">
        <v>3246</v>
      </c>
      <c r="F21" s="3276"/>
      <c r="G21" s="3276"/>
      <c r="H21" s="3276"/>
      <c r="I21" s="3277"/>
      <c r="J21" s="1675"/>
      <c r="K21" s="1755"/>
      <c r="L21" s="1704"/>
      <c r="M21" s="1704"/>
      <c r="N21" s="1675"/>
      <c r="O21" s="1676"/>
      <c r="P21" s="1675"/>
      <c r="Q21" s="1675"/>
      <c r="R21" s="1675"/>
      <c r="S21" s="1675"/>
      <c r="T21" s="1675"/>
      <c r="U21" s="1675"/>
    </row>
    <row r="22" spans="1:21" ht="28.5">
      <c r="A22" s="3092" t="s">
        <v>3245</v>
      </c>
      <c r="B22" s="1642" t="s">
        <v>1959</v>
      </c>
      <c r="C22" s="1667">
        <f>'数据-汇总表'!D3</f>
        <v>35973.68</v>
      </c>
      <c r="D22" s="1668" t="s">
        <v>1958</v>
      </c>
      <c r="E22" s="3275" t="s">
        <v>3246</v>
      </c>
      <c r="F22" s="3276"/>
      <c r="G22" s="3276"/>
      <c r="H22" s="3276"/>
      <c r="I22" s="3277"/>
      <c r="J22" s="1675"/>
      <c r="K22" s="1755"/>
      <c r="L22" s="1704"/>
      <c r="M22" s="1704"/>
      <c r="N22" s="1675"/>
      <c r="O22" s="1676"/>
      <c r="P22" s="1675"/>
      <c r="Q22" s="1675"/>
      <c r="R22" s="1675"/>
      <c r="S22" s="1675"/>
      <c r="T22" s="1675"/>
      <c r="U22" s="1675"/>
    </row>
    <row r="23" spans="1:21" ht="43.5" thickBot="1">
      <c r="A23" s="1746" t="s">
        <v>1960</v>
      </c>
      <c r="B23" s="1682" t="s">
        <v>1961</v>
      </c>
      <c r="C23" s="1683" t="s">
        <v>2996</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78" t="s">
        <v>1964</v>
      </c>
      <c r="C24" s="3279"/>
      <c r="D24" s="3280" t="s">
        <v>1965</v>
      </c>
      <c r="E24" s="3281"/>
      <c r="F24" s="1689" t="s">
        <v>1966</v>
      </c>
      <c r="G24" s="1675"/>
      <c r="H24" s="1675"/>
      <c r="I24" s="1688"/>
      <c r="J24" s="1675"/>
      <c r="K24" s="3266" t="s">
        <v>1967</v>
      </c>
      <c r="L24" s="2418" t="str">
        <f>"根据估价对象"&amp;IF(B26="——",B25&amp;C25,B25&amp;C25&amp;"、"&amp;B26&amp;C26)&amp;"，"&amp;IF(C23="是","截至估价期日，估价对象已设定抵押。","截至估价期日，估价对象抵押权未见登记。")</f>
        <v>根据估价对象——原件、《国有土地使用权》复印件，截至估价期日，估价对象抵押权未见登记。</v>
      </c>
      <c r="M24" s="1704"/>
      <c r="N24" s="1675"/>
      <c r="O24" s="1676"/>
      <c r="P24" s="1675"/>
      <c r="Q24" s="1675"/>
      <c r="R24" s="1675"/>
      <c r="S24" s="1675"/>
      <c r="T24" s="1675"/>
      <c r="U24" s="1675"/>
    </row>
    <row r="25" spans="1:21">
      <c r="A25" s="1732"/>
      <c r="B25" s="1729" t="s">
        <v>952</v>
      </c>
      <c r="C25" s="1690" t="s">
        <v>1968</v>
      </c>
      <c r="D25" s="1691"/>
      <c r="E25" s="1692" t="s">
        <v>952</v>
      </c>
      <c r="F25" s="1693"/>
      <c r="G25" s="1675"/>
      <c r="H25" s="1675"/>
      <c r="I25" s="1688"/>
      <c r="J25" s="1675"/>
      <c r="K25" s="3266"/>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1969</v>
      </c>
      <c r="C26" s="1690" t="s">
        <v>2322</v>
      </c>
      <c r="D26" s="1641"/>
      <c r="E26" s="1641"/>
      <c r="F26" s="1669"/>
      <c r="G26" s="1675"/>
      <c r="H26" s="1675"/>
      <c r="I26" s="1688"/>
      <c r="J26" s="1675"/>
      <c r="K26" s="3266"/>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52" t="s">
        <v>1998</v>
      </c>
      <c r="B31" s="1745" t="s">
        <v>1999</v>
      </c>
      <c r="C31" s="3291" t="s">
        <v>2997</v>
      </c>
      <c r="D31" s="3292"/>
      <c r="E31" s="1675"/>
      <c r="F31" s="1675"/>
      <c r="G31" s="1675"/>
      <c r="H31" s="1675"/>
      <c r="I31" s="1688"/>
      <c r="J31" s="1675"/>
      <c r="K31" s="2419"/>
      <c r="L31" s="1675"/>
      <c r="M31" s="1675"/>
      <c r="N31" s="1675"/>
      <c r="O31" s="1675"/>
      <c r="P31" s="1675"/>
      <c r="Q31" s="1675"/>
      <c r="R31" s="1675"/>
      <c r="S31" s="1675"/>
      <c r="T31" s="1675"/>
      <c r="U31" s="1675"/>
    </row>
    <row r="32" spans="1:21">
      <c r="A32" s="3252"/>
      <c r="B32" s="1642" t="s">
        <v>2000</v>
      </c>
      <c r="C32" s="1700" t="s">
        <v>2998</v>
      </c>
      <c r="D32" s="1701"/>
      <c r="E32" s="1675"/>
      <c r="F32" s="1675"/>
      <c r="G32" s="1675"/>
      <c r="H32" s="1675"/>
      <c r="I32" s="1688"/>
      <c r="J32" s="1675"/>
      <c r="K32" s="2419"/>
      <c r="L32" s="1675"/>
      <c r="M32" s="1675"/>
      <c r="N32" s="1675"/>
      <c r="O32" s="1675"/>
      <c r="P32" s="1675"/>
      <c r="Q32" s="1675"/>
      <c r="R32" s="1675"/>
      <c r="S32" s="1675"/>
      <c r="T32" s="1675"/>
      <c r="U32" s="1675"/>
    </row>
    <row r="33" spans="1:21">
      <c r="A33" s="3252"/>
      <c r="B33" s="1642" t="s">
        <v>2001</v>
      </c>
      <c r="C33" s="1702" t="s">
        <v>2996</v>
      </c>
      <c r="D33" s="1819"/>
      <c r="E33" s="1675"/>
      <c r="F33" s="1675"/>
      <c r="G33" s="1675"/>
      <c r="H33" s="1675"/>
      <c r="I33" s="1688"/>
      <c r="J33" s="1675"/>
      <c r="K33" s="2419"/>
      <c r="L33" s="1675"/>
      <c r="M33" s="1675"/>
      <c r="N33" s="1675"/>
      <c r="O33" s="1675"/>
      <c r="P33" s="1675"/>
      <c r="Q33" s="1675"/>
      <c r="R33" s="1675"/>
      <c r="S33" s="1675"/>
      <c r="T33" s="1675"/>
      <c r="U33" s="1675"/>
    </row>
    <row r="34" spans="1:21">
      <c r="A34" s="3253"/>
      <c r="B34" s="1642" t="s">
        <v>2002</v>
      </c>
      <c r="C34" s="3254"/>
      <c r="D34" s="3255"/>
      <c r="E34" s="1675"/>
      <c r="F34" s="1675"/>
      <c r="G34" s="1675"/>
      <c r="H34" s="1675"/>
      <c r="I34" s="1688"/>
      <c r="J34" s="1675"/>
      <c r="K34" s="2419"/>
      <c r="L34" s="1675"/>
      <c r="M34" s="1675"/>
      <c r="N34" s="1675"/>
      <c r="O34" s="1675"/>
      <c r="P34" s="1675"/>
      <c r="Q34" s="1675"/>
      <c r="R34" s="1675"/>
      <c r="S34" s="1675"/>
      <c r="T34" s="1675"/>
      <c r="U34" s="1675"/>
    </row>
    <row r="35" spans="1:21">
      <c r="A35" s="3256" t="s">
        <v>847</v>
      </c>
      <c r="B35" s="1703" t="s">
        <v>2999</v>
      </c>
      <c r="C35" s="1757" t="str">
        <f>IF(B35="场地平整","——","具体情况：")</f>
        <v>——</v>
      </c>
      <c r="D35" s="3258"/>
      <c r="E35" s="3259"/>
      <c r="F35" s="3259"/>
      <c r="G35" s="3259"/>
      <c r="H35" s="3259"/>
      <c r="I35" s="3260"/>
      <c r="J35" s="1675"/>
      <c r="K35" s="1756"/>
      <c r="L35" s="1704"/>
      <c r="M35" s="1704"/>
      <c r="N35" s="1675"/>
      <c r="O35" s="1676"/>
      <c r="P35" s="1675"/>
      <c r="Q35" s="1675"/>
      <c r="R35" s="1675"/>
      <c r="S35" s="1675"/>
      <c r="T35" s="1675"/>
      <c r="U35" s="1675"/>
    </row>
    <row r="36" spans="1:21">
      <c r="A36" s="3252"/>
      <c r="B36" s="3261" t="s">
        <v>2051</v>
      </c>
      <c r="C36" s="3262"/>
      <c r="D36" s="1773" t="s">
        <v>3248</v>
      </c>
      <c r="E36" s="3263"/>
      <c r="F36" s="3263"/>
      <c r="G36" s="1668" t="str">
        <f>IF(B35="场地未平整","估价结果处理","")</f>
        <v/>
      </c>
      <c r="H36" s="3264"/>
      <c r="I36" s="3264"/>
      <c r="J36" s="1675"/>
      <c r="K36" s="1756"/>
      <c r="L36" s="1704"/>
      <c r="M36" s="1704"/>
      <c r="N36" s="1675"/>
      <c r="O36" s="1676"/>
      <c r="P36" s="1675"/>
      <c r="Q36" s="1675"/>
      <c r="R36" s="1675"/>
      <c r="S36" s="1675"/>
      <c r="T36" s="1675"/>
      <c r="U36" s="1675"/>
    </row>
    <row r="37" spans="1:21" ht="28.5">
      <c r="A37" s="3252"/>
      <c r="B37" s="3282" t="s">
        <v>848</v>
      </c>
      <c r="C37" s="1705" t="s">
        <v>849</v>
      </c>
      <c r="D37" s="1706">
        <v>44134</v>
      </c>
      <c r="E37" s="1707"/>
      <c r="F37" s="1675"/>
      <c r="G37" s="1675"/>
      <c r="H37" s="1675"/>
      <c r="I37" s="1688"/>
      <c r="J37" s="1675"/>
      <c r="K37" s="1756"/>
      <c r="L37" s="1675"/>
      <c r="M37" s="1675"/>
      <c r="N37" s="1675"/>
      <c r="O37" s="1675"/>
      <c r="P37" s="1675"/>
      <c r="Q37" s="1675"/>
      <c r="R37" s="1675"/>
      <c r="S37" s="1675"/>
      <c r="T37" s="1675"/>
      <c r="U37" s="1675"/>
    </row>
    <row r="38" spans="1:21">
      <c r="A38" s="3252"/>
      <c r="B38" s="3283"/>
      <c r="C38" s="1650" t="s">
        <v>850</v>
      </c>
      <c r="D38" s="1772">
        <f>ROUNDDOWN(MIN(('数据-取费表'!$B$2-D37)/365,D34),1)</f>
        <v>-0.5</v>
      </c>
      <c r="E38" s="1708" t="s">
        <v>851</v>
      </c>
      <c r="F38" s="1675"/>
      <c r="G38" s="1675"/>
      <c r="H38" s="1675"/>
      <c r="I38" s="1688"/>
      <c r="J38" s="1675"/>
      <c r="K38" s="1756"/>
      <c r="L38" s="1675"/>
      <c r="M38" s="1675"/>
      <c r="N38" s="1675"/>
      <c r="O38" s="1675"/>
      <c r="P38" s="1675"/>
      <c r="Q38" s="1675"/>
      <c r="R38" s="1675"/>
      <c r="S38" s="1675"/>
      <c r="T38" s="1675"/>
      <c r="U38" s="1675"/>
    </row>
    <row r="39" spans="1:21">
      <c r="A39" s="3253"/>
      <c r="B39" s="3284"/>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3000</v>
      </c>
      <c r="C40" s="1671" t="s">
        <v>3001</v>
      </c>
      <c r="D40" s="1671" t="s">
        <v>3002</v>
      </c>
      <c r="E40" s="1671" t="s">
        <v>3249</v>
      </c>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65" t="s">
        <v>1983</v>
      </c>
      <c r="T40" s="1712" t="str">
        <f>NUMBERSTRING(7-K40,1)&amp;"通"</f>
        <v>七通</v>
      </c>
      <c r="U40" s="1675"/>
    </row>
    <row r="41" spans="1:21">
      <c r="A41" s="1644"/>
      <c r="B41" s="3257" t="s">
        <v>1721</v>
      </c>
      <c r="C41" s="3257"/>
      <c r="D41" s="3257"/>
      <c r="E41" s="3257"/>
      <c r="F41" s="1713">
        <f>C10</f>
        <v>0</v>
      </c>
      <c r="G41" s="1675"/>
      <c r="H41" s="1675"/>
      <c r="I41" s="1688"/>
      <c r="J41" s="1675"/>
      <c r="K41" s="1680"/>
      <c r="L41" s="1677" t="str">
        <f>B40</f>
        <v>通路</v>
      </c>
      <c r="M41" s="1714" t="str">
        <f>B40&amp;"、"&amp;C40</f>
        <v>通路、通电</v>
      </c>
      <c r="N41" s="1715" t="str">
        <f>B40&amp;"、"&amp;C40&amp;"、"&amp;D40</f>
        <v>通路、通电、通上水</v>
      </c>
      <c r="O41" s="1715" t="str">
        <f>B40&amp;"、"&amp;C40&amp;"、"&amp;D40&amp;"、"&amp;E40</f>
        <v>通路、通电、通上水、燃气</v>
      </c>
      <c r="P41" s="1715" t="str">
        <f>B40&amp;"、"&amp;C40&amp;"、"&amp;D40&amp;"、"&amp;E40&amp;"、"&amp;F40</f>
        <v>通路、通电、通上水、燃气、</v>
      </c>
      <c r="Q41" s="1715" t="str">
        <f>B40&amp;"、"&amp;C40&amp;"、"&amp;D40&amp;"、"&amp;E40&amp;"、"&amp;F40&amp;"、"&amp;G40</f>
        <v>通路、通电、通上水、燃气、、</v>
      </c>
      <c r="R41" s="1715" t="str">
        <f>B40&amp;"、"&amp;C40&amp;"、"&amp;D40&amp;"、"&amp;E40&amp;"、"&amp;F40&amp;"、"&amp;G40&amp;"、"&amp;H40</f>
        <v>通路、通电、通上水、燃气、、、</v>
      </c>
      <c r="S41" s="3265"/>
      <c r="T41" s="1714" t="str">
        <f>IF(T40="一通",L41,IF(T40="二通",M41,IF(T40="三通",N41,IF(T40="四通",O41,IF(T40="五通",P41,IF(T40="六通",Q41,R41))))))</f>
        <v>通路、通电、通上水、燃气、、、</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t="s">
        <v>1415</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2884</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R13" activePane="bottomRight" state="frozen"/>
      <selection pane="topRight" activeCell="E1" sqref="E1"/>
      <selection pane="bottomLeft" activeCell="A12" sqref="A12"/>
      <selection pane="bottomRight" activeCell="AY6" sqref="AY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hidden="1" customWidth="1"/>
    <col min="12" max="12" width="9.5" style="15" hidden="1" customWidth="1"/>
    <col min="13"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2329</v>
      </c>
      <c r="BA2" s="2322" t="s">
        <v>2328</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35973.68</v>
      </c>
      <c r="B3" s="22">
        <f>IF(C3="否",G5-AT5,G5)</f>
        <v>133190.67000000001</v>
      </c>
      <c r="C3" s="23" t="s">
        <v>1678</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133190.67000000001</v>
      </c>
      <c r="H5" s="27">
        <f t="shared" ref="H5:AT5" si="0">SUM(H13:H641)</f>
        <v>121998.50999999998</v>
      </c>
      <c r="I5" s="27">
        <f t="shared" si="0"/>
        <v>83230.11</v>
      </c>
      <c r="J5" s="27">
        <f t="shared" si="0"/>
        <v>0</v>
      </c>
      <c r="K5" s="27">
        <f t="shared" si="0"/>
        <v>0</v>
      </c>
      <c r="L5" s="27">
        <f t="shared" si="0"/>
        <v>0</v>
      </c>
      <c r="M5" s="27">
        <f t="shared" si="0"/>
        <v>5572.52</v>
      </c>
      <c r="N5" s="27">
        <f t="shared" si="0"/>
        <v>0</v>
      </c>
      <c r="O5" s="27">
        <f t="shared" si="0"/>
        <v>33195.879999999997</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11192.16</v>
      </c>
      <c r="AD5" s="27">
        <f t="shared" si="0"/>
        <v>1524.5900000000001</v>
      </c>
      <c r="AE5" s="27">
        <f t="shared" si="0"/>
        <v>0</v>
      </c>
      <c r="AF5" s="27">
        <f t="shared" si="0"/>
        <v>1077.3900000000001</v>
      </c>
      <c r="AG5" s="27">
        <f t="shared" si="0"/>
        <v>0</v>
      </c>
      <c r="AH5" s="27">
        <f t="shared" si="0"/>
        <v>0</v>
      </c>
      <c r="AI5" s="27">
        <f t="shared" si="0"/>
        <v>0</v>
      </c>
      <c r="AJ5" s="27">
        <f t="shared" si="0"/>
        <v>0</v>
      </c>
      <c r="AK5" s="27">
        <f t="shared" si="0"/>
        <v>0</v>
      </c>
      <c r="AL5" s="27">
        <f t="shared" si="0"/>
        <v>359.33</v>
      </c>
      <c r="AM5" s="27">
        <f t="shared" si="0"/>
        <v>0</v>
      </c>
      <c r="AN5" s="27">
        <f t="shared" si="0"/>
        <v>8230.85</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133190.67000000001</v>
      </c>
      <c r="BA5" s="29">
        <f t="shared" si="1"/>
        <v>121998.50999999998</v>
      </c>
      <c r="BB5" s="29">
        <f t="shared" si="1"/>
        <v>83230.11</v>
      </c>
      <c r="BC5" s="29">
        <f t="shared" si="1"/>
        <v>0</v>
      </c>
      <c r="BD5" s="29">
        <f t="shared" si="1"/>
        <v>5572.52</v>
      </c>
      <c r="BE5" s="29">
        <f t="shared" si="1"/>
        <v>33195.879999999997</v>
      </c>
      <c r="BF5" s="29">
        <f t="shared" si="1"/>
        <v>0</v>
      </c>
      <c r="BG5" s="29">
        <f t="shared" si="1"/>
        <v>0</v>
      </c>
      <c r="BH5" s="29">
        <f t="shared" si="1"/>
        <v>0</v>
      </c>
      <c r="BI5" s="29">
        <f t="shared" si="1"/>
        <v>0</v>
      </c>
      <c r="BJ5" s="29">
        <f t="shared" si="1"/>
        <v>0</v>
      </c>
      <c r="BK5" s="29">
        <f t="shared" si="1"/>
        <v>0</v>
      </c>
      <c r="BL5" s="29">
        <f t="shared" si="1"/>
        <v>11192.16</v>
      </c>
      <c r="BM5" s="29">
        <f t="shared" si="1"/>
        <v>1524.5900000000001</v>
      </c>
      <c r="BN5" s="29">
        <f t="shared" si="1"/>
        <v>1077.3900000000001</v>
      </c>
      <c r="BO5" s="29">
        <f t="shared" si="1"/>
        <v>0</v>
      </c>
      <c r="BP5" s="29">
        <f t="shared" si="1"/>
        <v>0</v>
      </c>
      <c r="BQ5" s="29">
        <f t="shared" si="1"/>
        <v>359.33</v>
      </c>
      <c r="BR5" s="29">
        <f t="shared" si="1"/>
        <v>8230.85</v>
      </c>
      <c r="BS5" s="29">
        <f t="shared" si="1"/>
        <v>0</v>
      </c>
      <c r="BT5" s="30">
        <f t="shared" si="1"/>
        <v>0</v>
      </c>
    </row>
    <row r="6" spans="1:72" s="37" customFormat="1" ht="12.75">
      <c r="A6" s="26" t="s">
        <v>169</v>
      </c>
      <c r="B6" s="31"/>
      <c r="C6" s="31"/>
      <c r="D6" s="32"/>
      <c r="E6" s="27">
        <f>H6+AC6+AT6</f>
        <v>35973.670000000006</v>
      </c>
      <c r="F6" s="27" t="s">
        <v>1</v>
      </c>
      <c r="G6" s="27" t="s">
        <v>2</v>
      </c>
      <c r="H6" s="33">
        <f>SUMIF(I$12:AB$12,"总值",I6:AB6)</f>
        <v>32950.770000000004</v>
      </c>
      <c r="I6" s="27">
        <f t="shared" ref="I6:AB6" si="2">ROUND($A$3*I5/$B$3,2)</f>
        <v>22479.75</v>
      </c>
      <c r="J6" s="27">
        <f t="shared" si="2"/>
        <v>0</v>
      </c>
      <c r="K6" s="27">
        <f t="shared" si="2"/>
        <v>0</v>
      </c>
      <c r="L6" s="27">
        <f t="shared" si="2"/>
        <v>0</v>
      </c>
      <c r="M6" s="27">
        <f t="shared" si="2"/>
        <v>1505.09</v>
      </c>
      <c r="N6" s="27">
        <f t="shared" si="2"/>
        <v>0</v>
      </c>
      <c r="O6" s="27">
        <f t="shared" si="2"/>
        <v>8965.93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3022.8999999999996</v>
      </c>
      <c r="AD6" s="27">
        <f t="shared" ref="AD6:AS6" si="3">ROUND($A$3*AD5/$B$3,2)</f>
        <v>411.78</v>
      </c>
      <c r="AE6" s="27">
        <f t="shared" si="3"/>
        <v>0</v>
      </c>
      <c r="AF6" s="27">
        <f t="shared" si="3"/>
        <v>290.99</v>
      </c>
      <c r="AG6" s="27">
        <f t="shared" si="3"/>
        <v>0</v>
      </c>
      <c r="AH6" s="27">
        <f t="shared" si="3"/>
        <v>0</v>
      </c>
      <c r="AI6" s="27">
        <f t="shared" si="3"/>
        <v>0</v>
      </c>
      <c r="AJ6" s="27">
        <f t="shared" si="3"/>
        <v>0</v>
      </c>
      <c r="AK6" s="27">
        <f t="shared" si="3"/>
        <v>0</v>
      </c>
      <c r="AL6" s="27">
        <f t="shared" si="3"/>
        <v>97.05</v>
      </c>
      <c r="AM6" s="27">
        <f t="shared" si="3"/>
        <v>0</v>
      </c>
      <c r="AN6" s="27">
        <f t="shared" si="3"/>
        <v>2223.08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35973.68</v>
      </c>
      <c r="AZ6" s="27" t="s">
        <v>3</v>
      </c>
      <c r="BA6" s="27">
        <f>ROUND($AY$6*BA5/$AZ$5,2)</f>
        <v>32950.769999999997</v>
      </c>
      <c r="BB6" s="27">
        <f>ROUND($AY$6*BB5/$AZ$5,2)</f>
        <v>22479.75</v>
      </c>
      <c r="BC6" s="27">
        <f t="shared" ref="BC6:BH6" si="4">ROUND($AY$6*BC5/$AZ$5,2)</f>
        <v>0</v>
      </c>
      <c r="BD6" s="27">
        <f t="shared" si="4"/>
        <v>1505.09</v>
      </c>
      <c r="BE6" s="27">
        <f t="shared" si="4"/>
        <v>8965.93</v>
      </c>
      <c r="BF6" s="27">
        <f t="shared" si="4"/>
        <v>0</v>
      </c>
      <c r="BG6" s="27">
        <f t="shared" si="4"/>
        <v>0</v>
      </c>
      <c r="BH6" s="27">
        <f t="shared" si="4"/>
        <v>0</v>
      </c>
      <c r="BI6" s="27">
        <f t="shared" ref="BI6:BT6" si="5">ROUND($AY$6*BI5/$AZ$5,2)</f>
        <v>0</v>
      </c>
      <c r="BJ6" s="27">
        <f t="shared" si="5"/>
        <v>0</v>
      </c>
      <c r="BK6" s="27">
        <f t="shared" si="5"/>
        <v>0</v>
      </c>
      <c r="BL6" s="27">
        <f t="shared" si="5"/>
        <v>3022.91</v>
      </c>
      <c r="BM6" s="27">
        <f t="shared" si="5"/>
        <v>411.78</v>
      </c>
      <c r="BN6" s="27">
        <f t="shared" si="5"/>
        <v>290.99</v>
      </c>
      <c r="BO6" s="27">
        <f t="shared" si="5"/>
        <v>0</v>
      </c>
      <c r="BP6" s="27">
        <f t="shared" si="5"/>
        <v>0</v>
      </c>
      <c r="BQ6" s="27">
        <f t="shared" si="5"/>
        <v>97.05</v>
      </c>
      <c r="BR6" s="27">
        <f t="shared" si="5"/>
        <v>2223.08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6" t="s">
        <v>3003</v>
      </c>
      <c r="J9" s="51"/>
      <c r="K9" s="2966"/>
      <c r="L9" s="51"/>
      <c r="M9" s="2966" t="s">
        <v>3005</v>
      </c>
      <c r="N9" s="51"/>
      <c r="O9" s="59" t="s">
        <v>3005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6" t="s">
        <v>923</v>
      </c>
      <c r="J10" s="51"/>
      <c r="K10" s="2968"/>
      <c r="L10" s="51"/>
      <c r="M10" s="2968" t="s">
        <v>2995</v>
      </c>
      <c r="N10" s="51"/>
      <c r="O10" s="66" t="s">
        <v>2994</v>
      </c>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2327</v>
      </c>
      <c r="AK10" s="2315"/>
      <c r="AL10" s="2296" t="s">
        <v>2316</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t="str">
        <f>M9</f>
        <v>地下</v>
      </c>
      <c r="BE10" s="69" t="str">
        <f>O9</f>
        <v>地下</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7" t="s">
        <v>3038</v>
      </c>
      <c r="J11" s="71"/>
      <c r="K11" s="2967"/>
      <c r="L11" s="71"/>
      <c r="M11" s="70" t="s">
        <v>3039</v>
      </c>
      <c r="N11" s="71"/>
      <c r="O11" s="70" t="s">
        <v>2994</v>
      </c>
      <c r="P11" s="71"/>
      <c r="Q11" s="70"/>
      <c r="R11" s="71"/>
      <c r="S11" s="70"/>
      <c r="T11" s="71"/>
      <c r="U11" s="70"/>
      <c r="V11" s="71"/>
      <c r="W11" s="70"/>
      <c r="X11" s="71"/>
      <c r="Y11" s="70"/>
      <c r="Z11" s="71"/>
      <c r="AA11" s="70"/>
      <c r="AB11" s="71"/>
      <c r="AC11" s="55"/>
      <c r="AD11" s="2316" t="s">
        <v>2326</v>
      </c>
      <c r="AE11" s="1000"/>
      <c r="AF11" s="2316" t="s">
        <v>2326</v>
      </c>
      <c r="AG11" s="1000"/>
      <c r="AH11" s="2316" t="s">
        <v>2325</v>
      </c>
      <c r="AI11" s="2317"/>
      <c r="AJ11" s="2316" t="s">
        <v>2325</v>
      </c>
      <c r="AK11" s="2315"/>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t="str">
        <f>M10</f>
        <v>仓储</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f>K11</f>
        <v>0</v>
      </c>
      <c r="BD12" s="79" t="str">
        <f>M11</f>
        <v>戊类库房</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t="str">
        <f>面积表!B28</f>
        <v>04-1#住宅</v>
      </c>
      <c r="D13" s="2964" t="s">
        <v>1678</v>
      </c>
      <c r="E13" s="27">
        <f t="shared" ref="E13:E20" si="6">IF($C$3="是",ROUND($A$3*G13/$B$3,2),ROUND($A$3*(G13-AT13)/$B$3,2))</f>
        <v>2607.25</v>
      </c>
      <c r="F13" s="81"/>
      <c r="G13" s="82">
        <f t="shared" ref="G13:G20" si="7">H13+AC13+AT13</f>
        <v>9653.2199999999993</v>
      </c>
      <c r="H13" s="33">
        <f t="shared" ref="H13:H20" si="8">SUMIF(I$12:AB$12,"总值",I13:AB13)</f>
        <v>9608.24</v>
      </c>
      <c r="I13" s="2965">
        <f>面积表!E28</f>
        <v>9067.4699999999993</v>
      </c>
      <c r="J13" s="2965"/>
      <c r="K13" s="2965"/>
      <c r="L13" s="2965"/>
      <c r="M13" s="2965">
        <f>面积表!J28</f>
        <v>540.77</v>
      </c>
      <c r="N13" s="83"/>
      <c r="O13" s="83"/>
      <c r="P13" s="83"/>
      <c r="Q13" s="83"/>
      <c r="R13" s="83"/>
      <c r="S13" s="83"/>
      <c r="T13" s="83"/>
      <c r="U13" s="83"/>
      <c r="V13" s="83"/>
      <c r="W13" s="83"/>
      <c r="X13" s="83"/>
      <c r="Y13" s="83"/>
      <c r="Z13" s="83"/>
      <c r="AA13" s="83"/>
      <c r="AB13" s="83"/>
      <c r="AC13" s="27">
        <f t="shared" ref="AC13:AC20" si="9">SUMIF(AD$12:AS$12,"总值",AD13:AS13)</f>
        <v>44.980000000000004</v>
      </c>
      <c r="AD13" s="2969"/>
      <c r="AE13" s="2969"/>
      <c r="AF13" s="2969"/>
      <c r="AG13" s="2969"/>
      <c r="AH13" s="2969"/>
      <c r="AI13" s="2969"/>
      <c r="AJ13" s="2969"/>
      <c r="AK13" s="2969"/>
      <c r="AL13" s="2969">
        <f>面积表!H28</f>
        <v>39.92</v>
      </c>
      <c r="AM13" s="2969"/>
      <c r="AN13" s="2969">
        <f>面积表!L28</f>
        <v>5.0599999999999996</v>
      </c>
      <c r="AO13" s="2969"/>
      <c r="AP13" s="2969"/>
      <c r="AQ13" s="2969"/>
      <c r="AR13" s="2969"/>
      <c r="AS13" s="2969"/>
      <c r="AT13" s="2970"/>
      <c r="AU13" s="2971"/>
      <c r="AV13" s="17">
        <f t="shared" ref="AV13:AX20" si="10">A13</f>
        <v>0</v>
      </c>
      <c r="AW13" s="17">
        <f t="shared" si="10"/>
        <v>0</v>
      </c>
      <c r="AX13" s="17" t="str">
        <f t="shared" si="10"/>
        <v>04-1#住宅</v>
      </c>
      <c r="AY13" s="994">
        <f t="shared" ref="AY13:AY20" si="11">ROUND($AY$6*AZ13/$AZ$5,2)</f>
        <v>2607.25</v>
      </c>
      <c r="AZ13" s="27">
        <f t="shared" ref="AZ13:AZ20" si="12">BA13+BL13</f>
        <v>9653.2199999999993</v>
      </c>
      <c r="BA13" s="27">
        <f t="shared" ref="BA13:BA20" si="13">SUM(BB13:BK13)</f>
        <v>9608.24</v>
      </c>
      <c r="BB13" s="27">
        <f t="shared" ref="BB13:BB20" si="14">IF($D13="是",I13-J13,0)</f>
        <v>9067.4699999999993</v>
      </c>
      <c r="BC13" s="27">
        <f t="shared" ref="BC13:BC20" si="15">IF($D13="是",K13-L13,0)</f>
        <v>0</v>
      </c>
      <c r="BD13" s="27">
        <f t="shared" ref="BD13:BD20" si="16">IF($D13="是",M13-N13,0)</f>
        <v>540.77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44.980000000000004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39.92</v>
      </c>
      <c r="BR13" s="27">
        <f t="shared" ref="BR13:BR20" si="30">IF($D13="是",AN13-AO13,0)</f>
        <v>5.0599999999999996</v>
      </c>
      <c r="BS13" s="27">
        <f t="shared" ref="BS13:BS20" si="31">IF($D13="是",AP13-AQ13,0)</f>
        <v>0</v>
      </c>
      <c r="BT13" s="36">
        <f t="shared" ref="BT13:BT20" si="32">IF($D13="是",AR13-AS13,0)</f>
        <v>0</v>
      </c>
    </row>
    <row r="14" spans="1:72" s="18" customFormat="1" ht="12.75">
      <c r="A14" s="2963"/>
      <c r="B14" s="2963"/>
      <c r="C14" s="2963" t="str">
        <f>面积表!B29</f>
        <v>04-2#住宅</v>
      </c>
      <c r="D14" s="2964" t="s">
        <v>1678</v>
      </c>
      <c r="E14" s="27">
        <f t="shared" si="6"/>
        <v>1491.54</v>
      </c>
      <c r="F14" s="81"/>
      <c r="G14" s="82">
        <f t="shared" si="7"/>
        <v>5522.35</v>
      </c>
      <c r="H14" s="33">
        <f t="shared" si="8"/>
        <v>5517.56</v>
      </c>
      <c r="I14" s="2965">
        <f>面积表!E29</f>
        <v>5199.92</v>
      </c>
      <c r="J14" s="2965"/>
      <c r="K14" s="2965"/>
      <c r="L14" s="2965"/>
      <c r="M14" s="2965">
        <f>面积表!J29</f>
        <v>317.64</v>
      </c>
      <c r="N14" s="83"/>
      <c r="O14" s="83"/>
      <c r="P14" s="83"/>
      <c r="Q14" s="83"/>
      <c r="R14" s="83"/>
      <c r="S14" s="83"/>
      <c r="T14" s="83"/>
      <c r="U14" s="83"/>
      <c r="V14" s="83"/>
      <c r="W14" s="83"/>
      <c r="X14" s="83"/>
      <c r="Y14" s="83"/>
      <c r="Z14" s="83"/>
      <c r="AA14" s="83"/>
      <c r="AB14" s="83"/>
      <c r="AC14" s="27">
        <f t="shared" si="9"/>
        <v>4.79</v>
      </c>
      <c r="AD14" s="2969"/>
      <c r="AE14" s="2969"/>
      <c r="AF14" s="2969"/>
      <c r="AG14" s="2969"/>
      <c r="AH14" s="2969"/>
      <c r="AI14" s="2969"/>
      <c r="AJ14" s="2969"/>
      <c r="AK14" s="2969"/>
      <c r="AL14" s="2969"/>
      <c r="AM14" s="2969"/>
      <c r="AN14" s="2969">
        <f>面积表!L29</f>
        <v>4.79</v>
      </c>
      <c r="AO14" s="2969"/>
      <c r="AP14" s="2969"/>
      <c r="AQ14" s="2969"/>
      <c r="AR14" s="2969"/>
      <c r="AS14" s="2969"/>
      <c r="AT14" s="2970"/>
      <c r="AU14" s="2971"/>
      <c r="AV14" s="17">
        <f t="shared" si="10"/>
        <v>0</v>
      </c>
      <c r="AW14" s="17">
        <f t="shared" si="10"/>
        <v>0</v>
      </c>
      <c r="AX14" s="17" t="str">
        <f t="shared" si="10"/>
        <v>04-2#住宅</v>
      </c>
      <c r="AY14" s="994">
        <f t="shared" si="11"/>
        <v>1491.54</v>
      </c>
      <c r="AZ14" s="27">
        <f t="shared" si="12"/>
        <v>5522.35</v>
      </c>
      <c r="BA14" s="27">
        <f t="shared" si="13"/>
        <v>5517.56</v>
      </c>
      <c r="BB14" s="27">
        <f t="shared" si="14"/>
        <v>5199.92</v>
      </c>
      <c r="BC14" s="27">
        <f t="shared" si="15"/>
        <v>0</v>
      </c>
      <c r="BD14" s="27">
        <f t="shared" si="16"/>
        <v>317.64</v>
      </c>
      <c r="BE14" s="27">
        <f t="shared" si="17"/>
        <v>0</v>
      </c>
      <c r="BF14" s="27">
        <f t="shared" si="18"/>
        <v>0</v>
      </c>
      <c r="BG14" s="27">
        <f t="shared" si="19"/>
        <v>0</v>
      </c>
      <c r="BH14" s="27">
        <f t="shared" si="20"/>
        <v>0</v>
      </c>
      <c r="BI14" s="27">
        <f t="shared" si="21"/>
        <v>0</v>
      </c>
      <c r="BJ14" s="27">
        <f t="shared" si="22"/>
        <v>0</v>
      </c>
      <c r="BK14" s="27">
        <f t="shared" si="23"/>
        <v>0</v>
      </c>
      <c r="BL14" s="27">
        <f t="shared" si="24"/>
        <v>4.79</v>
      </c>
      <c r="BM14" s="27">
        <f t="shared" si="25"/>
        <v>0</v>
      </c>
      <c r="BN14" s="27">
        <f t="shared" si="26"/>
        <v>0</v>
      </c>
      <c r="BO14" s="27">
        <f t="shared" si="27"/>
        <v>0</v>
      </c>
      <c r="BP14" s="27">
        <f t="shared" si="28"/>
        <v>0</v>
      </c>
      <c r="BQ14" s="27">
        <f t="shared" si="29"/>
        <v>0</v>
      </c>
      <c r="BR14" s="27">
        <f t="shared" si="30"/>
        <v>4.79</v>
      </c>
      <c r="BS14" s="27">
        <f t="shared" si="31"/>
        <v>0</v>
      </c>
      <c r="BT14" s="36">
        <f t="shared" si="32"/>
        <v>0</v>
      </c>
    </row>
    <row r="15" spans="1:72" s="18" customFormat="1" ht="12.75">
      <c r="A15" s="2963"/>
      <c r="B15" s="2963"/>
      <c r="C15" s="2963" t="str">
        <f>面积表!B30</f>
        <v>04-3#住宅</v>
      </c>
      <c r="D15" s="2964" t="s">
        <v>1678</v>
      </c>
      <c r="E15" s="27">
        <f t="shared" si="6"/>
        <v>1491.54</v>
      </c>
      <c r="F15" s="81"/>
      <c r="G15" s="82">
        <f t="shared" si="7"/>
        <v>5522.35</v>
      </c>
      <c r="H15" s="33">
        <f t="shared" si="8"/>
        <v>5517.56</v>
      </c>
      <c r="I15" s="2965">
        <f>面积表!E30</f>
        <v>5199.92</v>
      </c>
      <c r="J15" s="2965"/>
      <c r="K15" s="2965"/>
      <c r="L15" s="2965"/>
      <c r="M15" s="2965">
        <f>面积表!J30</f>
        <v>317.64</v>
      </c>
      <c r="N15" s="83"/>
      <c r="O15" s="83"/>
      <c r="P15" s="83"/>
      <c r="Q15" s="83"/>
      <c r="R15" s="83"/>
      <c r="S15" s="83"/>
      <c r="T15" s="83"/>
      <c r="U15" s="83"/>
      <c r="V15" s="83"/>
      <c r="W15" s="83"/>
      <c r="X15" s="83"/>
      <c r="Y15" s="83"/>
      <c r="Z15" s="83"/>
      <c r="AA15" s="83"/>
      <c r="AB15" s="83"/>
      <c r="AC15" s="27">
        <f t="shared" si="9"/>
        <v>4.79</v>
      </c>
      <c r="AD15" s="2969"/>
      <c r="AE15" s="2969"/>
      <c r="AF15" s="2969"/>
      <c r="AG15" s="2969"/>
      <c r="AH15" s="2969"/>
      <c r="AI15" s="2969"/>
      <c r="AJ15" s="2969"/>
      <c r="AK15" s="2969"/>
      <c r="AL15" s="2969"/>
      <c r="AM15" s="2969"/>
      <c r="AN15" s="2969">
        <f>面积表!L30</f>
        <v>4.79</v>
      </c>
      <c r="AO15" s="2969"/>
      <c r="AP15" s="2969"/>
      <c r="AQ15" s="2969"/>
      <c r="AR15" s="2969"/>
      <c r="AS15" s="2969"/>
      <c r="AT15" s="2970"/>
      <c r="AU15" s="2971"/>
      <c r="AV15" s="17">
        <f t="shared" si="10"/>
        <v>0</v>
      </c>
      <c r="AW15" s="17">
        <f t="shared" si="10"/>
        <v>0</v>
      </c>
      <c r="AX15" s="17" t="str">
        <f t="shared" si="10"/>
        <v>04-3#住宅</v>
      </c>
      <c r="AY15" s="994">
        <f t="shared" si="11"/>
        <v>1491.54</v>
      </c>
      <c r="AZ15" s="27">
        <f t="shared" si="12"/>
        <v>5522.35</v>
      </c>
      <c r="BA15" s="27">
        <f t="shared" si="13"/>
        <v>5517.56</v>
      </c>
      <c r="BB15" s="27">
        <f t="shared" si="14"/>
        <v>5199.92</v>
      </c>
      <c r="BC15" s="27">
        <f t="shared" si="15"/>
        <v>0</v>
      </c>
      <c r="BD15" s="27">
        <f t="shared" si="16"/>
        <v>317.64</v>
      </c>
      <c r="BE15" s="27">
        <f t="shared" si="17"/>
        <v>0</v>
      </c>
      <c r="BF15" s="27">
        <f t="shared" si="18"/>
        <v>0</v>
      </c>
      <c r="BG15" s="27">
        <f t="shared" si="19"/>
        <v>0</v>
      </c>
      <c r="BH15" s="27">
        <f t="shared" si="20"/>
        <v>0</v>
      </c>
      <c r="BI15" s="27">
        <f t="shared" si="21"/>
        <v>0</v>
      </c>
      <c r="BJ15" s="27">
        <f t="shared" si="22"/>
        <v>0</v>
      </c>
      <c r="BK15" s="27">
        <f t="shared" si="23"/>
        <v>0</v>
      </c>
      <c r="BL15" s="27">
        <f t="shared" si="24"/>
        <v>4.79</v>
      </c>
      <c r="BM15" s="27">
        <f t="shared" si="25"/>
        <v>0</v>
      </c>
      <c r="BN15" s="27">
        <f t="shared" si="26"/>
        <v>0</v>
      </c>
      <c r="BO15" s="27">
        <f t="shared" si="27"/>
        <v>0</v>
      </c>
      <c r="BP15" s="27">
        <f t="shared" si="28"/>
        <v>0</v>
      </c>
      <c r="BQ15" s="27">
        <f t="shared" si="29"/>
        <v>0</v>
      </c>
      <c r="BR15" s="27">
        <f t="shared" si="30"/>
        <v>4.79</v>
      </c>
      <c r="BS15" s="27">
        <f t="shared" si="31"/>
        <v>0</v>
      </c>
      <c r="BT15" s="36">
        <f t="shared" si="32"/>
        <v>0</v>
      </c>
    </row>
    <row r="16" spans="1:72" s="18" customFormat="1" ht="12.75">
      <c r="A16" s="2963"/>
      <c r="B16" s="2963"/>
      <c r="C16" s="2963" t="str">
        <f>面积表!B31</f>
        <v>04-4#住宅</v>
      </c>
      <c r="D16" s="2964" t="s">
        <v>1678</v>
      </c>
      <c r="E16" s="27">
        <f t="shared" si="6"/>
        <v>1476.06</v>
      </c>
      <c r="F16" s="81"/>
      <c r="G16" s="82">
        <f t="shared" si="7"/>
        <v>5465.03</v>
      </c>
      <c r="H16" s="33">
        <f t="shared" si="8"/>
        <v>5465.03</v>
      </c>
      <c r="I16" s="2965">
        <f>面积表!E31</f>
        <v>5153.16</v>
      </c>
      <c r="J16" s="2965"/>
      <c r="K16" s="2965"/>
      <c r="L16" s="2965"/>
      <c r="M16" s="2965">
        <f>面积表!J31</f>
        <v>311.87</v>
      </c>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t="str">
        <f t="shared" si="10"/>
        <v>04-4#住宅</v>
      </c>
      <c r="AY16" s="994">
        <f t="shared" si="11"/>
        <v>1476.06</v>
      </c>
      <c r="AZ16" s="27">
        <f t="shared" si="12"/>
        <v>5465.03</v>
      </c>
      <c r="BA16" s="27">
        <f t="shared" si="13"/>
        <v>5465.03</v>
      </c>
      <c r="BB16" s="27">
        <f t="shared" si="14"/>
        <v>5153.16</v>
      </c>
      <c r="BC16" s="27">
        <f t="shared" si="15"/>
        <v>0</v>
      </c>
      <c r="BD16" s="27">
        <f t="shared" si="16"/>
        <v>311.87</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3" t="str">
        <f>面积表!B32</f>
        <v>04-5#住宅</v>
      </c>
      <c r="D17" s="2964" t="s">
        <v>1678</v>
      </c>
      <c r="E17" s="27">
        <f t="shared" si="6"/>
        <v>563.57000000000005</v>
      </c>
      <c r="F17" s="81"/>
      <c r="G17" s="82">
        <f t="shared" si="7"/>
        <v>2086.58</v>
      </c>
      <c r="H17" s="33">
        <f t="shared" si="8"/>
        <v>2057.37</v>
      </c>
      <c r="I17" s="2965">
        <f>面积表!E32</f>
        <v>1933.95</v>
      </c>
      <c r="J17" s="2965"/>
      <c r="K17" s="2965"/>
      <c r="L17" s="2965"/>
      <c r="M17" s="2965">
        <f>面积表!J32</f>
        <v>123.42</v>
      </c>
      <c r="N17" s="83"/>
      <c r="O17" s="83"/>
      <c r="P17" s="83"/>
      <c r="Q17" s="83"/>
      <c r="R17" s="83"/>
      <c r="S17" s="83"/>
      <c r="T17" s="83"/>
      <c r="U17" s="83"/>
      <c r="V17" s="83"/>
      <c r="W17" s="83"/>
      <c r="X17" s="83"/>
      <c r="Y17" s="83"/>
      <c r="Z17" s="83"/>
      <c r="AA17" s="83"/>
      <c r="AB17" s="83"/>
      <c r="AC17" s="27">
        <f t="shared" si="9"/>
        <v>29.21</v>
      </c>
      <c r="AD17" s="2969"/>
      <c r="AE17" s="2969"/>
      <c r="AF17" s="2969"/>
      <c r="AG17" s="2969"/>
      <c r="AH17" s="2969"/>
      <c r="AI17" s="2969"/>
      <c r="AJ17" s="2969"/>
      <c r="AK17" s="2969"/>
      <c r="AL17" s="2969"/>
      <c r="AM17" s="2969"/>
      <c r="AN17" s="2969">
        <f>面积表!L32</f>
        <v>29.21</v>
      </c>
      <c r="AO17" s="2969"/>
      <c r="AP17" s="2969"/>
      <c r="AQ17" s="2969"/>
      <c r="AR17" s="2969"/>
      <c r="AS17" s="2969"/>
      <c r="AT17" s="2970"/>
      <c r="AU17" s="2971"/>
      <c r="AV17" s="17">
        <f t="shared" si="10"/>
        <v>0</v>
      </c>
      <c r="AW17" s="17">
        <f t="shared" si="10"/>
        <v>0</v>
      </c>
      <c r="AX17" s="17" t="str">
        <f t="shared" si="10"/>
        <v>04-5#住宅</v>
      </c>
      <c r="AY17" s="994">
        <f t="shared" si="11"/>
        <v>563.57000000000005</v>
      </c>
      <c r="AZ17" s="27">
        <f t="shared" si="12"/>
        <v>2086.58</v>
      </c>
      <c r="BA17" s="27">
        <f t="shared" si="13"/>
        <v>2057.37</v>
      </c>
      <c r="BB17" s="27">
        <f t="shared" si="14"/>
        <v>1933.95</v>
      </c>
      <c r="BC17" s="27">
        <f t="shared" si="15"/>
        <v>0</v>
      </c>
      <c r="BD17" s="27">
        <f t="shared" si="16"/>
        <v>123.42</v>
      </c>
      <c r="BE17" s="27">
        <f t="shared" si="17"/>
        <v>0</v>
      </c>
      <c r="BF17" s="27">
        <f t="shared" si="18"/>
        <v>0</v>
      </c>
      <c r="BG17" s="27">
        <f t="shared" si="19"/>
        <v>0</v>
      </c>
      <c r="BH17" s="27">
        <f t="shared" si="20"/>
        <v>0</v>
      </c>
      <c r="BI17" s="27">
        <f t="shared" si="21"/>
        <v>0</v>
      </c>
      <c r="BJ17" s="27">
        <f t="shared" si="22"/>
        <v>0</v>
      </c>
      <c r="BK17" s="27">
        <f t="shared" si="23"/>
        <v>0</v>
      </c>
      <c r="BL17" s="27">
        <f t="shared" si="24"/>
        <v>29.21</v>
      </c>
      <c r="BM17" s="27">
        <f t="shared" si="25"/>
        <v>0</v>
      </c>
      <c r="BN17" s="27">
        <f t="shared" si="26"/>
        <v>0</v>
      </c>
      <c r="BO17" s="27">
        <f t="shared" si="27"/>
        <v>0</v>
      </c>
      <c r="BP17" s="27">
        <f t="shared" si="28"/>
        <v>0</v>
      </c>
      <c r="BQ17" s="27">
        <f t="shared" si="29"/>
        <v>0</v>
      </c>
      <c r="BR17" s="27">
        <f t="shared" si="30"/>
        <v>29.21</v>
      </c>
      <c r="BS17" s="27">
        <f t="shared" si="31"/>
        <v>0</v>
      </c>
      <c r="BT17" s="36">
        <f t="shared" si="32"/>
        <v>0</v>
      </c>
    </row>
    <row r="18" spans="1:72" ht="11.25" customHeight="1">
      <c r="A18" s="84"/>
      <c r="B18" s="85"/>
      <c r="C18" s="2963" t="str">
        <f>面积表!B33</f>
        <v>04-6#住宅</v>
      </c>
      <c r="D18" s="2964" t="s">
        <v>1678</v>
      </c>
      <c r="E18" s="87">
        <f t="shared" si="6"/>
        <v>1488.04</v>
      </c>
      <c r="F18" s="88"/>
      <c r="G18" s="89">
        <f t="shared" si="7"/>
        <v>5509.3899999999994</v>
      </c>
      <c r="H18" s="90">
        <f t="shared" si="8"/>
        <v>5504.0199999999995</v>
      </c>
      <c r="I18" s="2965">
        <f>面积表!E33</f>
        <v>5184.87</v>
      </c>
      <c r="J18" s="91"/>
      <c r="K18" s="1388"/>
      <c r="L18" s="91"/>
      <c r="M18" s="2965">
        <f>面积表!J33</f>
        <v>319.14999999999998</v>
      </c>
      <c r="N18" s="91"/>
      <c r="O18" s="91"/>
      <c r="P18" s="91"/>
      <c r="Q18" s="91"/>
      <c r="R18" s="91"/>
      <c r="S18" s="91"/>
      <c r="T18" s="91"/>
      <c r="U18" s="91"/>
      <c r="V18" s="91"/>
      <c r="W18" s="91"/>
      <c r="X18" s="91"/>
      <c r="Y18" s="91"/>
      <c r="Z18" s="91"/>
      <c r="AA18" s="91"/>
      <c r="AB18" s="91"/>
      <c r="AC18" s="87">
        <f t="shared" si="9"/>
        <v>5.37</v>
      </c>
      <c r="AD18" s="2969"/>
      <c r="AE18" s="92"/>
      <c r="AF18" s="1388"/>
      <c r="AG18" s="92"/>
      <c r="AH18" s="2969"/>
      <c r="AI18" s="92"/>
      <c r="AJ18" s="2969"/>
      <c r="AK18" s="92"/>
      <c r="AL18" s="2969"/>
      <c r="AM18" s="92"/>
      <c r="AN18" s="2969">
        <f>面积表!L33</f>
        <v>5.37</v>
      </c>
      <c r="AO18" s="92"/>
      <c r="AP18" s="92"/>
      <c r="AQ18" s="92"/>
      <c r="AR18" s="92"/>
      <c r="AS18" s="92"/>
      <c r="AT18" s="93"/>
      <c r="AU18" s="94"/>
      <c r="AV18" s="990">
        <f t="shared" si="10"/>
        <v>0</v>
      </c>
      <c r="AW18" s="990">
        <f t="shared" si="10"/>
        <v>0</v>
      </c>
      <c r="AX18" s="990" t="str">
        <f t="shared" si="10"/>
        <v>04-6#住宅</v>
      </c>
      <c r="AY18" s="95">
        <f t="shared" si="11"/>
        <v>1488.04</v>
      </c>
      <c r="AZ18" s="87">
        <f t="shared" si="12"/>
        <v>5509.3899999999994</v>
      </c>
      <c r="BA18" s="87">
        <f t="shared" si="13"/>
        <v>5504.0199999999995</v>
      </c>
      <c r="BB18" s="87">
        <f t="shared" si="14"/>
        <v>5184.87</v>
      </c>
      <c r="BC18" s="87">
        <f t="shared" si="15"/>
        <v>0</v>
      </c>
      <c r="BD18" s="87">
        <f t="shared" si="16"/>
        <v>319.14999999999998</v>
      </c>
      <c r="BE18" s="87">
        <f t="shared" si="17"/>
        <v>0</v>
      </c>
      <c r="BF18" s="87">
        <f t="shared" si="18"/>
        <v>0</v>
      </c>
      <c r="BG18" s="87">
        <f t="shared" si="19"/>
        <v>0</v>
      </c>
      <c r="BH18" s="87">
        <f t="shared" si="20"/>
        <v>0</v>
      </c>
      <c r="BI18" s="87">
        <f t="shared" si="21"/>
        <v>0</v>
      </c>
      <c r="BJ18" s="87">
        <f t="shared" si="22"/>
        <v>0</v>
      </c>
      <c r="BK18" s="87">
        <f t="shared" si="23"/>
        <v>0</v>
      </c>
      <c r="BL18" s="87">
        <f t="shared" si="24"/>
        <v>5.37</v>
      </c>
      <c r="BM18" s="87">
        <f t="shared" si="25"/>
        <v>0</v>
      </c>
      <c r="BN18" s="87">
        <f t="shared" si="26"/>
        <v>0</v>
      </c>
      <c r="BO18" s="87">
        <f t="shared" si="27"/>
        <v>0</v>
      </c>
      <c r="BP18" s="87">
        <f t="shared" si="28"/>
        <v>0</v>
      </c>
      <c r="BQ18" s="87">
        <f t="shared" si="29"/>
        <v>0</v>
      </c>
      <c r="BR18" s="87">
        <f t="shared" si="30"/>
        <v>5.37</v>
      </c>
      <c r="BS18" s="87">
        <f t="shared" si="31"/>
        <v>0</v>
      </c>
      <c r="BT18" s="96">
        <f t="shared" si="32"/>
        <v>0</v>
      </c>
    </row>
    <row r="19" spans="1:72" ht="12.75" customHeight="1">
      <c r="A19" s="84"/>
      <c r="B19" s="1392"/>
      <c r="C19" s="2963" t="str">
        <f>面积表!B34</f>
        <v>04-7#住宅</v>
      </c>
      <c r="D19" s="2964" t="s">
        <v>1678</v>
      </c>
      <c r="E19" s="87">
        <f t="shared" si="6"/>
        <v>1488.04</v>
      </c>
      <c r="F19" s="88"/>
      <c r="G19" s="89">
        <f t="shared" si="7"/>
        <v>5509.3899999999994</v>
      </c>
      <c r="H19" s="90">
        <f t="shared" si="8"/>
        <v>5504.0199999999995</v>
      </c>
      <c r="I19" s="2965">
        <f>面积表!E34</f>
        <v>5184.87</v>
      </c>
      <c r="J19" s="91"/>
      <c r="K19" s="1388"/>
      <c r="L19" s="91"/>
      <c r="M19" s="2965">
        <f>面积表!J34</f>
        <v>319.14999999999998</v>
      </c>
      <c r="N19" s="91"/>
      <c r="O19" s="91"/>
      <c r="P19" s="91"/>
      <c r="Q19" s="91"/>
      <c r="R19" s="91"/>
      <c r="S19" s="91"/>
      <c r="T19" s="91"/>
      <c r="U19" s="91"/>
      <c r="V19" s="91"/>
      <c r="W19" s="91"/>
      <c r="X19" s="91"/>
      <c r="Y19" s="91"/>
      <c r="Z19" s="91"/>
      <c r="AA19" s="91"/>
      <c r="AB19" s="91"/>
      <c r="AC19" s="87">
        <f t="shared" si="9"/>
        <v>5.37</v>
      </c>
      <c r="AD19" s="2969"/>
      <c r="AE19" s="92"/>
      <c r="AF19" s="1388"/>
      <c r="AG19" s="92"/>
      <c r="AH19" s="2969"/>
      <c r="AI19" s="92"/>
      <c r="AJ19" s="2969"/>
      <c r="AK19" s="92"/>
      <c r="AL19" s="2969"/>
      <c r="AM19" s="92"/>
      <c r="AN19" s="2969">
        <f>面积表!L34</f>
        <v>5.37</v>
      </c>
      <c r="AO19" s="92"/>
      <c r="AP19" s="92"/>
      <c r="AQ19" s="92"/>
      <c r="AR19" s="92"/>
      <c r="AS19" s="92"/>
      <c r="AT19" s="93"/>
      <c r="AU19" s="94"/>
      <c r="AV19" s="990">
        <f t="shared" si="10"/>
        <v>0</v>
      </c>
      <c r="AW19" s="990">
        <f t="shared" si="10"/>
        <v>0</v>
      </c>
      <c r="AX19" s="990" t="str">
        <f t="shared" si="10"/>
        <v>04-7#住宅</v>
      </c>
      <c r="AY19" s="95">
        <f t="shared" si="11"/>
        <v>1488.04</v>
      </c>
      <c r="AZ19" s="87">
        <f t="shared" si="12"/>
        <v>5509.3899999999994</v>
      </c>
      <c r="BA19" s="87">
        <f t="shared" si="13"/>
        <v>5504.0199999999995</v>
      </c>
      <c r="BB19" s="87">
        <f t="shared" si="14"/>
        <v>5184.87</v>
      </c>
      <c r="BC19" s="87">
        <f t="shared" si="15"/>
        <v>0</v>
      </c>
      <c r="BD19" s="87">
        <f t="shared" si="16"/>
        <v>319.14999999999998</v>
      </c>
      <c r="BE19" s="87">
        <f t="shared" si="17"/>
        <v>0</v>
      </c>
      <c r="BF19" s="87">
        <f t="shared" si="18"/>
        <v>0</v>
      </c>
      <c r="BG19" s="87">
        <f t="shared" si="19"/>
        <v>0</v>
      </c>
      <c r="BH19" s="87">
        <f t="shared" si="20"/>
        <v>0</v>
      </c>
      <c r="BI19" s="87">
        <f t="shared" si="21"/>
        <v>0</v>
      </c>
      <c r="BJ19" s="87">
        <f t="shared" si="22"/>
        <v>0</v>
      </c>
      <c r="BK19" s="87">
        <f t="shared" si="23"/>
        <v>0</v>
      </c>
      <c r="BL19" s="87">
        <f t="shared" si="24"/>
        <v>5.37</v>
      </c>
      <c r="BM19" s="87">
        <f t="shared" si="25"/>
        <v>0</v>
      </c>
      <c r="BN19" s="87">
        <f t="shared" si="26"/>
        <v>0</v>
      </c>
      <c r="BO19" s="87">
        <f t="shared" si="27"/>
        <v>0</v>
      </c>
      <c r="BP19" s="87">
        <f t="shared" si="28"/>
        <v>0</v>
      </c>
      <c r="BQ19" s="87">
        <f t="shared" si="29"/>
        <v>0</v>
      </c>
      <c r="BR19" s="87">
        <f t="shared" si="30"/>
        <v>5.37</v>
      </c>
      <c r="BS19" s="87">
        <f t="shared" si="31"/>
        <v>0</v>
      </c>
      <c r="BT19" s="96">
        <f t="shared" si="32"/>
        <v>0</v>
      </c>
    </row>
    <row r="20" spans="1:72" ht="12.75" customHeight="1">
      <c r="A20" s="84"/>
      <c r="B20" s="1392"/>
      <c r="C20" s="2963" t="str">
        <f>面积表!B35</f>
        <v>04-8#住宅</v>
      </c>
      <c r="D20" s="2964" t="s">
        <v>1678</v>
      </c>
      <c r="E20" s="87">
        <f t="shared" si="6"/>
        <v>2422.0500000000002</v>
      </c>
      <c r="F20" s="88"/>
      <c r="G20" s="89">
        <f t="shared" si="7"/>
        <v>8967.5000000000018</v>
      </c>
      <c r="H20" s="90">
        <f t="shared" si="8"/>
        <v>8937.9000000000015</v>
      </c>
      <c r="I20" s="2965">
        <f>面积表!E35</f>
        <v>8376.19</v>
      </c>
      <c r="J20" s="91"/>
      <c r="K20" s="1388"/>
      <c r="L20" s="91"/>
      <c r="M20" s="2965">
        <f>面积表!J35</f>
        <v>561.71</v>
      </c>
      <c r="N20" s="91"/>
      <c r="O20" s="91"/>
      <c r="P20" s="91"/>
      <c r="Q20" s="91"/>
      <c r="R20" s="91"/>
      <c r="S20" s="91"/>
      <c r="T20" s="91"/>
      <c r="U20" s="91"/>
      <c r="V20" s="91"/>
      <c r="W20" s="91"/>
      <c r="X20" s="91"/>
      <c r="Y20" s="91"/>
      <c r="Z20" s="91"/>
      <c r="AA20" s="91"/>
      <c r="AB20" s="91"/>
      <c r="AC20" s="87">
        <f t="shared" si="9"/>
        <v>29.6</v>
      </c>
      <c r="AD20" s="2969"/>
      <c r="AE20" s="92"/>
      <c r="AF20" s="1388"/>
      <c r="AG20" s="92"/>
      <c r="AH20" s="2969"/>
      <c r="AI20" s="92"/>
      <c r="AJ20" s="2969"/>
      <c r="AK20" s="92"/>
      <c r="AL20" s="2969"/>
      <c r="AM20" s="92"/>
      <c r="AN20" s="2969">
        <f>面积表!L35</f>
        <v>29.6</v>
      </c>
      <c r="AO20" s="92"/>
      <c r="AP20" s="92"/>
      <c r="AQ20" s="92"/>
      <c r="AR20" s="92"/>
      <c r="AS20" s="92"/>
      <c r="AT20" s="93"/>
      <c r="AU20" s="94"/>
      <c r="AV20" s="990">
        <f t="shared" si="10"/>
        <v>0</v>
      </c>
      <c r="AW20" s="990">
        <f t="shared" si="10"/>
        <v>0</v>
      </c>
      <c r="AX20" s="990" t="str">
        <f t="shared" si="10"/>
        <v>04-8#住宅</v>
      </c>
      <c r="AY20" s="95">
        <f t="shared" si="11"/>
        <v>2422.0500000000002</v>
      </c>
      <c r="AZ20" s="87">
        <f t="shared" si="12"/>
        <v>8967.5000000000018</v>
      </c>
      <c r="BA20" s="87">
        <f t="shared" si="13"/>
        <v>8937.9000000000015</v>
      </c>
      <c r="BB20" s="87">
        <f t="shared" si="14"/>
        <v>8376.19</v>
      </c>
      <c r="BC20" s="87">
        <f t="shared" si="15"/>
        <v>0</v>
      </c>
      <c r="BD20" s="87">
        <f t="shared" si="16"/>
        <v>561.71</v>
      </c>
      <c r="BE20" s="87">
        <f t="shared" si="17"/>
        <v>0</v>
      </c>
      <c r="BF20" s="87">
        <f t="shared" si="18"/>
        <v>0</v>
      </c>
      <c r="BG20" s="87">
        <f t="shared" si="19"/>
        <v>0</v>
      </c>
      <c r="BH20" s="87">
        <f t="shared" si="20"/>
        <v>0</v>
      </c>
      <c r="BI20" s="87">
        <f t="shared" si="21"/>
        <v>0</v>
      </c>
      <c r="BJ20" s="87">
        <f t="shared" si="22"/>
        <v>0</v>
      </c>
      <c r="BK20" s="87">
        <f t="shared" si="23"/>
        <v>0</v>
      </c>
      <c r="BL20" s="87">
        <f t="shared" si="24"/>
        <v>29.6</v>
      </c>
      <c r="BM20" s="87">
        <f t="shared" si="25"/>
        <v>0</v>
      </c>
      <c r="BN20" s="87">
        <f t="shared" si="26"/>
        <v>0</v>
      </c>
      <c r="BO20" s="87">
        <f t="shared" si="27"/>
        <v>0</v>
      </c>
      <c r="BP20" s="87">
        <f t="shared" si="28"/>
        <v>0</v>
      </c>
      <c r="BQ20" s="87">
        <f t="shared" si="29"/>
        <v>0</v>
      </c>
      <c r="BR20" s="87">
        <f t="shared" si="30"/>
        <v>29.6</v>
      </c>
      <c r="BS20" s="87">
        <f t="shared" si="31"/>
        <v>0</v>
      </c>
      <c r="BT20" s="96">
        <f t="shared" si="32"/>
        <v>0</v>
      </c>
    </row>
    <row r="21" spans="1:72" ht="12" customHeight="1">
      <c r="A21" s="84"/>
      <c r="B21" s="1387"/>
      <c r="C21" s="2963" t="str">
        <f>面积表!B36</f>
        <v>04-9#住宅</v>
      </c>
      <c r="D21" s="2964" t="s">
        <v>1678</v>
      </c>
      <c r="E21" s="87">
        <f t="shared" ref="E21:E112" si="33">IF($C$3="是",ROUND($A$3*G21/$B$3,2),ROUND($A$3*(G21-AT21)/$B$3,2))</f>
        <v>1463.55</v>
      </c>
      <c r="F21" s="88"/>
      <c r="G21" s="89">
        <f t="shared" ref="G21:G109" si="34">H21+AC21+AT21</f>
        <v>5418.7300000000005</v>
      </c>
      <c r="H21" s="90">
        <f t="shared" ref="H21:H109" si="35">SUMIF(I$12:AB$12,"总值",I21:AB21)</f>
        <v>5400.13</v>
      </c>
      <c r="I21" s="2965">
        <f>面积表!E36</f>
        <v>5020.3100000000004</v>
      </c>
      <c r="J21" s="91"/>
      <c r="K21" s="1390"/>
      <c r="L21" s="91"/>
      <c r="M21" s="2965">
        <f>面积表!J36</f>
        <v>379.82</v>
      </c>
      <c r="N21" s="91"/>
      <c r="O21" s="91"/>
      <c r="P21" s="91"/>
      <c r="Q21" s="91"/>
      <c r="R21" s="91"/>
      <c r="S21" s="91"/>
      <c r="T21" s="91"/>
      <c r="U21" s="91"/>
      <c r="V21" s="91"/>
      <c r="W21" s="91"/>
      <c r="X21" s="91"/>
      <c r="Y21" s="91"/>
      <c r="Z21" s="91"/>
      <c r="AA21" s="91"/>
      <c r="AB21" s="91"/>
      <c r="AC21" s="87">
        <f t="shared" ref="AC21:AC109" si="36">SUMIF(AD$12:AS$12,"总值",AD21:AS21)</f>
        <v>18.600000000000001</v>
      </c>
      <c r="AD21" s="2969"/>
      <c r="AE21" s="92"/>
      <c r="AF21" s="1391"/>
      <c r="AG21" s="92"/>
      <c r="AH21" s="2969"/>
      <c r="AI21" s="92"/>
      <c r="AJ21" s="2969"/>
      <c r="AK21" s="92"/>
      <c r="AL21" s="2969"/>
      <c r="AM21" s="92"/>
      <c r="AN21" s="2969">
        <f>面积表!L36</f>
        <v>18.600000000000001</v>
      </c>
      <c r="AO21" s="92"/>
      <c r="AP21" s="92"/>
      <c r="AQ21" s="92"/>
      <c r="AR21" s="92"/>
      <c r="AS21" s="92"/>
      <c r="AT21" s="93"/>
      <c r="AU21" s="94"/>
      <c r="AV21" s="1961">
        <f t="shared" ref="AV21:AV112" si="37">A21</f>
        <v>0</v>
      </c>
      <c r="AW21" s="1961">
        <f t="shared" ref="AW21:AW112" si="38">B21</f>
        <v>0</v>
      </c>
      <c r="AX21" s="1961" t="str">
        <f t="shared" ref="AX21:AX112" si="39">C21</f>
        <v>04-9#住宅</v>
      </c>
      <c r="AY21" s="95">
        <f t="shared" ref="AY21:AY109" si="40">ROUND($AY$6*AZ21/$AZ$5,2)</f>
        <v>1463.55</v>
      </c>
      <c r="AZ21" s="87">
        <f t="shared" ref="AZ21:AZ109" si="41">BA21+BL21</f>
        <v>5418.7300000000005</v>
      </c>
      <c r="BA21" s="87">
        <f t="shared" ref="BA21:BA109" si="42">SUM(BB21:BK21)</f>
        <v>5400.13</v>
      </c>
      <c r="BB21" s="87">
        <f t="shared" ref="BB21:BB109" si="43">IF($D21="是",I21-J21,0)</f>
        <v>5020.3100000000004</v>
      </c>
      <c r="BC21" s="87">
        <f t="shared" ref="BC21:BC109" si="44">IF($D21="是",K21-L21,0)</f>
        <v>0</v>
      </c>
      <c r="BD21" s="87">
        <f t="shared" ref="BD21:BD109" si="45">IF($D21="是",M21-N21,0)</f>
        <v>379.82</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18.600000000000001</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18.600000000000001</v>
      </c>
      <c r="BS21" s="87">
        <f t="shared" ref="BS21:BS109" si="60">IF($D21="是",AP21-AQ21,0)</f>
        <v>0</v>
      </c>
      <c r="BT21" s="96">
        <f t="shared" ref="BT21:BT109" si="61">IF($D21="是",AR21-AS21,0)</f>
        <v>0</v>
      </c>
    </row>
    <row r="22" spans="1:72" ht="13.5" customHeight="1">
      <c r="A22" s="84"/>
      <c r="B22" s="1387"/>
      <c r="C22" s="2963" t="str">
        <f>面积表!B37</f>
        <v>04-10#住宅</v>
      </c>
      <c r="D22" s="2964" t="s">
        <v>1678</v>
      </c>
      <c r="E22" s="87">
        <f t="shared" si="33"/>
        <v>1463.34</v>
      </c>
      <c r="F22" s="88"/>
      <c r="G22" s="89">
        <f t="shared" si="34"/>
        <v>5417.9400000000005</v>
      </c>
      <c r="H22" s="90">
        <f t="shared" si="35"/>
        <v>5399.34</v>
      </c>
      <c r="I22" s="2965">
        <f>面积表!E37</f>
        <v>5019.5200000000004</v>
      </c>
      <c r="J22" s="91"/>
      <c r="K22" s="1390"/>
      <c r="L22" s="91"/>
      <c r="M22" s="2965">
        <f>面积表!J37</f>
        <v>379.82</v>
      </c>
      <c r="N22" s="91"/>
      <c r="O22" s="91"/>
      <c r="P22" s="91"/>
      <c r="Q22" s="91"/>
      <c r="R22" s="91"/>
      <c r="S22" s="91"/>
      <c r="T22" s="91"/>
      <c r="U22" s="91"/>
      <c r="V22" s="91"/>
      <c r="W22" s="91"/>
      <c r="X22" s="91"/>
      <c r="Y22" s="91"/>
      <c r="Z22" s="91"/>
      <c r="AA22" s="91"/>
      <c r="AB22" s="91"/>
      <c r="AC22" s="87">
        <f t="shared" si="36"/>
        <v>18.600000000000001</v>
      </c>
      <c r="AD22" s="2969"/>
      <c r="AE22" s="92"/>
      <c r="AF22" s="1391"/>
      <c r="AG22" s="92"/>
      <c r="AH22" s="2969"/>
      <c r="AI22" s="92"/>
      <c r="AJ22" s="2969"/>
      <c r="AK22" s="92"/>
      <c r="AL22" s="2969"/>
      <c r="AM22" s="92"/>
      <c r="AN22" s="2969">
        <f>面积表!L37</f>
        <v>18.600000000000001</v>
      </c>
      <c r="AO22" s="92"/>
      <c r="AP22" s="92"/>
      <c r="AQ22" s="92"/>
      <c r="AR22" s="92"/>
      <c r="AS22" s="92"/>
      <c r="AT22" s="93"/>
      <c r="AU22" s="94"/>
      <c r="AV22" s="1961">
        <f t="shared" si="37"/>
        <v>0</v>
      </c>
      <c r="AW22" s="1961">
        <f t="shared" si="38"/>
        <v>0</v>
      </c>
      <c r="AX22" s="1961" t="str">
        <f t="shared" si="39"/>
        <v>04-10#住宅</v>
      </c>
      <c r="AY22" s="95">
        <f t="shared" si="40"/>
        <v>1463.34</v>
      </c>
      <c r="AZ22" s="87">
        <f t="shared" si="41"/>
        <v>5417.9400000000005</v>
      </c>
      <c r="BA22" s="87">
        <f t="shared" si="42"/>
        <v>5399.34</v>
      </c>
      <c r="BB22" s="87">
        <f t="shared" si="43"/>
        <v>5019.5200000000004</v>
      </c>
      <c r="BC22" s="87">
        <f t="shared" si="44"/>
        <v>0</v>
      </c>
      <c r="BD22" s="87">
        <f t="shared" si="45"/>
        <v>379.82</v>
      </c>
      <c r="BE22" s="87">
        <f t="shared" si="46"/>
        <v>0</v>
      </c>
      <c r="BF22" s="87">
        <f t="shared" si="47"/>
        <v>0</v>
      </c>
      <c r="BG22" s="87">
        <f t="shared" si="48"/>
        <v>0</v>
      </c>
      <c r="BH22" s="87">
        <f t="shared" si="49"/>
        <v>0</v>
      </c>
      <c r="BI22" s="87">
        <f t="shared" si="50"/>
        <v>0</v>
      </c>
      <c r="BJ22" s="87">
        <f t="shared" si="51"/>
        <v>0</v>
      </c>
      <c r="BK22" s="87">
        <f t="shared" si="52"/>
        <v>0</v>
      </c>
      <c r="BL22" s="87">
        <f t="shared" si="53"/>
        <v>18.600000000000001</v>
      </c>
      <c r="BM22" s="87">
        <f t="shared" si="54"/>
        <v>0</v>
      </c>
      <c r="BN22" s="87">
        <f t="shared" si="55"/>
        <v>0</v>
      </c>
      <c r="BO22" s="87">
        <f t="shared" si="56"/>
        <v>0</v>
      </c>
      <c r="BP22" s="87">
        <f t="shared" si="57"/>
        <v>0</v>
      </c>
      <c r="BQ22" s="87">
        <f t="shared" si="58"/>
        <v>0</v>
      </c>
      <c r="BR22" s="87">
        <f t="shared" si="59"/>
        <v>18.600000000000001</v>
      </c>
      <c r="BS22" s="87">
        <f t="shared" si="60"/>
        <v>0</v>
      </c>
      <c r="BT22" s="96">
        <f t="shared" si="61"/>
        <v>0</v>
      </c>
    </row>
    <row r="23" spans="1:72" ht="12" customHeight="1">
      <c r="A23" s="84"/>
      <c r="B23" s="1387"/>
      <c r="C23" s="2963" t="str">
        <f>面积表!B38</f>
        <v>04-11#住宅</v>
      </c>
      <c r="D23" s="2964" t="s">
        <v>1678</v>
      </c>
      <c r="E23" s="87">
        <f t="shared" si="33"/>
        <v>1360.46</v>
      </c>
      <c r="F23" s="88"/>
      <c r="G23" s="89">
        <f t="shared" si="34"/>
        <v>5037.03</v>
      </c>
      <c r="H23" s="90">
        <f t="shared" si="35"/>
        <v>5037.03</v>
      </c>
      <c r="I23" s="2965">
        <f>面积表!E38</f>
        <v>4758.53</v>
      </c>
      <c r="J23" s="91"/>
      <c r="K23" s="1390"/>
      <c r="L23" s="91"/>
      <c r="M23" s="2965">
        <f>面积表!J38</f>
        <v>278.5</v>
      </c>
      <c r="N23" s="91"/>
      <c r="O23" s="91"/>
      <c r="P23" s="91"/>
      <c r="Q23" s="91"/>
      <c r="R23" s="91"/>
      <c r="S23" s="91"/>
      <c r="T23" s="91"/>
      <c r="U23" s="91"/>
      <c r="V23" s="91"/>
      <c r="W23" s="91"/>
      <c r="X23" s="91"/>
      <c r="Y23" s="91"/>
      <c r="Z23" s="91"/>
      <c r="AA23" s="91"/>
      <c r="AB23" s="91"/>
      <c r="AC23" s="87">
        <f t="shared" si="36"/>
        <v>0</v>
      </c>
      <c r="AD23" s="2969"/>
      <c r="AE23" s="92"/>
      <c r="AF23" s="1391"/>
      <c r="AG23" s="92"/>
      <c r="AH23" s="2969"/>
      <c r="AI23" s="92"/>
      <c r="AJ23" s="2969"/>
      <c r="AK23" s="92"/>
      <c r="AL23" s="2969"/>
      <c r="AM23" s="92"/>
      <c r="AN23" s="2969"/>
      <c r="AO23" s="92"/>
      <c r="AP23" s="92"/>
      <c r="AQ23" s="92"/>
      <c r="AR23" s="92"/>
      <c r="AS23" s="92"/>
      <c r="AT23" s="93"/>
      <c r="AU23" s="94"/>
      <c r="AV23" s="1961">
        <f t="shared" si="37"/>
        <v>0</v>
      </c>
      <c r="AW23" s="1961">
        <f t="shared" si="38"/>
        <v>0</v>
      </c>
      <c r="AX23" s="1961" t="str">
        <f t="shared" si="39"/>
        <v>04-11#住宅</v>
      </c>
      <c r="AY23" s="95">
        <f t="shared" si="40"/>
        <v>1360.46</v>
      </c>
      <c r="AZ23" s="87">
        <f t="shared" si="41"/>
        <v>5037.03</v>
      </c>
      <c r="BA23" s="87">
        <f t="shared" si="42"/>
        <v>5037.03</v>
      </c>
      <c r="BB23" s="87">
        <f t="shared" si="43"/>
        <v>4758.53</v>
      </c>
      <c r="BC23" s="87">
        <f t="shared" si="44"/>
        <v>0</v>
      </c>
      <c r="BD23" s="87">
        <f t="shared" si="45"/>
        <v>278.5</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2.75" customHeight="1">
      <c r="A24" s="84"/>
      <c r="B24" s="1387"/>
      <c r="C24" s="2963" t="str">
        <f>面积表!B39</f>
        <v>04-12#住宅</v>
      </c>
      <c r="D24" s="2964" t="s">
        <v>1678</v>
      </c>
      <c r="E24" s="87">
        <f t="shared" si="33"/>
        <v>1265.33</v>
      </c>
      <c r="F24" s="88"/>
      <c r="G24" s="89">
        <f t="shared" si="34"/>
        <v>4684.8</v>
      </c>
      <c r="H24" s="90">
        <f t="shared" si="35"/>
        <v>4680.33</v>
      </c>
      <c r="I24" s="2965">
        <f>面积表!E39</f>
        <v>4372.93</v>
      </c>
      <c r="J24" s="91"/>
      <c r="K24" s="1390"/>
      <c r="L24" s="91"/>
      <c r="M24" s="2965">
        <f>面积表!J39</f>
        <v>307.39999999999998</v>
      </c>
      <c r="N24" s="91"/>
      <c r="O24" s="1358"/>
      <c r="P24" s="91"/>
      <c r="Q24" s="91"/>
      <c r="R24" s="91"/>
      <c r="S24" s="91"/>
      <c r="T24" s="91"/>
      <c r="U24" s="91"/>
      <c r="V24" s="91"/>
      <c r="W24" s="91"/>
      <c r="X24" s="91"/>
      <c r="Y24" s="91"/>
      <c r="Z24" s="91"/>
      <c r="AA24" s="91"/>
      <c r="AB24" s="91"/>
      <c r="AC24" s="87">
        <f t="shared" si="36"/>
        <v>4.47</v>
      </c>
      <c r="AD24" s="2969"/>
      <c r="AE24" s="92"/>
      <c r="AF24" s="1391"/>
      <c r="AG24" s="92"/>
      <c r="AH24" s="2969"/>
      <c r="AI24" s="92"/>
      <c r="AJ24" s="2969"/>
      <c r="AK24" s="92"/>
      <c r="AL24" s="2969"/>
      <c r="AM24" s="92"/>
      <c r="AN24" s="2969">
        <f>面积表!L39</f>
        <v>4.47</v>
      </c>
      <c r="AO24" s="92"/>
      <c r="AP24" s="92"/>
      <c r="AQ24" s="92"/>
      <c r="AR24" s="92"/>
      <c r="AS24" s="92"/>
      <c r="AT24" s="93"/>
      <c r="AU24" s="94"/>
      <c r="AV24" s="1961">
        <f t="shared" si="37"/>
        <v>0</v>
      </c>
      <c r="AW24" s="1961">
        <f t="shared" si="38"/>
        <v>0</v>
      </c>
      <c r="AX24" s="1961" t="str">
        <f t="shared" si="39"/>
        <v>04-12#住宅</v>
      </c>
      <c r="AY24" s="95">
        <f t="shared" si="40"/>
        <v>1265.33</v>
      </c>
      <c r="AZ24" s="87">
        <f t="shared" si="41"/>
        <v>4684.8</v>
      </c>
      <c r="BA24" s="87">
        <f t="shared" si="42"/>
        <v>4680.33</v>
      </c>
      <c r="BB24" s="87">
        <f t="shared" si="43"/>
        <v>4372.93</v>
      </c>
      <c r="BC24" s="87">
        <f t="shared" si="44"/>
        <v>0</v>
      </c>
      <c r="BD24" s="87">
        <f t="shared" si="45"/>
        <v>307.39999999999998</v>
      </c>
      <c r="BE24" s="87">
        <f t="shared" si="46"/>
        <v>0</v>
      </c>
      <c r="BF24" s="87">
        <f t="shared" si="47"/>
        <v>0</v>
      </c>
      <c r="BG24" s="87">
        <f t="shared" si="48"/>
        <v>0</v>
      </c>
      <c r="BH24" s="87">
        <f t="shared" si="49"/>
        <v>0</v>
      </c>
      <c r="BI24" s="87">
        <f t="shared" si="50"/>
        <v>0</v>
      </c>
      <c r="BJ24" s="87">
        <f t="shared" si="51"/>
        <v>0</v>
      </c>
      <c r="BK24" s="87">
        <f t="shared" si="52"/>
        <v>0</v>
      </c>
      <c r="BL24" s="87">
        <f t="shared" si="53"/>
        <v>4.47</v>
      </c>
      <c r="BM24" s="87">
        <f t="shared" si="54"/>
        <v>0</v>
      </c>
      <c r="BN24" s="87">
        <f t="shared" si="55"/>
        <v>0</v>
      </c>
      <c r="BO24" s="87">
        <f t="shared" si="56"/>
        <v>0</v>
      </c>
      <c r="BP24" s="87">
        <f t="shared" si="57"/>
        <v>0</v>
      </c>
      <c r="BQ24" s="87">
        <f t="shared" si="58"/>
        <v>0</v>
      </c>
      <c r="BR24" s="87">
        <f t="shared" si="59"/>
        <v>4.47</v>
      </c>
      <c r="BS24" s="87">
        <f t="shared" si="60"/>
        <v>0</v>
      </c>
      <c r="BT24" s="96">
        <f t="shared" si="61"/>
        <v>0</v>
      </c>
    </row>
    <row r="25" spans="1:72" ht="12" customHeight="1">
      <c r="A25" s="84"/>
      <c r="B25" s="1387"/>
      <c r="C25" s="2963" t="str">
        <f>面积表!B40</f>
        <v>04-13#住宅</v>
      </c>
      <c r="D25" s="2964" t="s">
        <v>1678</v>
      </c>
      <c r="E25" s="87">
        <f t="shared" si="33"/>
        <v>1357.43</v>
      </c>
      <c r="F25" s="88"/>
      <c r="G25" s="89">
        <f t="shared" si="34"/>
        <v>5025.8099999999995</v>
      </c>
      <c r="H25" s="90">
        <f t="shared" si="35"/>
        <v>5021.3399999999992</v>
      </c>
      <c r="I25" s="2965">
        <f>面积表!E40</f>
        <v>4713.9399999999996</v>
      </c>
      <c r="J25" s="91"/>
      <c r="K25" s="1390"/>
      <c r="L25" s="91"/>
      <c r="M25" s="2965">
        <f>面积表!J40</f>
        <v>307.39999999999998</v>
      </c>
      <c r="N25" s="91"/>
      <c r="O25" s="91"/>
      <c r="P25" s="91"/>
      <c r="Q25" s="91"/>
      <c r="R25" s="91"/>
      <c r="S25" s="91"/>
      <c r="T25" s="91"/>
      <c r="U25" s="91"/>
      <c r="V25" s="91"/>
      <c r="W25" s="91"/>
      <c r="X25" s="91"/>
      <c r="Y25" s="91"/>
      <c r="Z25" s="91"/>
      <c r="AA25" s="91"/>
      <c r="AB25" s="91"/>
      <c r="AC25" s="87">
        <f t="shared" si="36"/>
        <v>4.47</v>
      </c>
      <c r="AD25" s="2969"/>
      <c r="AE25" s="92"/>
      <c r="AF25" s="1391"/>
      <c r="AG25" s="92"/>
      <c r="AH25" s="2969"/>
      <c r="AI25" s="92"/>
      <c r="AJ25" s="2969"/>
      <c r="AK25" s="92"/>
      <c r="AL25" s="2969"/>
      <c r="AM25" s="92"/>
      <c r="AN25" s="2969">
        <f>面积表!L40</f>
        <v>4.47</v>
      </c>
      <c r="AO25" s="92"/>
      <c r="AP25" s="92"/>
      <c r="AQ25" s="92"/>
      <c r="AR25" s="92"/>
      <c r="AS25" s="92"/>
      <c r="AT25" s="93"/>
      <c r="AU25" s="94"/>
      <c r="AV25" s="1961">
        <f t="shared" si="37"/>
        <v>0</v>
      </c>
      <c r="AW25" s="1961">
        <f t="shared" si="38"/>
        <v>0</v>
      </c>
      <c r="AX25" s="1961" t="str">
        <f t="shared" si="39"/>
        <v>04-13#住宅</v>
      </c>
      <c r="AY25" s="95">
        <f t="shared" si="40"/>
        <v>1357.43</v>
      </c>
      <c r="AZ25" s="87">
        <f t="shared" si="41"/>
        <v>5025.8099999999995</v>
      </c>
      <c r="BA25" s="87">
        <f t="shared" si="42"/>
        <v>5021.3399999999992</v>
      </c>
      <c r="BB25" s="87">
        <f t="shared" si="43"/>
        <v>4713.9399999999996</v>
      </c>
      <c r="BC25" s="87">
        <f t="shared" si="44"/>
        <v>0</v>
      </c>
      <c r="BD25" s="87">
        <f t="shared" si="45"/>
        <v>307.39999999999998</v>
      </c>
      <c r="BE25" s="87">
        <f t="shared" si="46"/>
        <v>0</v>
      </c>
      <c r="BF25" s="87">
        <f t="shared" si="47"/>
        <v>0</v>
      </c>
      <c r="BG25" s="87">
        <f t="shared" si="48"/>
        <v>0</v>
      </c>
      <c r="BH25" s="87">
        <f t="shared" si="49"/>
        <v>0</v>
      </c>
      <c r="BI25" s="87">
        <f t="shared" si="50"/>
        <v>0</v>
      </c>
      <c r="BJ25" s="87">
        <f t="shared" si="51"/>
        <v>0</v>
      </c>
      <c r="BK25" s="87">
        <f t="shared" si="52"/>
        <v>0</v>
      </c>
      <c r="BL25" s="87">
        <f t="shared" si="53"/>
        <v>4.47</v>
      </c>
      <c r="BM25" s="87">
        <f t="shared" si="54"/>
        <v>0</v>
      </c>
      <c r="BN25" s="87">
        <f t="shared" si="55"/>
        <v>0</v>
      </c>
      <c r="BO25" s="87">
        <f t="shared" si="56"/>
        <v>0</v>
      </c>
      <c r="BP25" s="87">
        <f t="shared" si="57"/>
        <v>0</v>
      </c>
      <c r="BQ25" s="87">
        <f t="shared" si="58"/>
        <v>0</v>
      </c>
      <c r="BR25" s="87">
        <f t="shared" si="59"/>
        <v>4.47</v>
      </c>
      <c r="BS25" s="87">
        <f t="shared" si="60"/>
        <v>0</v>
      </c>
      <c r="BT25" s="96">
        <f t="shared" si="61"/>
        <v>0</v>
      </c>
    </row>
    <row r="26" spans="1:72" ht="14.25" customHeight="1">
      <c r="A26" s="84"/>
      <c r="B26" s="1387"/>
      <c r="C26" s="2963" t="str">
        <f>面积表!B41</f>
        <v>04-14#住宅</v>
      </c>
      <c r="D26" s="2964" t="s">
        <v>1678</v>
      </c>
      <c r="E26" s="87">
        <f t="shared" si="33"/>
        <v>1749.8</v>
      </c>
      <c r="F26" s="88"/>
      <c r="G26" s="89">
        <f t="shared" si="34"/>
        <v>6478.55</v>
      </c>
      <c r="H26" s="90">
        <f t="shared" si="35"/>
        <v>6473.67</v>
      </c>
      <c r="I26" s="2965">
        <f>面积表!E41</f>
        <v>6065.82</v>
      </c>
      <c r="J26" s="91"/>
      <c r="K26" s="1390"/>
      <c r="L26" s="91"/>
      <c r="M26" s="2965">
        <f>面积表!J41</f>
        <v>407.85</v>
      </c>
      <c r="N26" s="91"/>
      <c r="O26" s="91"/>
      <c r="P26" s="91"/>
      <c r="Q26" s="91"/>
      <c r="R26" s="91"/>
      <c r="S26" s="91"/>
      <c r="T26" s="91"/>
      <c r="U26" s="91"/>
      <c r="V26" s="91"/>
      <c r="W26" s="91"/>
      <c r="X26" s="91"/>
      <c r="Y26" s="91"/>
      <c r="Z26" s="91"/>
      <c r="AA26" s="91"/>
      <c r="AB26" s="91"/>
      <c r="AC26" s="87">
        <f t="shared" si="36"/>
        <v>4.88</v>
      </c>
      <c r="AD26" s="2969"/>
      <c r="AE26" s="92"/>
      <c r="AF26" s="1391"/>
      <c r="AG26" s="92"/>
      <c r="AH26" s="2969"/>
      <c r="AI26" s="92"/>
      <c r="AJ26" s="2969"/>
      <c r="AK26" s="92"/>
      <c r="AL26" s="2969"/>
      <c r="AM26" s="92"/>
      <c r="AN26" s="2969">
        <f>面积表!L41</f>
        <v>4.88</v>
      </c>
      <c r="AO26" s="92"/>
      <c r="AP26" s="92"/>
      <c r="AQ26" s="92"/>
      <c r="AR26" s="92"/>
      <c r="AS26" s="92"/>
      <c r="AT26" s="93"/>
      <c r="AU26" s="94"/>
      <c r="AV26" s="1961">
        <f t="shared" si="37"/>
        <v>0</v>
      </c>
      <c r="AW26" s="1961">
        <f t="shared" si="38"/>
        <v>0</v>
      </c>
      <c r="AX26" s="1961" t="str">
        <f t="shared" si="39"/>
        <v>04-14#住宅</v>
      </c>
      <c r="AY26" s="95">
        <f t="shared" si="40"/>
        <v>1749.8</v>
      </c>
      <c r="AZ26" s="87">
        <f t="shared" si="41"/>
        <v>6478.55</v>
      </c>
      <c r="BA26" s="87">
        <f t="shared" si="42"/>
        <v>6473.67</v>
      </c>
      <c r="BB26" s="87">
        <f t="shared" si="43"/>
        <v>6065.82</v>
      </c>
      <c r="BC26" s="87">
        <f t="shared" si="44"/>
        <v>0</v>
      </c>
      <c r="BD26" s="87">
        <f t="shared" si="45"/>
        <v>407.85</v>
      </c>
      <c r="BE26" s="87">
        <f t="shared" si="46"/>
        <v>0</v>
      </c>
      <c r="BF26" s="87">
        <f t="shared" si="47"/>
        <v>0</v>
      </c>
      <c r="BG26" s="87">
        <f t="shared" si="48"/>
        <v>0</v>
      </c>
      <c r="BH26" s="87">
        <f t="shared" si="49"/>
        <v>0</v>
      </c>
      <c r="BI26" s="87">
        <f t="shared" si="50"/>
        <v>0</v>
      </c>
      <c r="BJ26" s="87">
        <f t="shared" si="51"/>
        <v>0</v>
      </c>
      <c r="BK26" s="87">
        <f t="shared" si="52"/>
        <v>0</v>
      </c>
      <c r="BL26" s="87">
        <f t="shared" si="53"/>
        <v>4.88</v>
      </c>
      <c r="BM26" s="87">
        <f t="shared" si="54"/>
        <v>0</v>
      </c>
      <c r="BN26" s="87">
        <f t="shared" si="55"/>
        <v>0</v>
      </c>
      <c r="BO26" s="87">
        <f t="shared" si="56"/>
        <v>0</v>
      </c>
      <c r="BP26" s="87">
        <f t="shared" si="57"/>
        <v>0</v>
      </c>
      <c r="BQ26" s="87">
        <f t="shared" si="58"/>
        <v>0</v>
      </c>
      <c r="BR26" s="87">
        <f t="shared" si="59"/>
        <v>4.88</v>
      </c>
      <c r="BS26" s="87">
        <f t="shared" si="60"/>
        <v>0</v>
      </c>
      <c r="BT26" s="96">
        <f t="shared" si="61"/>
        <v>0</v>
      </c>
    </row>
    <row r="27" spans="1:72" ht="12.75" customHeight="1">
      <c r="A27" s="84"/>
      <c r="B27" s="1387"/>
      <c r="C27" s="2963" t="str">
        <f>面积表!B42</f>
        <v>04-15#住宅</v>
      </c>
      <c r="D27" s="2964" t="s">
        <v>1678</v>
      </c>
      <c r="E27" s="87">
        <f t="shared" si="33"/>
        <v>1408.13</v>
      </c>
      <c r="F27" s="88"/>
      <c r="G27" s="89">
        <f t="shared" si="34"/>
        <v>5213.51</v>
      </c>
      <c r="H27" s="90">
        <f t="shared" si="35"/>
        <v>5192.87</v>
      </c>
      <c r="I27" s="2965">
        <f>面积表!E42</f>
        <v>4766.1099999999997</v>
      </c>
      <c r="J27" s="91"/>
      <c r="K27" s="1390"/>
      <c r="L27" s="91"/>
      <c r="M27" s="2965">
        <f>面积表!J42</f>
        <v>426.76</v>
      </c>
      <c r="N27" s="91"/>
      <c r="O27" s="91"/>
      <c r="P27" s="91"/>
      <c r="Q27" s="91"/>
      <c r="R27" s="91"/>
      <c r="S27" s="91"/>
      <c r="T27" s="91"/>
      <c r="U27" s="91"/>
      <c r="V27" s="91"/>
      <c r="W27" s="91"/>
      <c r="X27" s="91"/>
      <c r="Y27" s="91"/>
      <c r="Z27" s="91"/>
      <c r="AA27" s="91"/>
      <c r="AB27" s="91"/>
      <c r="AC27" s="87">
        <f t="shared" si="36"/>
        <v>20.64</v>
      </c>
      <c r="AD27" s="2969"/>
      <c r="AE27" s="92"/>
      <c r="AF27" s="1391"/>
      <c r="AG27" s="92"/>
      <c r="AH27" s="2969"/>
      <c r="AI27" s="92"/>
      <c r="AJ27" s="2969"/>
      <c r="AK27" s="92"/>
      <c r="AL27" s="2969"/>
      <c r="AM27" s="92"/>
      <c r="AN27" s="2969">
        <f>面积表!L42</f>
        <v>20.64</v>
      </c>
      <c r="AO27" s="92"/>
      <c r="AP27" s="92"/>
      <c r="AQ27" s="92"/>
      <c r="AR27" s="92"/>
      <c r="AS27" s="92"/>
      <c r="AT27" s="93"/>
      <c r="AU27" s="94"/>
      <c r="AV27" s="1961">
        <f t="shared" si="37"/>
        <v>0</v>
      </c>
      <c r="AW27" s="1961">
        <f t="shared" si="38"/>
        <v>0</v>
      </c>
      <c r="AX27" s="1961" t="str">
        <f t="shared" si="39"/>
        <v>04-15#住宅</v>
      </c>
      <c r="AY27" s="95">
        <f t="shared" si="40"/>
        <v>1408.13</v>
      </c>
      <c r="AZ27" s="87">
        <f t="shared" si="41"/>
        <v>5213.51</v>
      </c>
      <c r="BA27" s="87">
        <f t="shared" si="42"/>
        <v>5192.87</v>
      </c>
      <c r="BB27" s="87">
        <f t="shared" si="43"/>
        <v>4766.1099999999997</v>
      </c>
      <c r="BC27" s="87">
        <f t="shared" si="44"/>
        <v>0</v>
      </c>
      <c r="BD27" s="87">
        <f t="shared" si="45"/>
        <v>426.76</v>
      </c>
      <c r="BE27" s="87">
        <f t="shared" si="46"/>
        <v>0</v>
      </c>
      <c r="BF27" s="87">
        <f t="shared" si="47"/>
        <v>0</v>
      </c>
      <c r="BG27" s="87">
        <f t="shared" si="48"/>
        <v>0</v>
      </c>
      <c r="BH27" s="87">
        <f t="shared" si="49"/>
        <v>0</v>
      </c>
      <c r="BI27" s="87">
        <f t="shared" si="50"/>
        <v>0</v>
      </c>
      <c r="BJ27" s="87">
        <f t="shared" si="51"/>
        <v>0</v>
      </c>
      <c r="BK27" s="87">
        <f t="shared" si="52"/>
        <v>0</v>
      </c>
      <c r="BL27" s="87">
        <f t="shared" si="53"/>
        <v>20.64</v>
      </c>
      <c r="BM27" s="87">
        <f t="shared" si="54"/>
        <v>0</v>
      </c>
      <c r="BN27" s="87">
        <f t="shared" si="55"/>
        <v>0</v>
      </c>
      <c r="BO27" s="87">
        <f t="shared" si="56"/>
        <v>0</v>
      </c>
      <c r="BP27" s="87">
        <f t="shared" si="57"/>
        <v>0</v>
      </c>
      <c r="BQ27" s="87">
        <f t="shared" si="58"/>
        <v>0</v>
      </c>
      <c r="BR27" s="87">
        <f t="shared" si="59"/>
        <v>20.64</v>
      </c>
      <c r="BS27" s="87">
        <f t="shared" si="60"/>
        <v>0</v>
      </c>
      <c r="BT27" s="96">
        <f t="shared" si="61"/>
        <v>0</v>
      </c>
    </row>
    <row r="28" spans="1:72" ht="12" customHeight="1">
      <c r="A28" s="84"/>
      <c r="B28" s="1387"/>
      <c r="C28" s="2963" t="str">
        <f>面积表!B43</f>
        <v>04-16#住宅</v>
      </c>
      <c r="D28" s="2964" t="s">
        <v>1678</v>
      </c>
      <c r="E28" s="87">
        <f t="shared" si="33"/>
        <v>941.6</v>
      </c>
      <c r="F28" s="88"/>
      <c r="G28" s="89">
        <f t="shared" si="34"/>
        <v>3486.22</v>
      </c>
      <c r="H28" s="90">
        <f t="shared" si="35"/>
        <v>3486.22</v>
      </c>
      <c r="I28" s="2965">
        <f>面积表!E43</f>
        <v>3212.6</v>
      </c>
      <c r="J28" s="91"/>
      <c r="K28" s="1390"/>
      <c r="L28" s="91"/>
      <c r="M28" s="2965">
        <f>面积表!J43</f>
        <v>273.62</v>
      </c>
      <c r="N28" s="91"/>
      <c r="O28" s="91"/>
      <c r="P28" s="91"/>
      <c r="Q28" s="91"/>
      <c r="R28" s="91"/>
      <c r="S28" s="91"/>
      <c r="T28" s="91"/>
      <c r="U28" s="91"/>
      <c r="V28" s="91"/>
      <c r="W28" s="91"/>
      <c r="X28" s="91"/>
      <c r="Y28" s="91"/>
      <c r="Z28" s="91"/>
      <c r="AA28" s="91"/>
      <c r="AB28" s="91"/>
      <c r="AC28" s="87">
        <f t="shared" si="36"/>
        <v>0</v>
      </c>
      <c r="AD28" s="2969"/>
      <c r="AE28" s="92"/>
      <c r="AF28" s="1390"/>
      <c r="AG28" s="92"/>
      <c r="AH28" s="2969"/>
      <c r="AI28" s="92"/>
      <c r="AJ28" s="2969"/>
      <c r="AK28" s="92"/>
      <c r="AL28" s="2969"/>
      <c r="AM28" s="92"/>
      <c r="AN28" s="2969"/>
      <c r="AO28" s="92"/>
      <c r="AP28" s="92"/>
      <c r="AQ28" s="92"/>
      <c r="AR28" s="92"/>
      <c r="AS28" s="92"/>
      <c r="AT28" s="93"/>
      <c r="AU28" s="94"/>
      <c r="AV28" s="1961">
        <f t="shared" si="37"/>
        <v>0</v>
      </c>
      <c r="AW28" s="1961">
        <f t="shared" si="38"/>
        <v>0</v>
      </c>
      <c r="AX28" s="1961" t="str">
        <f t="shared" si="39"/>
        <v>04-16#住宅</v>
      </c>
      <c r="AY28" s="95">
        <f t="shared" si="40"/>
        <v>941.6</v>
      </c>
      <c r="AZ28" s="87">
        <f t="shared" si="41"/>
        <v>3486.22</v>
      </c>
      <c r="BA28" s="87">
        <f t="shared" si="42"/>
        <v>3486.22</v>
      </c>
      <c r="BB28" s="87">
        <f t="shared" si="43"/>
        <v>3212.6</v>
      </c>
      <c r="BC28" s="87">
        <f t="shared" si="44"/>
        <v>0</v>
      </c>
      <c r="BD28" s="87">
        <f t="shared" si="45"/>
        <v>273.62</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s="3223" customFormat="1" ht="14.25" customHeight="1">
      <c r="A29" s="3205"/>
      <c r="B29" s="3206"/>
      <c r="C29" s="3207" t="str">
        <f>面积表!B44</f>
        <v>04-S1#配套</v>
      </c>
      <c r="D29" s="3208" t="s">
        <v>2996</v>
      </c>
      <c r="E29" s="3209">
        <f t="shared" si="33"/>
        <v>0</v>
      </c>
      <c r="F29" s="3210"/>
      <c r="G29" s="3211">
        <f t="shared" si="34"/>
        <v>0</v>
      </c>
      <c r="H29" s="3212">
        <f t="shared" si="35"/>
        <v>0</v>
      </c>
      <c r="I29" s="3213"/>
      <c r="J29" s="3214"/>
      <c r="K29" s="3213"/>
      <c r="L29" s="3214"/>
      <c r="M29" s="3215"/>
      <c r="N29" s="3214"/>
      <c r="O29" s="3214"/>
      <c r="P29" s="3214"/>
      <c r="Q29" s="3214"/>
      <c r="R29" s="3214"/>
      <c r="S29" s="3214"/>
      <c r="T29" s="3214"/>
      <c r="U29" s="3214"/>
      <c r="V29" s="3214"/>
      <c r="W29" s="3214"/>
      <c r="X29" s="3214"/>
      <c r="Y29" s="3214"/>
      <c r="Z29" s="3214"/>
      <c r="AA29" s="3214"/>
      <c r="AB29" s="3214"/>
      <c r="AC29" s="3209">
        <f t="shared" si="36"/>
        <v>0</v>
      </c>
      <c r="AD29" s="3216"/>
      <c r="AE29" s="3217"/>
      <c r="AF29" s="3213"/>
      <c r="AG29" s="3217"/>
      <c r="AH29" s="3216"/>
      <c r="AI29" s="3217"/>
      <c r="AJ29" s="3216"/>
      <c r="AK29" s="3217"/>
      <c r="AL29" s="3216"/>
      <c r="AM29" s="3217"/>
      <c r="AN29" s="3216"/>
      <c r="AO29" s="3217"/>
      <c r="AP29" s="3217"/>
      <c r="AQ29" s="3217"/>
      <c r="AR29" s="3217"/>
      <c r="AS29" s="3217"/>
      <c r="AT29" s="3218"/>
      <c r="AU29" s="3219"/>
      <c r="AV29" s="3220">
        <f t="shared" si="37"/>
        <v>0</v>
      </c>
      <c r="AW29" s="3220">
        <f t="shared" si="38"/>
        <v>0</v>
      </c>
      <c r="AX29" s="3220" t="str">
        <f t="shared" si="39"/>
        <v>04-S1#配套</v>
      </c>
      <c r="AY29" s="3221">
        <f t="shared" si="40"/>
        <v>0</v>
      </c>
      <c r="AZ29" s="3209">
        <f t="shared" si="41"/>
        <v>0</v>
      </c>
      <c r="BA29" s="3209">
        <f t="shared" si="42"/>
        <v>0</v>
      </c>
      <c r="BB29" s="3209">
        <f t="shared" si="43"/>
        <v>0</v>
      </c>
      <c r="BC29" s="3209">
        <f t="shared" si="44"/>
        <v>0</v>
      </c>
      <c r="BD29" s="3209">
        <f t="shared" si="45"/>
        <v>0</v>
      </c>
      <c r="BE29" s="3209">
        <f t="shared" si="46"/>
        <v>0</v>
      </c>
      <c r="BF29" s="3209">
        <f t="shared" si="47"/>
        <v>0</v>
      </c>
      <c r="BG29" s="3209">
        <f t="shared" si="48"/>
        <v>0</v>
      </c>
      <c r="BH29" s="3209">
        <f t="shared" si="49"/>
        <v>0</v>
      </c>
      <c r="BI29" s="3209">
        <f t="shared" si="50"/>
        <v>0</v>
      </c>
      <c r="BJ29" s="3209">
        <f t="shared" si="51"/>
        <v>0</v>
      </c>
      <c r="BK29" s="3209">
        <f t="shared" si="52"/>
        <v>0</v>
      </c>
      <c r="BL29" s="3209">
        <f t="shared" si="53"/>
        <v>0</v>
      </c>
      <c r="BM29" s="3209">
        <f t="shared" si="54"/>
        <v>0</v>
      </c>
      <c r="BN29" s="3209">
        <f t="shared" si="55"/>
        <v>0</v>
      </c>
      <c r="BO29" s="3209">
        <f t="shared" si="56"/>
        <v>0</v>
      </c>
      <c r="BP29" s="3209">
        <f t="shared" si="57"/>
        <v>0</v>
      </c>
      <c r="BQ29" s="3209">
        <f t="shared" si="58"/>
        <v>0</v>
      </c>
      <c r="BR29" s="3209">
        <f t="shared" si="59"/>
        <v>0</v>
      </c>
      <c r="BS29" s="3209">
        <f t="shared" si="60"/>
        <v>0</v>
      </c>
      <c r="BT29" s="3222">
        <f t="shared" si="61"/>
        <v>0</v>
      </c>
    </row>
    <row r="30" spans="1:72" ht="14.25" customHeight="1">
      <c r="A30" s="84"/>
      <c r="B30" s="1387"/>
      <c r="C30" s="2963" t="str">
        <f>面积表!B45</f>
        <v>04-S2#配套</v>
      </c>
      <c r="D30" s="2964" t="s">
        <v>1678</v>
      </c>
      <c r="E30" s="87">
        <f t="shared" si="33"/>
        <v>135.11000000000001</v>
      </c>
      <c r="F30" s="88"/>
      <c r="G30" s="89">
        <f t="shared" si="34"/>
        <v>500.24</v>
      </c>
      <c r="H30" s="90">
        <f t="shared" si="35"/>
        <v>0</v>
      </c>
      <c r="I30" s="1390"/>
      <c r="J30" s="91"/>
      <c r="K30" s="1390"/>
      <c r="L30" s="91"/>
      <c r="M30" s="2965"/>
      <c r="N30" s="91"/>
      <c r="O30" s="91"/>
      <c r="P30" s="91"/>
      <c r="Q30" s="91"/>
      <c r="R30" s="91"/>
      <c r="S30" s="91"/>
      <c r="T30" s="91"/>
      <c r="U30" s="91"/>
      <c r="V30" s="91"/>
      <c r="W30" s="91"/>
      <c r="X30" s="91"/>
      <c r="Y30" s="91"/>
      <c r="Z30" s="91"/>
      <c r="AA30" s="91"/>
      <c r="AB30" s="91"/>
      <c r="AC30" s="87">
        <f t="shared" si="36"/>
        <v>500.24</v>
      </c>
      <c r="AD30" s="2969">
        <f>面积表!G45</f>
        <v>500.24</v>
      </c>
      <c r="AE30" s="92"/>
      <c r="AF30" s="1390"/>
      <c r="AG30" s="92"/>
      <c r="AH30" s="2969"/>
      <c r="AI30" s="92"/>
      <c r="AJ30" s="2969"/>
      <c r="AK30" s="92"/>
      <c r="AL30" s="2969"/>
      <c r="AM30" s="92"/>
      <c r="AN30" s="2969"/>
      <c r="AO30" s="92"/>
      <c r="AP30" s="92"/>
      <c r="AQ30" s="92"/>
      <c r="AR30" s="92"/>
      <c r="AS30" s="92"/>
      <c r="AT30" s="93"/>
      <c r="AU30" s="94"/>
      <c r="AV30" s="1961">
        <f t="shared" si="37"/>
        <v>0</v>
      </c>
      <c r="AW30" s="1961">
        <f t="shared" si="38"/>
        <v>0</v>
      </c>
      <c r="AX30" s="1961" t="str">
        <f t="shared" si="39"/>
        <v>04-S2#配套</v>
      </c>
      <c r="AY30" s="95">
        <f t="shared" si="40"/>
        <v>135.11000000000001</v>
      </c>
      <c r="AZ30" s="87">
        <f t="shared" si="41"/>
        <v>500.24</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500.24</v>
      </c>
      <c r="BM30" s="87">
        <f t="shared" si="54"/>
        <v>500.24</v>
      </c>
      <c r="BN30" s="87">
        <f t="shared" si="55"/>
        <v>0</v>
      </c>
      <c r="BO30" s="87">
        <f t="shared" si="56"/>
        <v>0</v>
      </c>
      <c r="BP30" s="87">
        <f t="shared" si="57"/>
        <v>0</v>
      </c>
      <c r="BQ30" s="87">
        <f t="shared" si="58"/>
        <v>0</v>
      </c>
      <c r="BR30" s="87">
        <f t="shared" si="59"/>
        <v>0</v>
      </c>
      <c r="BS30" s="87">
        <f t="shared" si="60"/>
        <v>0</v>
      </c>
      <c r="BT30" s="96">
        <f t="shared" si="61"/>
        <v>0</v>
      </c>
    </row>
    <row r="31" spans="1:72" ht="11.25" customHeight="1">
      <c r="A31" s="84"/>
      <c r="B31" s="1387"/>
      <c r="C31" s="2963" t="str">
        <f>面积表!B46</f>
        <v>04-S3#配套</v>
      </c>
      <c r="D31" s="2964" t="s">
        <v>1678</v>
      </c>
      <c r="E31" s="87">
        <f t="shared" si="33"/>
        <v>137.22999999999999</v>
      </c>
      <c r="F31" s="88"/>
      <c r="G31" s="89">
        <f t="shared" si="34"/>
        <v>508.09</v>
      </c>
      <c r="H31" s="90">
        <f t="shared" si="35"/>
        <v>0</v>
      </c>
      <c r="I31" s="1390"/>
      <c r="J31" s="91"/>
      <c r="K31" s="1390"/>
      <c r="L31" s="91"/>
      <c r="M31" s="2965"/>
      <c r="N31" s="91"/>
      <c r="O31" s="91"/>
      <c r="P31" s="91"/>
      <c r="Q31" s="91"/>
      <c r="R31" s="91"/>
      <c r="S31" s="91"/>
      <c r="T31" s="91"/>
      <c r="U31" s="91"/>
      <c r="V31" s="91"/>
      <c r="W31" s="91"/>
      <c r="X31" s="91"/>
      <c r="Y31" s="91"/>
      <c r="Z31" s="91"/>
      <c r="AA31" s="91"/>
      <c r="AB31" s="91"/>
      <c r="AC31" s="87">
        <f t="shared" si="36"/>
        <v>508.09</v>
      </c>
      <c r="AD31" s="2969">
        <f>面积表!G46</f>
        <v>500</v>
      </c>
      <c r="AE31" s="92"/>
      <c r="AF31" s="1390"/>
      <c r="AG31" s="92"/>
      <c r="AH31" s="2969"/>
      <c r="AI31" s="92"/>
      <c r="AJ31" s="2969"/>
      <c r="AK31" s="92"/>
      <c r="AL31" s="2969">
        <f>面积表!H46</f>
        <v>8.09</v>
      </c>
      <c r="AM31" s="92"/>
      <c r="AN31" s="2969"/>
      <c r="AO31" s="92"/>
      <c r="AP31" s="92"/>
      <c r="AQ31" s="92"/>
      <c r="AR31" s="92"/>
      <c r="AS31" s="92"/>
      <c r="AT31" s="93"/>
      <c r="AU31" s="94"/>
      <c r="AV31" s="1961">
        <f t="shared" si="37"/>
        <v>0</v>
      </c>
      <c r="AW31" s="1961">
        <f t="shared" si="38"/>
        <v>0</v>
      </c>
      <c r="AX31" s="1961" t="str">
        <f t="shared" si="39"/>
        <v>04-S3#配套</v>
      </c>
      <c r="AY31" s="95">
        <f t="shared" si="40"/>
        <v>137.22999999999999</v>
      </c>
      <c r="AZ31" s="87">
        <f t="shared" si="41"/>
        <v>508.09</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508.09</v>
      </c>
      <c r="BM31" s="87">
        <f t="shared" si="54"/>
        <v>500</v>
      </c>
      <c r="BN31" s="87">
        <f t="shared" si="55"/>
        <v>0</v>
      </c>
      <c r="BO31" s="87">
        <f t="shared" si="56"/>
        <v>0</v>
      </c>
      <c r="BP31" s="87">
        <f t="shared" si="57"/>
        <v>0</v>
      </c>
      <c r="BQ31" s="87">
        <f t="shared" si="58"/>
        <v>8.09</v>
      </c>
      <c r="BR31" s="87">
        <f t="shared" si="59"/>
        <v>0</v>
      </c>
      <c r="BS31" s="87">
        <f t="shared" si="60"/>
        <v>0</v>
      </c>
      <c r="BT31" s="96">
        <f t="shared" si="61"/>
        <v>0</v>
      </c>
    </row>
    <row r="32" spans="1:72" ht="13.5" customHeight="1">
      <c r="A32" s="84"/>
      <c r="B32" s="1387"/>
      <c r="C32" s="2963" t="str">
        <f>面积表!B47</f>
        <v>04-S4#配套</v>
      </c>
      <c r="D32" s="2964" t="s">
        <v>1678</v>
      </c>
      <c r="E32" s="87">
        <f t="shared" si="33"/>
        <v>141.62</v>
      </c>
      <c r="F32" s="88"/>
      <c r="G32" s="89">
        <f t="shared" si="34"/>
        <v>524.35</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524.35</v>
      </c>
      <c r="AD32" s="2969">
        <f>面积表!G47</f>
        <v>524.35</v>
      </c>
      <c r="AE32" s="92"/>
      <c r="AF32" s="1390"/>
      <c r="AG32" s="92"/>
      <c r="AH32" s="92"/>
      <c r="AI32" s="92"/>
      <c r="AJ32" s="2969"/>
      <c r="AK32" s="92"/>
      <c r="AL32" s="92"/>
      <c r="AM32" s="92"/>
      <c r="AN32" s="2969"/>
      <c r="AO32" s="92"/>
      <c r="AP32" s="92"/>
      <c r="AQ32" s="92"/>
      <c r="AR32" s="92"/>
      <c r="AS32" s="92"/>
      <c r="AT32" s="93"/>
      <c r="AU32" s="94"/>
      <c r="AV32" s="1961">
        <f t="shared" si="37"/>
        <v>0</v>
      </c>
      <c r="AW32" s="1961">
        <f t="shared" si="38"/>
        <v>0</v>
      </c>
      <c r="AX32" s="1961" t="str">
        <f t="shared" si="39"/>
        <v>04-S4#配套</v>
      </c>
      <c r="AY32" s="95">
        <f t="shared" si="40"/>
        <v>141.62</v>
      </c>
      <c r="AZ32" s="87">
        <f t="shared" si="41"/>
        <v>524.35</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524.35</v>
      </c>
      <c r="BM32" s="87">
        <f t="shared" si="54"/>
        <v>524.35</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7"/>
      <c r="C33" s="2963" t="str">
        <f>面积表!B48</f>
        <v>04-S5#配套</v>
      </c>
      <c r="D33" s="80" t="s">
        <v>1678</v>
      </c>
      <c r="E33" s="87">
        <f t="shared" si="33"/>
        <v>124.6</v>
      </c>
      <c r="F33" s="88"/>
      <c r="G33" s="89">
        <f t="shared" si="34"/>
        <v>461.32</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461.32</v>
      </c>
      <c r="AD33" s="2969"/>
      <c r="AE33" s="92"/>
      <c r="AF33" s="1390"/>
      <c r="AG33" s="92"/>
      <c r="AH33" s="92"/>
      <c r="AI33" s="92"/>
      <c r="AJ33" s="2969"/>
      <c r="AK33" s="92"/>
      <c r="AL33" s="92">
        <f>面积表!H48</f>
        <v>311.32</v>
      </c>
      <c r="AM33" s="92"/>
      <c r="AN33" s="92">
        <f>面积表!L48</f>
        <v>150</v>
      </c>
      <c r="AO33" s="92"/>
      <c r="AP33" s="92"/>
      <c r="AQ33" s="92"/>
      <c r="AR33" s="92"/>
      <c r="AS33" s="92"/>
      <c r="AT33" s="93"/>
      <c r="AU33" s="94"/>
      <c r="AV33" s="1961">
        <f t="shared" si="37"/>
        <v>0</v>
      </c>
      <c r="AW33" s="1961">
        <f t="shared" si="38"/>
        <v>0</v>
      </c>
      <c r="AX33" s="1961" t="str">
        <f t="shared" si="39"/>
        <v>04-S5#配套</v>
      </c>
      <c r="AY33" s="95">
        <f t="shared" si="40"/>
        <v>124.6</v>
      </c>
      <c r="AZ33" s="87">
        <f t="shared" si="41"/>
        <v>461.32</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461.32</v>
      </c>
      <c r="BM33" s="87">
        <f t="shared" si="54"/>
        <v>0</v>
      </c>
      <c r="BN33" s="87">
        <f t="shared" si="55"/>
        <v>0</v>
      </c>
      <c r="BO33" s="87">
        <f t="shared" si="56"/>
        <v>0</v>
      </c>
      <c r="BP33" s="87">
        <f t="shared" si="57"/>
        <v>0</v>
      </c>
      <c r="BQ33" s="87">
        <f t="shared" si="58"/>
        <v>311.32</v>
      </c>
      <c r="BR33" s="87">
        <f t="shared" si="59"/>
        <v>150</v>
      </c>
      <c r="BS33" s="87">
        <f t="shared" si="60"/>
        <v>0</v>
      </c>
      <c r="BT33" s="96">
        <f t="shared" si="61"/>
        <v>0</v>
      </c>
    </row>
    <row r="34" spans="1:72" ht="18.75" customHeight="1">
      <c r="A34" s="84"/>
      <c r="B34" s="1387"/>
      <c r="C34" s="2963" t="str">
        <f>面积表!B49</f>
        <v>04-17#地下车库</v>
      </c>
      <c r="D34" s="80" t="s">
        <v>1678</v>
      </c>
      <c r="E34" s="87">
        <f t="shared" si="33"/>
        <v>11397.4</v>
      </c>
      <c r="F34" s="88"/>
      <c r="G34" s="89">
        <f t="shared" si="34"/>
        <v>42198.27</v>
      </c>
      <c r="H34" s="90">
        <f t="shared" si="35"/>
        <v>33195.879999999997</v>
      </c>
      <c r="I34" s="1390"/>
      <c r="J34" s="91"/>
      <c r="K34" s="1390"/>
      <c r="L34" s="91"/>
      <c r="M34" s="91"/>
      <c r="N34" s="91"/>
      <c r="O34" s="91">
        <f>面积表!K49</f>
        <v>33195.879999999997</v>
      </c>
      <c r="P34" s="91"/>
      <c r="Q34" s="91"/>
      <c r="R34" s="91"/>
      <c r="S34" s="91"/>
      <c r="T34" s="91"/>
      <c r="U34" s="91"/>
      <c r="V34" s="91"/>
      <c r="W34" s="91"/>
      <c r="X34" s="91"/>
      <c r="Y34" s="91"/>
      <c r="Z34" s="91"/>
      <c r="AA34" s="91"/>
      <c r="AB34" s="91"/>
      <c r="AC34" s="87">
        <f t="shared" si="36"/>
        <v>9002.39</v>
      </c>
      <c r="AD34" s="2969"/>
      <c r="AE34" s="92"/>
      <c r="AF34" s="1390">
        <f>面积表!N49</f>
        <v>1077.3900000000001</v>
      </c>
      <c r="AG34" s="92"/>
      <c r="AH34" s="92"/>
      <c r="AI34" s="92"/>
      <c r="AJ34" s="2969"/>
      <c r="AK34" s="92"/>
      <c r="AL34" s="92"/>
      <c r="AM34" s="92"/>
      <c r="AN34" s="92">
        <f>面积表!L49</f>
        <v>7925</v>
      </c>
      <c r="AO34" s="92"/>
      <c r="AP34" s="92"/>
      <c r="AQ34" s="92"/>
      <c r="AR34" s="92"/>
      <c r="AS34" s="92"/>
      <c r="AT34" s="93"/>
      <c r="AU34" s="94"/>
      <c r="AV34" s="1961">
        <f t="shared" si="37"/>
        <v>0</v>
      </c>
      <c r="AW34" s="1961">
        <f t="shared" si="38"/>
        <v>0</v>
      </c>
      <c r="AX34" s="1961" t="str">
        <f t="shared" si="39"/>
        <v>04-17#地下车库</v>
      </c>
      <c r="AY34" s="95">
        <f t="shared" si="40"/>
        <v>11397.4</v>
      </c>
      <c r="AZ34" s="87">
        <f t="shared" si="41"/>
        <v>42198.27</v>
      </c>
      <c r="BA34" s="87">
        <f t="shared" si="42"/>
        <v>33195.879999999997</v>
      </c>
      <c r="BB34" s="87">
        <f t="shared" si="43"/>
        <v>0</v>
      </c>
      <c r="BC34" s="87">
        <f t="shared" si="44"/>
        <v>0</v>
      </c>
      <c r="BD34" s="87">
        <f t="shared" si="45"/>
        <v>0</v>
      </c>
      <c r="BE34" s="87">
        <f t="shared" si="46"/>
        <v>33195.879999999997</v>
      </c>
      <c r="BF34" s="87">
        <f t="shared" si="47"/>
        <v>0</v>
      </c>
      <c r="BG34" s="87">
        <f t="shared" si="48"/>
        <v>0</v>
      </c>
      <c r="BH34" s="87">
        <f t="shared" si="49"/>
        <v>0</v>
      </c>
      <c r="BI34" s="87">
        <f t="shared" si="50"/>
        <v>0</v>
      </c>
      <c r="BJ34" s="87">
        <f t="shared" si="51"/>
        <v>0</v>
      </c>
      <c r="BK34" s="87">
        <f t="shared" si="52"/>
        <v>0</v>
      </c>
      <c r="BL34" s="87">
        <f t="shared" si="53"/>
        <v>9002.39</v>
      </c>
      <c r="BM34" s="87">
        <f t="shared" si="54"/>
        <v>0</v>
      </c>
      <c r="BN34" s="87">
        <f t="shared" si="55"/>
        <v>1077.3900000000001</v>
      </c>
      <c r="BO34" s="87">
        <f t="shared" si="56"/>
        <v>0</v>
      </c>
      <c r="BP34" s="87">
        <f t="shared" si="57"/>
        <v>0</v>
      </c>
      <c r="BQ34" s="87">
        <f t="shared" si="58"/>
        <v>0</v>
      </c>
      <c r="BR34" s="87">
        <f t="shared" si="59"/>
        <v>7925</v>
      </c>
      <c r="BS34" s="87">
        <f t="shared" si="60"/>
        <v>0</v>
      </c>
      <c r="BT34" s="96">
        <f t="shared" si="61"/>
        <v>0</v>
      </c>
    </row>
    <row r="35" spans="1:72">
      <c r="A35" s="84"/>
      <c r="B35" s="1387"/>
      <c r="C35" s="2963"/>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2963"/>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3" t="s">
        <v>0</v>
      </c>
      <c r="B1" s="3293" t="s">
        <v>4</v>
      </c>
      <c r="C1" s="3293" t="s">
        <v>5</v>
      </c>
      <c r="D1" s="3294" t="s">
        <v>40</v>
      </c>
      <c r="E1" s="3294" t="s">
        <v>41</v>
      </c>
      <c r="F1" s="3294"/>
      <c r="G1" s="3294"/>
      <c r="H1" s="3294"/>
      <c r="I1" s="3294"/>
      <c r="J1" s="3294"/>
      <c r="K1" s="3294"/>
      <c r="L1" s="3294"/>
      <c r="M1" s="3294"/>
    </row>
    <row r="2" spans="1:13" ht="27" customHeight="1">
      <c r="A2" s="3293"/>
      <c r="B2" s="3293"/>
      <c r="C2" s="3293"/>
      <c r="D2" s="3294"/>
      <c r="E2" s="3294" t="s">
        <v>24</v>
      </c>
      <c r="F2" s="3294" t="s">
        <v>25</v>
      </c>
      <c r="G2" s="3294"/>
      <c r="H2" s="3294"/>
      <c r="I2" s="3294"/>
      <c r="J2" s="3294" t="s">
        <v>26</v>
      </c>
      <c r="K2" s="3294"/>
      <c r="L2" s="3294"/>
      <c r="M2" s="3294"/>
    </row>
    <row r="3" spans="1:13" ht="28.5">
      <c r="A3" s="3293"/>
      <c r="B3" s="3293"/>
      <c r="C3" s="3293"/>
      <c r="D3" s="3294"/>
      <c r="E3" s="329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4" t="s">
        <v>42</v>
      </c>
      <c r="B9" s="3294"/>
      <c r="C9" s="329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6"/>
  <sheetViews>
    <sheetView topLeftCell="A25" workbookViewId="0">
      <selection activeCell="E50" sqref="E50"/>
    </sheetView>
  </sheetViews>
  <sheetFormatPr defaultRowHeight="13.5"/>
  <cols>
    <col min="2" max="2" width="15.375" customWidth="1"/>
    <col min="3" max="3" width="11.375" customWidth="1"/>
    <col min="15" max="15" width="9.5" bestFit="1" customWidth="1"/>
    <col min="17" max="17" width="9.5" bestFit="1" customWidth="1"/>
  </cols>
  <sheetData>
    <row r="1" spans="2:15">
      <c r="B1" s="3199" t="s">
        <v>3214</v>
      </c>
      <c r="D1" s="3180" t="s">
        <v>3036</v>
      </c>
    </row>
    <row r="2" spans="2:15">
      <c r="D2" s="3180" t="s">
        <v>3004</v>
      </c>
      <c r="F2" s="3180"/>
      <c r="G2" s="3180"/>
      <c r="H2" s="3180"/>
      <c r="I2" s="3180" t="s">
        <v>3006</v>
      </c>
      <c r="K2" s="3180"/>
    </row>
    <row r="3" spans="2:15">
      <c r="B3" s="3180" t="s">
        <v>3037</v>
      </c>
      <c r="C3" s="3180" t="s">
        <v>3035</v>
      </c>
      <c r="D3" s="3180" t="s">
        <v>3034</v>
      </c>
      <c r="E3" s="3180" t="s">
        <v>3007</v>
      </c>
      <c r="F3" s="3180" t="s">
        <v>3012</v>
      </c>
      <c r="G3" s="3180" t="s">
        <v>3011</v>
      </c>
      <c r="H3" s="3180" t="s">
        <v>3010</v>
      </c>
      <c r="I3" s="3180" t="s">
        <v>3034</v>
      </c>
      <c r="J3" s="3180" t="s">
        <v>3008</v>
      </c>
      <c r="K3" s="3180" t="s">
        <v>3032</v>
      </c>
      <c r="L3" s="3180" t="s">
        <v>3009</v>
      </c>
      <c r="M3" s="3180" t="s">
        <v>3012</v>
      </c>
      <c r="N3" s="3180" t="s">
        <v>3011</v>
      </c>
      <c r="O3" s="3180" t="s">
        <v>3033</v>
      </c>
    </row>
    <row r="4" spans="2:15">
      <c r="B4" s="3180" t="s">
        <v>3013</v>
      </c>
      <c r="C4">
        <f>D4+I4</f>
        <v>5087.3599999999997</v>
      </c>
      <c r="D4">
        <f>SUM(E4:H4)</f>
        <v>4789.7699999999995</v>
      </c>
      <c r="E4">
        <v>4744.3599999999997</v>
      </c>
      <c r="H4">
        <v>45.41</v>
      </c>
      <c r="I4">
        <f>SUM(J4:N4)</f>
        <v>297.58999999999997</v>
      </c>
      <c r="J4">
        <v>293.56</v>
      </c>
      <c r="L4">
        <v>4.03</v>
      </c>
    </row>
    <row r="5" spans="2:15">
      <c r="B5" s="3180" t="s">
        <v>3014</v>
      </c>
      <c r="C5">
        <f t="shared" ref="C5:C21" si="0">D5+I5</f>
        <v>5047.17</v>
      </c>
      <c r="D5">
        <f t="shared" ref="D5:D22" si="1">SUM(E5:H5)</f>
        <v>4745.99</v>
      </c>
      <c r="E5">
        <v>4745.99</v>
      </c>
      <c r="I5">
        <f t="shared" ref="I5:I22" si="2">SUM(J5:N5)</f>
        <v>301.18</v>
      </c>
      <c r="J5">
        <v>275.98</v>
      </c>
      <c r="L5">
        <v>25.2</v>
      </c>
    </row>
    <row r="6" spans="2:15">
      <c r="B6" s="3180" t="s">
        <v>3015</v>
      </c>
      <c r="C6">
        <f t="shared" si="0"/>
        <v>5022.99</v>
      </c>
      <c r="D6">
        <f t="shared" si="1"/>
        <v>4745.99</v>
      </c>
      <c r="E6">
        <v>4745.99</v>
      </c>
      <c r="I6">
        <f t="shared" si="2"/>
        <v>277</v>
      </c>
      <c r="J6">
        <v>272.5</v>
      </c>
      <c r="L6">
        <v>4.5</v>
      </c>
    </row>
    <row r="7" spans="2:15">
      <c r="B7" s="3180" t="s">
        <v>3016</v>
      </c>
      <c r="C7">
        <f t="shared" si="0"/>
        <v>5440.7800000000007</v>
      </c>
      <c r="D7">
        <f t="shared" si="1"/>
        <v>5044.76</v>
      </c>
      <c r="E7">
        <v>5044.76</v>
      </c>
      <c r="I7">
        <f t="shared" si="2"/>
        <v>396.02000000000004</v>
      </c>
      <c r="J7">
        <v>377.42</v>
      </c>
      <c r="L7">
        <v>18.600000000000001</v>
      </c>
    </row>
    <row r="8" spans="2:15">
      <c r="B8" s="3180" t="s">
        <v>3017</v>
      </c>
      <c r="C8">
        <f t="shared" si="0"/>
        <v>6337.58</v>
      </c>
      <c r="D8">
        <f t="shared" si="1"/>
        <v>5927.95</v>
      </c>
      <c r="E8">
        <v>5927.95</v>
      </c>
      <c r="I8">
        <f t="shared" si="2"/>
        <v>409.63</v>
      </c>
      <c r="J8">
        <v>405.5</v>
      </c>
      <c r="L8">
        <v>4.13</v>
      </c>
    </row>
    <row r="9" spans="2:15">
      <c r="B9" s="3180" t="s">
        <v>3018</v>
      </c>
      <c r="C9">
        <f t="shared" si="0"/>
        <v>4714.7699999999995</v>
      </c>
      <c r="D9">
        <f t="shared" si="1"/>
        <v>4405.12</v>
      </c>
      <c r="E9">
        <v>4405.12</v>
      </c>
      <c r="I9">
        <f t="shared" si="2"/>
        <v>309.64999999999998</v>
      </c>
      <c r="J9">
        <v>305.06</v>
      </c>
      <c r="L9">
        <v>4.59</v>
      </c>
    </row>
    <row r="10" spans="2:15">
      <c r="B10" s="3180" t="s">
        <v>3019</v>
      </c>
      <c r="C10">
        <f t="shared" si="0"/>
        <v>5055.78</v>
      </c>
      <c r="D10">
        <f t="shared" si="1"/>
        <v>4746.13</v>
      </c>
      <c r="E10">
        <v>4746.13</v>
      </c>
      <c r="I10">
        <f t="shared" si="2"/>
        <v>309.64999999999998</v>
      </c>
      <c r="J10">
        <v>305.06</v>
      </c>
      <c r="L10">
        <v>4.59</v>
      </c>
    </row>
    <row r="11" spans="2:15">
      <c r="B11" s="3180" t="s">
        <v>3020</v>
      </c>
      <c r="C11">
        <f t="shared" si="0"/>
        <v>4031.66</v>
      </c>
      <c r="D11">
        <f t="shared" si="1"/>
        <v>3753.16</v>
      </c>
      <c r="E11">
        <v>3753.16</v>
      </c>
      <c r="I11">
        <f t="shared" si="2"/>
        <v>278.5</v>
      </c>
      <c r="J11">
        <v>274.37</v>
      </c>
      <c r="L11">
        <v>4.13</v>
      </c>
    </row>
    <row r="12" spans="2:15">
      <c r="B12" s="3180" t="s">
        <v>3021</v>
      </c>
      <c r="C12">
        <f t="shared" si="0"/>
        <v>5256.44</v>
      </c>
      <c r="D12">
        <f t="shared" si="1"/>
        <v>4869.1099999999997</v>
      </c>
      <c r="E12">
        <v>4869.1099999999997</v>
      </c>
      <c r="I12">
        <f t="shared" si="2"/>
        <v>387.33000000000004</v>
      </c>
      <c r="J12">
        <v>368.73</v>
      </c>
      <c r="L12">
        <v>18.600000000000001</v>
      </c>
    </row>
    <row r="13" spans="2:15">
      <c r="B13" s="3180" t="s">
        <v>3022</v>
      </c>
      <c r="C13">
        <f t="shared" si="0"/>
        <v>5429.63</v>
      </c>
      <c r="D13">
        <f t="shared" si="1"/>
        <v>4986.66</v>
      </c>
      <c r="E13">
        <v>4986.66</v>
      </c>
      <c r="I13">
        <f t="shared" si="2"/>
        <v>442.97</v>
      </c>
      <c r="J13">
        <v>419.73</v>
      </c>
      <c r="L13">
        <v>23.24</v>
      </c>
    </row>
    <row r="14" spans="2:15">
      <c r="B14" s="3180" t="s">
        <v>3023</v>
      </c>
      <c r="C14">
        <f t="shared" si="0"/>
        <v>3356.7999999999997</v>
      </c>
      <c r="D14">
        <f t="shared" si="1"/>
        <v>3029.97</v>
      </c>
      <c r="E14">
        <v>3029.97</v>
      </c>
      <c r="I14">
        <f t="shared" si="2"/>
        <v>326.83000000000004</v>
      </c>
      <c r="J14">
        <v>323.11</v>
      </c>
      <c r="L14">
        <v>3.72</v>
      </c>
    </row>
    <row r="15" spans="2:15">
      <c r="B15" s="3180" t="s">
        <v>3024</v>
      </c>
      <c r="C15">
        <f t="shared" si="0"/>
        <v>3356.7999999999997</v>
      </c>
      <c r="D15">
        <f t="shared" si="1"/>
        <v>3029.97</v>
      </c>
      <c r="E15">
        <v>3029.97</v>
      </c>
      <c r="I15">
        <f t="shared" si="2"/>
        <v>326.83000000000004</v>
      </c>
      <c r="J15">
        <v>323.11</v>
      </c>
      <c r="L15">
        <v>3.72</v>
      </c>
    </row>
    <row r="16" spans="2:15">
      <c r="B16" s="3180" t="s">
        <v>3025</v>
      </c>
      <c r="C16">
        <f t="shared" si="0"/>
        <v>2763.4700000000003</v>
      </c>
      <c r="D16">
        <f t="shared" si="1"/>
        <v>2600.5100000000002</v>
      </c>
      <c r="E16">
        <v>2600.5100000000002</v>
      </c>
      <c r="I16">
        <f t="shared" si="2"/>
        <v>162.96</v>
      </c>
      <c r="L16">
        <v>162.96</v>
      </c>
    </row>
    <row r="17" spans="2:15">
      <c r="B17" s="3180" t="s">
        <v>3026</v>
      </c>
      <c r="C17">
        <f t="shared" si="0"/>
        <v>2514.4499999999998</v>
      </c>
      <c r="D17">
        <f t="shared" si="1"/>
        <v>2364.23</v>
      </c>
      <c r="E17">
        <v>2364.23</v>
      </c>
      <c r="I17">
        <f t="shared" si="2"/>
        <v>150.22</v>
      </c>
      <c r="L17">
        <v>150.22</v>
      </c>
    </row>
    <row r="18" spans="2:15">
      <c r="B18" s="3180" t="s">
        <v>3027</v>
      </c>
      <c r="C18">
        <f t="shared" si="0"/>
        <v>2890.64</v>
      </c>
      <c r="D18">
        <f t="shared" si="1"/>
        <v>2640.71</v>
      </c>
      <c r="E18">
        <v>2640.71</v>
      </c>
      <c r="I18">
        <f t="shared" si="2"/>
        <v>249.93</v>
      </c>
      <c r="J18">
        <v>228.44</v>
      </c>
      <c r="L18">
        <v>21.49</v>
      </c>
    </row>
    <row r="19" spans="2:15">
      <c r="B19" s="3180" t="s">
        <v>3028</v>
      </c>
      <c r="C19">
        <f t="shared" si="0"/>
        <v>946.68000000000006</v>
      </c>
      <c r="D19">
        <f t="shared" si="1"/>
        <v>690</v>
      </c>
      <c r="G19">
        <f>350+200+120+20</f>
        <v>690</v>
      </c>
      <c r="I19">
        <f t="shared" si="2"/>
        <v>256.68</v>
      </c>
      <c r="N19">
        <f>156.68+100</f>
        <v>256.68</v>
      </c>
    </row>
    <row r="20" spans="2:15">
      <c r="B20" s="3180" t="s">
        <v>3029</v>
      </c>
      <c r="C20">
        <f t="shared" si="0"/>
        <v>418.06</v>
      </c>
      <c r="D20">
        <f t="shared" si="1"/>
        <v>356</v>
      </c>
      <c r="E20" s="3180"/>
      <c r="F20" s="3180">
        <v>100</v>
      </c>
      <c r="G20" s="3180">
        <f>43+213</f>
        <v>256</v>
      </c>
      <c r="I20">
        <f t="shared" si="2"/>
        <v>62.06</v>
      </c>
      <c r="M20">
        <v>62.06</v>
      </c>
    </row>
    <row r="21" spans="2:15">
      <c r="B21" s="3180" t="s">
        <v>3030</v>
      </c>
      <c r="C21">
        <f t="shared" si="0"/>
        <v>1000</v>
      </c>
      <c r="D21">
        <f t="shared" si="1"/>
        <v>1000</v>
      </c>
      <c r="G21">
        <v>1000</v>
      </c>
      <c r="I21">
        <f t="shared" si="2"/>
        <v>0</v>
      </c>
    </row>
    <row r="22" spans="2:15">
      <c r="B22" s="3180" t="s">
        <v>3031</v>
      </c>
      <c r="C22">
        <f>D22+I22</f>
        <v>34895.67</v>
      </c>
      <c r="D22">
        <f t="shared" si="1"/>
        <v>17.97</v>
      </c>
      <c r="H22">
        <v>17.97</v>
      </c>
      <c r="I22">
        <f t="shared" si="2"/>
        <v>34877.699999999997</v>
      </c>
      <c r="K22">
        <f>32561.66-5991</f>
        <v>26570.66</v>
      </c>
      <c r="L22">
        <v>7341.04</v>
      </c>
      <c r="N22">
        <v>966</v>
      </c>
      <c r="O22">
        <f>49+49+5991</f>
        <v>6089</v>
      </c>
    </row>
    <row r="23" spans="2:15">
      <c r="B23" s="3180" t="s">
        <v>3237</v>
      </c>
      <c r="C23">
        <f>SUM(C4:C22)</f>
        <v>103566.73</v>
      </c>
      <c r="D23">
        <f t="shared" ref="D23:O23" si="3">SUM(D4:D22)</f>
        <v>63744.000000000007</v>
      </c>
      <c r="E23">
        <f t="shared" si="3"/>
        <v>61634.62</v>
      </c>
      <c r="F23">
        <f t="shared" si="3"/>
        <v>100</v>
      </c>
      <c r="G23">
        <f t="shared" si="3"/>
        <v>1946</v>
      </c>
      <c r="H23">
        <f t="shared" si="3"/>
        <v>63.379999999999995</v>
      </c>
      <c r="I23">
        <f t="shared" si="3"/>
        <v>39822.729999999996</v>
      </c>
      <c r="J23">
        <f t="shared" si="3"/>
        <v>4172.57</v>
      </c>
      <c r="K23">
        <f t="shared" si="3"/>
        <v>26570.66</v>
      </c>
      <c r="L23">
        <f t="shared" si="3"/>
        <v>7794.76</v>
      </c>
      <c r="M23">
        <f t="shared" si="3"/>
        <v>62.06</v>
      </c>
      <c r="N23">
        <f t="shared" si="3"/>
        <v>1222.68</v>
      </c>
      <c r="O23">
        <f t="shared" si="3"/>
        <v>6089</v>
      </c>
    </row>
    <row r="25" spans="2:15">
      <c r="B25" s="3199" t="s">
        <v>3213</v>
      </c>
      <c r="C25" s="3295" t="s">
        <v>3036</v>
      </c>
      <c r="D25" s="3295"/>
      <c r="E25" s="3295"/>
      <c r="F25" s="3295"/>
      <c r="G25" s="3295"/>
      <c r="H25" s="3295"/>
      <c r="I25" s="3295"/>
      <c r="J25" s="3295"/>
      <c r="K25" s="3295"/>
      <c r="L25" s="3295"/>
      <c r="M25" s="3295"/>
      <c r="N25" s="3295"/>
    </row>
    <row r="26" spans="2:15">
      <c r="C26" s="3295" t="s">
        <v>3035</v>
      </c>
      <c r="D26" s="3295" t="s">
        <v>3004</v>
      </c>
      <c r="E26" s="3295"/>
      <c r="F26" s="3295"/>
      <c r="G26" s="3295"/>
      <c r="H26" s="3295"/>
      <c r="I26" s="3295" t="s">
        <v>3006</v>
      </c>
      <c r="J26" s="3295"/>
      <c r="K26" s="3295"/>
      <c r="L26" s="3295"/>
      <c r="M26" s="3295"/>
      <c r="N26" s="3295"/>
    </row>
    <row r="27" spans="2:15">
      <c r="B27" s="3180" t="s">
        <v>3037</v>
      </c>
      <c r="C27" s="3295"/>
      <c r="D27" s="3180" t="s">
        <v>3034</v>
      </c>
      <c r="E27" s="3180" t="s">
        <v>3007</v>
      </c>
      <c r="F27" s="3180" t="s">
        <v>3012</v>
      </c>
      <c r="G27" s="3180" t="s">
        <v>3011</v>
      </c>
      <c r="H27" s="3180" t="s">
        <v>3010</v>
      </c>
      <c r="I27" s="3180" t="s">
        <v>3034</v>
      </c>
      <c r="J27" s="3180" t="s">
        <v>3008</v>
      </c>
      <c r="K27" s="3180" t="s">
        <v>3032</v>
      </c>
      <c r="L27" s="3180" t="s">
        <v>3009</v>
      </c>
      <c r="M27" s="3180" t="s">
        <v>3012</v>
      </c>
      <c r="N27" s="3180" t="s">
        <v>3011</v>
      </c>
      <c r="O27" s="3180" t="s">
        <v>3033</v>
      </c>
    </row>
    <row r="28" spans="2:15">
      <c r="B28" s="3180" t="s">
        <v>3215</v>
      </c>
      <c r="C28">
        <f>D28+I28</f>
        <v>9653.2199999999993</v>
      </c>
      <c r="D28">
        <f>SUM(E28:H28)</f>
        <v>9107.39</v>
      </c>
      <c r="E28">
        <v>9067.4699999999993</v>
      </c>
      <c r="H28">
        <v>39.92</v>
      </c>
      <c r="I28">
        <f>SUM(J28:N28)</f>
        <v>545.82999999999993</v>
      </c>
      <c r="J28">
        <v>540.77</v>
      </c>
      <c r="L28">
        <v>5.0599999999999996</v>
      </c>
    </row>
    <row r="29" spans="2:15">
      <c r="B29" s="3180" t="s">
        <v>3216</v>
      </c>
      <c r="C29">
        <f t="shared" ref="C29:C49" si="4">D29+I29</f>
        <v>5522.35</v>
      </c>
      <c r="D29">
        <f t="shared" ref="D29:D49" si="5">SUM(E29:H29)</f>
        <v>5199.92</v>
      </c>
      <c r="E29">
        <v>5199.92</v>
      </c>
      <c r="I29">
        <f t="shared" ref="I29:I49" si="6">SUM(J29:N29)</f>
        <v>322.43</v>
      </c>
      <c r="J29">
        <v>317.64</v>
      </c>
      <c r="L29">
        <v>4.79</v>
      </c>
    </row>
    <row r="30" spans="2:15">
      <c r="B30" s="3180" t="s">
        <v>3217</v>
      </c>
      <c r="C30">
        <f t="shared" si="4"/>
        <v>5522.35</v>
      </c>
      <c r="D30">
        <f t="shared" si="5"/>
        <v>5199.92</v>
      </c>
      <c r="E30">
        <v>5199.92</v>
      </c>
      <c r="I30">
        <f t="shared" si="6"/>
        <v>322.43</v>
      </c>
      <c r="J30">
        <v>317.64</v>
      </c>
      <c r="L30">
        <v>4.79</v>
      </c>
      <c r="O30">
        <v>12.56</v>
      </c>
    </row>
    <row r="31" spans="2:15">
      <c r="B31" s="3180" t="s">
        <v>3218</v>
      </c>
      <c r="C31">
        <f t="shared" si="4"/>
        <v>5465.03</v>
      </c>
      <c r="D31">
        <f t="shared" si="5"/>
        <v>5153.16</v>
      </c>
      <c r="E31">
        <v>5153.16</v>
      </c>
      <c r="I31">
        <f t="shared" si="6"/>
        <v>311.87</v>
      </c>
      <c r="J31">
        <v>311.87</v>
      </c>
    </row>
    <row r="32" spans="2:15">
      <c r="B32" s="3180" t="s">
        <v>3219</v>
      </c>
      <c r="C32">
        <f t="shared" si="4"/>
        <v>2086.58</v>
      </c>
      <c r="D32">
        <f t="shared" si="5"/>
        <v>1933.95</v>
      </c>
      <c r="E32">
        <v>1933.95</v>
      </c>
      <c r="I32">
        <f t="shared" si="6"/>
        <v>152.63</v>
      </c>
      <c r="J32">
        <v>123.42</v>
      </c>
      <c r="L32">
        <v>29.21</v>
      </c>
    </row>
    <row r="33" spans="2:12">
      <c r="B33" s="3180" t="s">
        <v>3220</v>
      </c>
      <c r="C33">
        <f t="shared" si="4"/>
        <v>5509.3899999999994</v>
      </c>
      <c r="D33">
        <f t="shared" si="5"/>
        <v>5184.87</v>
      </c>
      <c r="E33">
        <v>5184.87</v>
      </c>
      <c r="I33">
        <f t="shared" si="6"/>
        <v>324.52</v>
      </c>
      <c r="J33">
        <v>319.14999999999998</v>
      </c>
      <c r="L33">
        <v>5.37</v>
      </c>
    </row>
    <row r="34" spans="2:12">
      <c r="B34" s="3180" t="s">
        <v>3221</v>
      </c>
      <c r="C34">
        <f t="shared" si="4"/>
        <v>5509.3899999999994</v>
      </c>
      <c r="D34">
        <f t="shared" si="5"/>
        <v>5184.87</v>
      </c>
      <c r="E34">
        <v>5184.87</v>
      </c>
      <c r="I34">
        <f t="shared" si="6"/>
        <v>324.52</v>
      </c>
      <c r="J34">
        <v>319.14999999999998</v>
      </c>
      <c r="L34">
        <v>5.37</v>
      </c>
    </row>
    <row r="35" spans="2:12">
      <c r="B35" s="3180" t="s">
        <v>3222</v>
      </c>
      <c r="C35">
        <f t="shared" si="4"/>
        <v>8967.5</v>
      </c>
      <c r="D35">
        <f t="shared" si="5"/>
        <v>8376.19</v>
      </c>
      <c r="E35">
        <v>8376.19</v>
      </c>
      <c r="I35">
        <f t="shared" si="6"/>
        <v>591.31000000000006</v>
      </c>
      <c r="J35">
        <v>561.71</v>
      </c>
      <c r="L35">
        <v>29.6</v>
      </c>
    </row>
    <row r="36" spans="2:12">
      <c r="B36" s="3180" t="s">
        <v>3223</v>
      </c>
      <c r="C36">
        <f t="shared" si="4"/>
        <v>5418.7300000000005</v>
      </c>
      <c r="D36">
        <f t="shared" si="5"/>
        <v>5020.3100000000004</v>
      </c>
      <c r="E36">
        <v>5020.3100000000004</v>
      </c>
      <c r="I36">
        <f t="shared" si="6"/>
        <v>398.42</v>
      </c>
      <c r="J36">
        <v>379.82</v>
      </c>
      <c r="L36">
        <v>18.600000000000001</v>
      </c>
    </row>
    <row r="37" spans="2:12">
      <c r="B37" s="3180" t="s">
        <v>3224</v>
      </c>
      <c r="C37">
        <f t="shared" si="4"/>
        <v>5417.9400000000005</v>
      </c>
      <c r="D37">
        <f t="shared" si="5"/>
        <v>5019.5200000000004</v>
      </c>
      <c r="E37">
        <v>5019.5200000000004</v>
      </c>
      <c r="I37">
        <f t="shared" si="6"/>
        <v>398.42</v>
      </c>
      <c r="J37">
        <v>379.82</v>
      </c>
      <c r="L37">
        <v>18.600000000000001</v>
      </c>
    </row>
    <row r="38" spans="2:12">
      <c r="B38" s="3180" t="s">
        <v>3225</v>
      </c>
      <c r="C38">
        <f t="shared" si="4"/>
        <v>5037.03</v>
      </c>
      <c r="D38">
        <f t="shared" si="5"/>
        <v>4758.53</v>
      </c>
      <c r="E38">
        <v>4758.53</v>
      </c>
      <c r="I38">
        <f t="shared" si="6"/>
        <v>278.5</v>
      </c>
      <c r="J38">
        <v>278.5</v>
      </c>
    </row>
    <row r="39" spans="2:12">
      <c r="B39" s="3180" t="s">
        <v>3226</v>
      </c>
      <c r="C39">
        <f t="shared" si="4"/>
        <v>4684.8</v>
      </c>
      <c r="D39">
        <f t="shared" si="5"/>
        <v>4372.93</v>
      </c>
      <c r="E39">
        <v>4372.93</v>
      </c>
      <c r="I39">
        <f t="shared" si="6"/>
        <v>311.87</v>
      </c>
      <c r="J39">
        <v>307.39999999999998</v>
      </c>
      <c r="L39">
        <v>4.47</v>
      </c>
    </row>
    <row r="40" spans="2:12">
      <c r="B40" s="3180" t="s">
        <v>3227</v>
      </c>
      <c r="C40">
        <f t="shared" si="4"/>
        <v>5025.8099999999995</v>
      </c>
      <c r="D40">
        <f t="shared" si="5"/>
        <v>4713.9399999999996</v>
      </c>
      <c r="E40">
        <v>4713.9399999999996</v>
      </c>
      <c r="I40">
        <f t="shared" si="6"/>
        <v>311.87</v>
      </c>
      <c r="J40">
        <v>307.39999999999998</v>
      </c>
      <c r="L40">
        <v>4.47</v>
      </c>
    </row>
    <row r="41" spans="2:12">
      <c r="B41" s="3180" t="s">
        <v>3228</v>
      </c>
      <c r="C41">
        <f t="shared" si="4"/>
        <v>6478.5499999999993</v>
      </c>
      <c r="D41">
        <f t="shared" si="5"/>
        <v>6065.82</v>
      </c>
      <c r="E41">
        <v>6065.82</v>
      </c>
      <c r="I41">
        <f t="shared" si="6"/>
        <v>412.73</v>
      </c>
      <c r="J41">
        <v>407.85</v>
      </c>
      <c r="L41">
        <v>4.88</v>
      </c>
    </row>
    <row r="42" spans="2:12">
      <c r="B42" s="3180" t="s">
        <v>3229</v>
      </c>
      <c r="C42">
        <f t="shared" si="4"/>
        <v>5213.5099999999993</v>
      </c>
      <c r="D42">
        <f t="shared" si="5"/>
        <v>4766.1099999999997</v>
      </c>
      <c r="E42">
        <v>4766.1099999999997</v>
      </c>
      <c r="I42">
        <f t="shared" si="6"/>
        <v>447.4</v>
      </c>
      <c r="J42">
        <v>426.76</v>
      </c>
      <c r="L42">
        <v>20.64</v>
      </c>
    </row>
    <row r="43" spans="2:12">
      <c r="B43" s="3180" t="s">
        <v>3230</v>
      </c>
      <c r="C43">
        <f t="shared" si="4"/>
        <v>3486.22</v>
      </c>
      <c r="D43">
        <f t="shared" si="5"/>
        <v>3212.6</v>
      </c>
      <c r="E43">
        <v>3212.6</v>
      </c>
      <c r="I43">
        <f t="shared" si="6"/>
        <v>273.62</v>
      </c>
      <c r="J43">
        <v>273.62</v>
      </c>
    </row>
    <row r="44" spans="2:12">
      <c r="B44" s="3180" t="s">
        <v>3231</v>
      </c>
      <c r="C44">
        <f t="shared" si="4"/>
        <v>0</v>
      </c>
      <c r="D44">
        <f t="shared" si="5"/>
        <v>0</v>
      </c>
      <c r="I44">
        <f t="shared" si="6"/>
        <v>0</v>
      </c>
    </row>
    <row r="45" spans="2:12">
      <c r="B45" s="3180" t="s">
        <v>3232</v>
      </c>
      <c r="C45">
        <f t="shared" si="4"/>
        <v>500.24</v>
      </c>
      <c r="D45">
        <f t="shared" si="5"/>
        <v>500.24</v>
      </c>
      <c r="G45">
        <v>500.24</v>
      </c>
      <c r="I45">
        <f t="shared" si="6"/>
        <v>0</v>
      </c>
    </row>
    <row r="46" spans="2:12">
      <c r="B46" s="3180" t="s">
        <v>3233</v>
      </c>
      <c r="C46">
        <f t="shared" si="4"/>
        <v>508.09</v>
      </c>
      <c r="D46">
        <f t="shared" si="5"/>
        <v>508.09</v>
      </c>
      <c r="G46">
        <v>500</v>
      </c>
      <c r="H46">
        <v>8.09</v>
      </c>
      <c r="I46">
        <f t="shared" si="6"/>
        <v>0</v>
      </c>
    </row>
    <row r="47" spans="2:12">
      <c r="B47" s="3180" t="s">
        <v>3234</v>
      </c>
      <c r="C47">
        <f t="shared" si="4"/>
        <v>524.35</v>
      </c>
      <c r="D47">
        <f t="shared" si="5"/>
        <v>524.35</v>
      </c>
      <c r="G47">
        <v>524.35</v>
      </c>
      <c r="I47">
        <f t="shared" si="6"/>
        <v>0</v>
      </c>
    </row>
    <row r="48" spans="2:12">
      <c r="B48" s="3180" t="s">
        <v>3235</v>
      </c>
      <c r="C48">
        <f t="shared" si="4"/>
        <v>461.32</v>
      </c>
      <c r="D48">
        <f t="shared" si="5"/>
        <v>311.32</v>
      </c>
      <c r="H48">
        <v>311.32</v>
      </c>
      <c r="I48">
        <f t="shared" si="6"/>
        <v>150</v>
      </c>
      <c r="L48">
        <v>150</v>
      </c>
    </row>
    <row r="49" spans="2:15">
      <c r="B49" s="3180" t="s">
        <v>3236</v>
      </c>
      <c r="C49">
        <f t="shared" si="4"/>
        <v>42198.27</v>
      </c>
      <c r="D49">
        <f t="shared" si="5"/>
        <v>0</v>
      </c>
      <c r="I49">
        <f t="shared" si="6"/>
        <v>42198.27</v>
      </c>
      <c r="K49">
        <f>43896.88-10701</f>
        <v>33195.879999999997</v>
      </c>
      <c r="L49">
        <v>7925</v>
      </c>
      <c r="N49">
        <v>1077.3900000000001</v>
      </c>
      <c r="O49">
        <f>10888</f>
        <v>10888</v>
      </c>
    </row>
    <row r="50" spans="2:15">
      <c r="B50" s="3180" t="s">
        <v>3238</v>
      </c>
      <c r="C50">
        <f>SUM(C28:C49)</f>
        <v>133190.67000000001</v>
      </c>
      <c r="D50">
        <f t="shared" ref="D50:O50" si="7">SUM(D28:D49)</f>
        <v>85114.030000000028</v>
      </c>
      <c r="E50">
        <f t="shared" si="7"/>
        <v>83230.11</v>
      </c>
      <c r="F50">
        <f t="shared" si="7"/>
        <v>0</v>
      </c>
      <c r="G50">
        <f t="shared" si="7"/>
        <v>1524.5900000000001</v>
      </c>
      <c r="H50">
        <f t="shared" si="7"/>
        <v>359.33</v>
      </c>
      <c r="I50">
        <f t="shared" si="7"/>
        <v>48076.639999999999</v>
      </c>
      <c r="J50">
        <f t="shared" si="7"/>
        <v>5572.52</v>
      </c>
      <c r="K50">
        <f t="shared" si="7"/>
        <v>33195.879999999997</v>
      </c>
      <c r="L50">
        <f t="shared" si="7"/>
        <v>8230.85</v>
      </c>
      <c r="M50">
        <f t="shared" si="7"/>
        <v>0</v>
      </c>
      <c r="N50">
        <f t="shared" si="7"/>
        <v>1077.3900000000001</v>
      </c>
      <c r="O50">
        <f t="shared" si="7"/>
        <v>10900.56</v>
      </c>
    </row>
    <row r="51" spans="2:15">
      <c r="O51" s="3180"/>
    </row>
    <row r="52" spans="2:15">
      <c r="E52">
        <f>E50+E23</f>
        <v>144864.73000000001</v>
      </c>
      <c r="F52">
        <f>O50+O23</f>
        <v>16989.559999999998</v>
      </c>
    </row>
    <row r="53" spans="2:15">
      <c r="D53" s="3180" t="s">
        <v>3256</v>
      </c>
      <c r="E53" s="3203">
        <f>E52*100/5100</f>
        <v>2840.4849019607846</v>
      </c>
      <c r="F53" s="3203">
        <f>400*(I23+I50)/F52</f>
        <v>2069.4913817662145</v>
      </c>
    </row>
    <row r="54" spans="2:15">
      <c r="D54" s="3180" t="s">
        <v>3257</v>
      </c>
      <c r="E54" s="3180" t="s">
        <v>3258</v>
      </c>
      <c r="F54" s="3180" t="s">
        <v>3259</v>
      </c>
    </row>
    <row r="55" spans="2:15">
      <c r="D55" s="3180" t="s">
        <v>3260</v>
      </c>
    </row>
    <row r="56" spans="2:15">
      <c r="E56" s="3204">
        <f>E53*5100/E52</f>
        <v>100</v>
      </c>
      <c r="F56" s="3204">
        <f>F53*F52/(I50+I23)</f>
        <v>400</v>
      </c>
    </row>
  </sheetData>
  <mergeCells count="4">
    <mergeCell ref="C26:C27"/>
    <mergeCell ref="D26:H26"/>
    <mergeCell ref="C25:N25"/>
    <mergeCell ref="I26:N26"/>
  </mergeCells>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5" sqref="G15"/>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2" width="11.625" style="1967" customWidth="1"/>
    <col min="13" max="13" width="10.125" style="1967" customWidth="1"/>
    <col min="14" max="15" width="11.625" style="1967" customWidth="1"/>
    <col min="16" max="16" width="9.5" style="1967" customWidth="1"/>
    <col min="17" max="17" width="9.25" style="1967" customWidth="1"/>
    <col min="18" max="18" width="9.625" style="1967" bestFit="1" customWidth="1"/>
    <col min="19" max="16384" width="9.25" style="1967"/>
  </cols>
  <sheetData>
    <row r="1" spans="1:19" ht="18.75">
      <c r="A1" s="104" t="s">
        <v>202</v>
      </c>
      <c r="B1" s="1966"/>
      <c r="C1" s="1966"/>
      <c r="D1" s="1966"/>
      <c r="E1" s="1966"/>
      <c r="F1" s="1966"/>
      <c r="G1" s="1966"/>
      <c r="H1" s="1966"/>
      <c r="I1" s="1966"/>
      <c r="J1" s="1966"/>
      <c r="K1" s="1966"/>
      <c r="L1" s="1966"/>
    </row>
    <row r="2" spans="1:19" ht="15">
      <c r="A2" s="3305" t="s">
        <v>203</v>
      </c>
      <c r="B2" s="3305"/>
      <c r="C2" s="3305"/>
      <c r="D2" s="1957" t="s">
        <v>204</v>
      </c>
      <c r="E2" s="106" t="s">
        <v>205</v>
      </c>
      <c r="F2" s="1966"/>
      <c r="G2" s="1192"/>
      <c r="H2" s="1193"/>
      <c r="I2" s="1194" t="s">
        <v>857</v>
      </c>
      <c r="J2" s="1966"/>
      <c r="K2" s="1966"/>
      <c r="L2" s="1966"/>
      <c r="M2" s="1967">
        <f>D3+'[1]数据-汇总表'!$D$3</f>
        <v>63381.599999999999</v>
      </c>
      <c r="N2" s="1967">
        <f>E3+'[1]数据-汇总表'!$E$3</f>
        <v>236757.40000000002</v>
      </c>
      <c r="O2" s="1970">
        <f>E19+'[1]数据-汇总表'!$E$19</f>
        <v>144864.73000000001</v>
      </c>
      <c r="P2" s="1970">
        <f>E20+'[1]数据-汇总表'!$E$20</f>
        <v>9745.09</v>
      </c>
      <c r="Q2" s="1970">
        <f>E21+'[1]数据-汇总表'!$E$21</f>
        <v>59766.539999999994</v>
      </c>
      <c r="R2" s="1970">
        <f>E28+'[1]数据-汇总表'!$E$28</f>
        <v>16448.32</v>
      </c>
      <c r="S2" s="1970">
        <f>E29+'[1]数据-汇总表'!$E$29</f>
        <v>5932.72</v>
      </c>
    </row>
    <row r="3" spans="1:19" ht="15.75" thickBot="1">
      <c r="A3" s="3306" t="s">
        <v>206</v>
      </c>
      <c r="B3" s="3306"/>
      <c r="C3" s="3306"/>
      <c r="D3" s="107">
        <f>'数据-基础表'!AY6</f>
        <v>35973.68</v>
      </c>
      <c r="E3" s="107">
        <f>'数据-基础表'!AZ5</f>
        <v>133190.67000000001</v>
      </c>
      <c r="F3" s="1966"/>
      <c r="G3" s="279" t="s">
        <v>858</v>
      </c>
      <c r="H3" s="274" t="s">
        <v>859</v>
      </c>
      <c r="I3" s="1958">
        <f>ROUND('数据-基础表'!B3/'数据-基础表'!A3,2)</f>
        <v>3.7</v>
      </c>
      <c r="J3" s="1966"/>
      <c r="K3" s="1966"/>
      <c r="L3" s="1966"/>
    </row>
    <row r="4" spans="1:19" ht="15">
      <c r="A4" s="3307"/>
      <c r="B4" s="3308"/>
      <c r="C4" s="3309"/>
      <c r="D4" s="108" t="s">
        <v>204</v>
      </c>
      <c r="E4" s="109" t="s">
        <v>205</v>
      </c>
      <c r="F4" s="1966"/>
      <c r="G4" s="1195"/>
      <c r="H4" s="274" t="s">
        <v>860</v>
      </c>
      <c r="I4" s="1958">
        <f>ROUND(SUMIF('数据-基础表'!I9:AS9,"地上",'数据-基础表'!I5:AS5)/'数据-基础表'!A3,2)</f>
        <v>2.37</v>
      </c>
      <c r="J4" s="1966"/>
      <c r="K4" s="1966"/>
      <c r="L4" s="1966"/>
    </row>
    <row r="5" spans="1:19">
      <c r="A5" s="110" t="s">
        <v>207</v>
      </c>
      <c r="B5" s="3310" t="s">
        <v>230</v>
      </c>
      <c r="C5" s="3310"/>
      <c r="D5" s="111">
        <f>ROUND($D$3*E5/$E$3,2)</f>
        <v>22479.75</v>
      </c>
      <c r="E5" s="112">
        <f>SUMIF('数据-基础表'!$11:$11,"住宅",'数据-基础表'!$5:$5)</f>
        <v>83230.11</v>
      </c>
      <c r="F5" s="1966"/>
      <c r="G5" s="279" t="s">
        <v>861</v>
      </c>
      <c r="H5" s="274" t="s">
        <v>859</v>
      </c>
      <c r="I5" s="1958">
        <f>ROUND(E31/D31,2)</f>
        <v>3.7</v>
      </c>
      <c r="J5" s="1966"/>
      <c r="K5" s="1966"/>
      <c r="L5" s="1966"/>
    </row>
    <row r="6" spans="1:19" ht="15" thickBot="1">
      <c r="A6" s="113"/>
      <c r="B6" s="3310" t="s">
        <v>208</v>
      </c>
      <c r="C6" s="3310"/>
      <c r="D6" s="111">
        <f>ROUND($D$3*E6/$E$3,2)</f>
        <v>13493.93</v>
      </c>
      <c r="E6" s="112">
        <f>E3-E5</f>
        <v>49960.560000000012</v>
      </c>
      <c r="F6" s="1966"/>
      <c r="G6" s="1195"/>
      <c r="H6" s="274" t="s">
        <v>860</v>
      </c>
      <c r="I6" s="1958">
        <f>ROUND(F31/D31,2)</f>
        <v>2.37</v>
      </c>
      <c r="J6" s="1966"/>
      <c r="K6" s="1966"/>
      <c r="L6" s="1966"/>
    </row>
    <row r="7" spans="1:19" ht="15">
      <c r="A7" s="3302"/>
      <c r="B7" s="3303"/>
      <c r="C7" s="3304"/>
      <c r="D7" s="108" t="s">
        <v>204</v>
      </c>
      <c r="E7" s="114" t="s">
        <v>231</v>
      </c>
      <c r="F7" s="1966"/>
      <c r="G7" s="1150" t="s">
        <v>1645</v>
      </c>
      <c r="H7" s="1151"/>
      <c r="I7" s="1828">
        <f>ROUND(F31/D3,2)</f>
        <v>2.37</v>
      </c>
      <c r="J7" s="1966"/>
      <c r="K7" s="1966"/>
      <c r="L7" s="1966"/>
    </row>
    <row r="8" spans="1:19">
      <c r="A8" s="110" t="s">
        <v>209</v>
      </c>
      <c r="B8" s="115" t="s">
        <v>210</v>
      </c>
      <c r="C8" s="111" t="s">
        <v>211</v>
      </c>
      <c r="D8" s="111">
        <f t="shared" ref="D8:D15" si="0">ROUND($D$3*E8/$E$3,2)</f>
        <v>22479.75</v>
      </c>
      <c r="E8" s="116">
        <f>SUMIF('数据-基础表'!BB10:BK10,"地上",'数据-基础表'!BB5:BK5)</f>
        <v>83230.11</v>
      </c>
      <c r="F8" s="1966"/>
      <c r="G8" s="1968"/>
      <c r="H8" s="1968"/>
      <c r="I8" s="1966"/>
      <c r="J8" s="1966"/>
      <c r="K8" s="1966"/>
      <c r="L8" s="1966"/>
    </row>
    <row r="9" spans="1:19">
      <c r="A9" s="117"/>
      <c r="B9" s="118"/>
      <c r="C9" s="111" t="s">
        <v>212</v>
      </c>
      <c r="D9" s="111">
        <f t="shared" si="0"/>
        <v>0</v>
      </c>
      <c r="E9" s="119">
        <f>'数据-基础表'!AH5</f>
        <v>0</v>
      </c>
      <c r="F9" s="1966"/>
      <c r="G9" s="1968"/>
      <c r="H9" s="1968"/>
      <c r="I9" s="1966"/>
      <c r="J9" s="1966"/>
      <c r="K9" s="1966"/>
      <c r="L9" s="1966"/>
    </row>
    <row r="10" spans="1:19">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9">
      <c r="A11" s="117"/>
      <c r="B11" s="118"/>
      <c r="C11" s="2313" t="s">
        <v>2323</v>
      </c>
      <c r="D11" s="111">
        <f t="shared" si="0"/>
        <v>0</v>
      </c>
      <c r="E11" s="116">
        <f>SUMPRODUCT(('数据-基础表'!BB10:BK10="地下")*('数据-基础表'!BB11:BK11="办公")*('数据-基础表'!BB5:BK5))+'数据-基础表'!AJ5</f>
        <v>0</v>
      </c>
      <c r="F11" s="1966"/>
      <c r="G11" s="1968"/>
      <c r="H11" s="1968"/>
      <c r="I11" s="1966"/>
      <c r="J11" s="1966"/>
      <c r="K11" s="1966"/>
      <c r="L11" s="1966"/>
    </row>
    <row r="12" spans="1:19">
      <c r="A12" s="117"/>
      <c r="B12" s="118"/>
      <c r="C12" s="111" t="s">
        <v>214</v>
      </c>
      <c r="D12" s="111">
        <f t="shared" si="0"/>
        <v>1505.09</v>
      </c>
      <c r="E12" s="116">
        <f>SUMPRODUCT(('数据-基础表'!BB10:BK10="地下")*('数据-基础表'!BB11:BK11="仓储")*('数据-基础表'!BB5:BK5))</f>
        <v>5572.52</v>
      </c>
      <c r="F12" s="1966"/>
      <c r="G12" s="1968"/>
      <c r="H12" s="1968"/>
      <c r="I12" s="1966"/>
      <c r="J12" s="1966"/>
      <c r="K12" s="1966"/>
      <c r="L12" s="1966"/>
    </row>
    <row r="13" spans="1:19">
      <c r="A13" s="117"/>
      <c r="B13" s="118"/>
      <c r="C13" s="2313" t="s">
        <v>2330</v>
      </c>
      <c r="D13" s="111">
        <f t="shared" si="0"/>
        <v>8965.93</v>
      </c>
      <c r="E13" s="116">
        <f>SUMPRODUCT(('数据-基础表'!BB10:BK10="地下")*('数据-基础表'!BB11:BK11="车库")*('数据-基础表'!BB5:BK5))</f>
        <v>33195.879999999997</v>
      </c>
      <c r="F13" s="1966"/>
      <c r="G13" s="1968"/>
      <c r="H13" s="1968"/>
      <c r="I13" s="1966"/>
      <c r="J13" s="1966"/>
      <c r="K13" s="1966"/>
      <c r="L13" s="1966"/>
    </row>
    <row r="14" spans="1:19">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9"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9" ht="15.75" thickBot="1">
      <c r="A16" s="113"/>
      <c r="B16" s="118"/>
      <c r="C16" s="115" t="s">
        <v>215</v>
      </c>
      <c r="D16" s="115">
        <f>SUM(D8:D15)</f>
        <v>32950.770000000004</v>
      </c>
      <c r="E16" s="120">
        <f>SUM(E8:E15)</f>
        <v>121998.51000000001</v>
      </c>
      <c r="F16" s="1966"/>
      <c r="G16" s="1968"/>
      <c r="H16" s="966" t="s">
        <v>219</v>
      </c>
      <c r="I16" s="967"/>
      <c r="J16" s="1966"/>
      <c r="K16" s="3296" t="s">
        <v>2562</v>
      </c>
      <c r="L16" s="3297"/>
      <c r="M16" s="3297"/>
      <c r="N16" s="3297"/>
      <c r="O16" s="3297"/>
      <c r="P16" s="3298"/>
    </row>
    <row r="17" spans="1:19" ht="15">
      <c r="A17" s="121" t="s">
        <v>216</v>
      </c>
      <c r="B17" s="122" t="s">
        <v>217</v>
      </c>
      <c r="C17" s="2280" t="s">
        <v>2310</v>
      </c>
      <c r="D17" s="108" t="s">
        <v>204</v>
      </c>
      <c r="E17" s="124" t="s">
        <v>205</v>
      </c>
      <c r="F17" s="125"/>
      <c r="G17" s="1359"/>
      <c r="H17" s="968" t="s">
        <v>218</v>
      </c>
      <c r="I17" s="969" t="s">
        <v>2309</v>
      </c>
      <c r="J17" s="1966"/>
      <c r="K17" s="3299" t="s">
        <v>2563</v>
      </c>
      <c r="L17" s="3300"/>
      <c r="M17" s="3301"/>
      <c r="N17" s="3299" t="s">
        <v>2564</v>
      </c>
      <c r="O17" s="3300"/>
      <c r="P17" s="3301"/>
      <c r="R17" s="2281" t="s">
        <v>2308</v>
      </c>
      <c r="S17" s="144"/>
    </row>
    <row r="18" spans="1:19" ht="15">
      <c r="A18" s="117"/>
      <c r="B18" s="128"/>
      <c r="C18" s="129"/>
      <c r="D18" s="2603"/>
      <c r="E18" s="130" t="s">
        <v>220</v>
      </c>
      <c r="F18" s="131" t="s">
        <v>221</v>
      </c>
      <c r="G18" s="1360" t="s">
        <v>222</v>
      </c>
      <c r="H18" s="970" t="s">
        <v>223</v>
      </c>
      <c r="I18" s="971" t="s">
        <v>224</v>
      </c>
      <c r="J18" s="1966"/>
      <c r="K18" s="2566" t="s">
        <v>2565</v>
      </c>
      <c r="L18" s="2567" t="s">
        <v>2566</v>
      </c>
      <c r="M18" s="2568" t="s">
        <v>2567</v>
      </c>
      <c r="N18" s="2566" t="s">
        <v>2565</v>
      </c>
      <c r="O18" s="2567" t="s">
        <v>2566</v>
      </c>
      <c r="P18" s="2568" t="s">
        <v>2567</v>
      </c>
      <c r="R18" s="2282" t="s">
        <v>2306</v>
      </c>
      <c r="S18" s="2282" t="s">
        <v>2307</v>
      </c>
    </row>
    <row r="19" spans="1:19">
      <c r="A19" s="133"/>
      <c r="B19" s="115" t="s">
        <v>225</v>
      </c>
      <c r="C19" s="2972" t="s">
        <v>3040</v>
      </c>
      <c r="D19" s="111">
        <f t="shared" ref="D19:D26" si="1">ROUND($D$3*E19/$E$3,2)</f>
        <v>22479.75</v>
      </c>
      <c r="E19" s="134">
        <f t="shared" ref="E19:E26" si="2">SUM(F19:G19)</f>
        <v>83230.11</v>
      </c>
      <c r="F19" s="135">
        <f>'数据-基础表'!I5</f>
        <v>83230.11</v>
      </c>
      <c r="G19" s="1361"/>
      <c r="H19" s="972">
        <f>ROUND($D$3*I19/$E$3,2)</f>
        <v>2285.62</v>
      </c>
      <c r="I19" s="116">
        <f>IF($I$17="自定义",P19,M19)</f>
        <v>8462.39</v>
      </c>
      <c r="J19" s="1966"/>
      <c r="K19" s="2569">
        <f t="shared" ref="K19:K26" si="3">ROUND(E$28*E19/E$27,2)</f>
        <v>5860.41</v>
      </c>
      <c r="L19" s="274">
        <f t="shared" ref="L19:L26" si="4">ROUND(IF(COUNTIF(C19,"*住宅*")&gt;0,E$29*E19/E$32,0),2)</f>
        <v>2601.98</v>
      </c>
      <c r="M19" s="2570">
        <f>K19+L19</f>
        <v>8462.39</v>
      </c>
      <c r="N19" s="2571"/>
      <c r="O19" s="2572"/>
      <c r="P19" s="2573">
        <f>N19+O19</f>
        <v>0</v>
      </c>
      <c r="R19" s="274">
        <f t="shared" ref="R19:S26" si="5">D19+H19</f>
        <v>24765.37</v>
      </c>
      <c r="S19" s="2283">
        <f t="shared" si="5"/>
        <v>91692.5</v>
      </c>
    </row>
    <row r="20" spans="1:19">
      <c r="A20" s="138"/>
      <c r="B20" s="115" t="s">
        <v>226</v>
      </c>
      <c r="C20" s="2972" t="s">
        <v>3177</v>
      </c>
      <c r="D20" s="111">
        <f t="shared" si="1"/>
        <v>1505.09</v>
      </c>
      <c r="E20" s="134">
        <f t="shared" si="2"/>
        <v>5572.52</v>
      </c>
      <c r="F20" s="135"/>
      <c r="G20" s="1361">
        <f>'数据-基础表'!M5</f>
        <v>5572.52</v>
      </c>
      <c r="H20" s="972">
        <f t="shared" ref="H20:H26" si="6">ROUND($D$3*I20/$E$3,2)</f>
        <v>105.98</v>
      </c>
      <c r="I20" s="116">
        <f t="shared" ref="I20:I26" si="7">IF($I$17="自定义",P20,M20)</f>
        <v>392.37</v>
      </c>
      <c r="J20" s="1966"/>
      <c r="K20" s="2569">
        <f t="shared" si="3"/>
        <v>392.37</v>
      </c>
      <c r="L20" s="274">
        <f t="shared" si="4"/>
        <v>0</v>
      </c>
      <c r="M20" s="2570">
        <f t="shared" ref="M20:M26" si="8">K20+L20</f>
        <v>392.37</v>
      </c>
      <c r="N20" s="2571"/>
      <c r="O20" s="2572"/>
      <c r="P20" s="2573">
        <f t="shared" ref="P20:P26" si="9">N20+O20</f>
        <v>0</v>
      </c>
      <c r="R20" s="274">
        <f t="shared" si="5"/>
        <v>1611.07</v>
      </c>
      <c r="S20" s="2283">
        <f t="shared" si="5"/>
        <v>5964.89</v>
      </c>
    </row>
    <row r="21" spans="1:19">
      <c r="A21" s="138"/>
      <c r="B21" s="115" t="s">
        <v>226</v>
      </c>
      <c r="C21" s="2972" t="s">
        <v>3178</v>
      </c>
      <c r="D21" s="111">
        <f t="shared" si="1"/>
        <v>8965.93</v>
      </c>
      <c r="E21" s="134">
        <f t="shared" si="2"/>
        <v>33195.879999999997</v>
      </c>
      <c r="F21" s="135"/>
      <c r="G21" s="1361">
        <f>'数据-基础表'!O5</f>
        <v>33195.879999999997</v>
      </c>
      <c r="H21" s="972">
        <f t="shared" si="6"/>
        <v>631.30999999999995</v>
      </c>
      <c r="I21" s="116">
        <f t="shared" si="7"/>
        <v>2337.39</v>
      </c>
      <c r="J21" s="1966"/>
      <c r="K21" s="2569">
        <f t="shared" si="3"/>
        <v>2337.39</v>
      </c>
      <c r="L21" s="274">
        <f t="shared" si="4"/>
        <v>0</v>
      </c>
      <c r="M21" s="2570">
        <f t="shared" si="8"/>
        <v>2337.39</v>
      </c>
      <c r="N21" s="2571"/>
      <c r="O21" s="2572"/>
      <c r="P21" s="2573">
        <f t="shared" si="9"/>
        <v>0</v>
      </c>
      <c r="R21" s="274">
        <f t="shared" si="5"/>
        <v>9597.24</v>
      </c>
      <c r="S21" s="2283">
        <f t="shared" si="5"/>
        <v>35533.269999999997</v>
      </c>
    </row>
    <row r="22" spans="1:19">
      <c r="A22" s="138"/>
      <c r="B22" s="115" t="s">
        <v>226</v>
      </c>
      <c r="C22" s="3181"/>
      <c r="D22" s="111">
        <f t="shared" si="1"/>
        <v>0</v>
      </c>
      <c r="E22" s="134">
        <f t="shared" si="2"/>
        <v>0</v>
      </c>
      <c r="F22" s="140"/>
      <c r="G22" s="1362"/>
      <c r="H22" s="972">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2"/>
      <c r="H23" s="972">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2"/>
      <c r="H24" s="972">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2"/>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2"/>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15.75" thickBot="1">
      <c r="A27" s="138"/>
      <c r="B27" s="111"/>
      <c r="C27" s="127" t="s">
        <v>215</v>
      </c>
      <c r="D27" s="134">
        <f>SUM(D19:D26)</f>
        <v>32950.770000000004</v>
      </c>
      <c r="E27" s="143">
        <f>IF(SUM(E19:E26)='数据-基础表'!BA5,SUM(E19:E26),IF(F27="地上面积有误","面积有误","地下面积有误"))</f>
        <v>121998.51000000001</v>
      </c>
      <c r="F27" s="134">
        <f>IF(SUM(F19:F26)=E8,SUM(F19:F26),"地上面积有误")</f>
        <v>83230.11</v>
      </c>
      <c r="G27" s="112">
        <f>SUM(G19:G26)</f>
        <v>38768.399999999994</v>
      </c>
      <c r="H27" s="973">
        <f>SUM(H19:H26)</f>
        <v>3022.91</v>
      </c>
      <c r="I27" s="974">
        <f>SUM(I19:I26)</f>
        <v>11192.15</v>
      </c>
      <c r="J27" s="1966"/>
      <c r="K27" s="2578">
        <f>SUM(K19:K26)</f>
        <v>8590.17</v>
      </c>
      <c r="L27" s="2579">
        <f>SUM(L19:L26)</f>
        <v>2601.98</v>
      </c>
      <c r="M27" s="2580">
        <f>SUM(M19:M26)</f>
        <v>11192.15</v>
      </c>
      <c r="N27" s="2578">
        <f t="shared" ref="N27:O27" si="10">SUM(N19:N26)</f>
        <v>0</v>
      </c>
      <c r="O27" s="2579">
        <f t="shared" si="10"/>
        <v>0</v>
      </c>
      <c r="P27" s="2581">
        <f>SUM(P19:P26)</f>
        <v>0</v>
      </c>
      <c r="R27" s="2287">
        <f>IF(SUM(R19:R26)=$D$3,SUM(R19:R26),SUM(R19:R26)&amp;"误差"&amp;ROUND(SUM(R19:R26)-$D$3,2))</f>
        <v>35973.68</v>
      </c>
      <c r="S27" s="274" t="str">
        <f>IF(SUM(S19:S26)=$E$3,SUM(S19:S26),SUM(S19:S26)&amp;"误差"&amp;ROUND(SUM(S19:S26)-E3,2))</f>
        <v>133190.66误差-0.01</v>
      </c>
    </row>
    <row r="28" spans="1:19">
      <c r="A28" s="138"/>
      <c r="B28" s="115" t="s">
        <v>227</v>
      </c>
      <c r="C28" s="136" t="s">
        <v>228</v>
      </c>
      <c r="D28" s="111">
        <f>ROUND($D$3*E28/$E$3,2)</f>
        <v>2320.14</v>
      </c>
      <c r="E28" s="134">
        <f>SUM(F28:G28)</f>
        <v>8590.18</v>
      </c>
      <c r="F28" s="144">
        <f>'数据-基础表'!BQ5+'数据-基础表'!BS5</f>
        <v>359.33</v>
      </c>
      <c r="G28" s="145">
        <f>'数据-基础表'!BR5+'数据-基础表'!BT5</f>
        <v>8230.85</v>
      </c>
      <c r="H28" s="1966"/>
      <c r="I28" s="1966"/>
      <c r="J28" s="1966"/>
      <c r="K28" s="1966"/>
      <c r="L28" s="1966"/>
    </row>
    <row r="29" spans="1:19">
      <c r="A29" s="138"/>
      <c r="B29" s="115" t="s">
        <v>227</v>
      </c>
      <c r="C29" s="2295" t="s">
        <v>2317</v>
      </c>
      <c r="D29" s="111">
        <f>ROUND($D$3*E29/$E$3,2)</f>
        <v>702.77</v>
      </c>
      <c r="E29" s="134">
        <f>SUM(F29:G29)</f>
        <v>2601.9800000000005</v>
      </c>
      <c r="F29" s="144">
        <f>'数据-基础表'!BM5+'数据-基础表'!BO5</f>
        <v>1524.5900000000001</v>
      </c>
      <c r="G29" s="146">
        <f>'数据-基础表'!BN5+'数据-基础表'!BP5</f>
        <v>1077.3900000000001</v>
      </c>
      <c r="H29" s="1966"/>
      <c r="I29" s="1966"/>
      <c r="J29" s="1966"/>
      <c r="K29" s="1966"/>
      <c r="L29" s="1966"/>
    </row>
    <row r="30" spans="1:19">
      <c r="A30" s="138"/>
      <c r="B30" s="111"/>
      <c r="C30" s="147" t="s">
        <v>215</v>
      </c>
      <c r="D30" s="134">
        <f>SUM(D28:D29)</f>
        <v>3022.91</v>
      </c>
      <c r="E30" s="134">
        <f>SUM(E28:E29)</f>
        <v>11192.16</v>
      </c>
      <c r="F30" s="134">
        <f>SUM(F28:F29)</f>
        <v>1883.92</v>
      </c>
      <c r="G30" s="112">
        <f>SUM(G28:G29)</f>
        <v>9308.24</v>
      </c>
      <c r="H30" s="1966"/>
      <c r="I30" s="1966"/>
      <c r="J30" s="1966"/>
      <c r="K30" s="1966"/>
      <c r="L30" s="1966"/>
      <c r="N30" s="1967" t="s">
        <v>3255</v>
      </c>
    </row>
    <row r="31" spans="1:19" ht="32.25" customHeight="1" thickBot="1">
      <c r="A31" s="1363"/>
      <c r="B31" s="1364" t="s">
        <v>229</v>
      </c>
      <c r="C31" s="2312" t="s">
        <v>2319</v>
      </c>
      <c r="D31" s="1365">
        <f>D27+D30</f>
        <v>35973.680000000008</v>
      </c>
      <c r="E31" s="1365">
        <f>E27+E30</f>
        <v>133190.67000000001</v>
      </c>
      <c r="F31" s="1366">
        <f>F27+F30</f>
        <v>85114.03</v>
      </c>
      <c r="G31" s="1367">
        <f>G27+G30</f>
        <v>48076.639999999992</v>
      </c>
      <c r="H31" s="1966"/>
      <c r="I31" s="1966"/>
      <c r="J31" s="1966"/>
      <c r="K31" s="1966"/>
      <c r="L31" s="1966"/>
      <c r="N31" s="3202">
        <f>G31*200/面积表!O50</f>
        <v>882.09486485098</v>
      </c>
      <c r="O31" s="1967">
        <f>4400-200</f>
        <v>4200</v>
      </c>
    </row>
    <row r="32" spans="1:19">
      <c r="A32" s="1966"/>
      <c r="B32" s="2324" t="s">
        <v>2318</v>
      </c>
      <c r="C32" s="2608"/>
      <c r="D32" s="1195"/>
      <c r="E32" s="1195">
        <f>SUMIF(C19:C26,"*住宅*",E19:E26)</f>
        <v>83230.11</v>
      </c>
      <c r="F32" s="1195"/>
      <c r="G32" s="1195"/>
      <c r="N32" s="1967">
        <f>面积表!O50*2000/G31</f>
        <v>453.4659660076079</v>
      </c>
    </row>
    <row r="33" spans="4:14">
      <c r="D33" s="1970"/>
      <c r="N33" s="1967">
        <f>面积表!O23*2000/面积表!I23</f>
        <v>305.80525242744534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F21" sqref="F21"/>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9" t="s">
        <v>235</v>
      </c>
      <c r="B2" s="2320">
        <f>项目基本情况!D3</f>
        <v>43942</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40.5">
      <c r="A5" s="2286"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2822</v>
      </c>
      <c r="O5" s="163" t="s">
        <v>246</v>
      </c>
      <c r="P5" s="165" t="s">
        <v>247</v>
      </c>
      <c r="Q5" s="166" t="s">
        <v>248</v>
      </c>
      <c r="R5" s="167" t="s">
        <v>249</v>
      </c>
      <c r="S5" s="2582" t="s">
        <v>2568</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2320</v>
      </c>
      <c r="AI5" s="171" t="s">
        <v>2289</v>
      </c>
      <c r="AJ5" s="171" t="s">
        <v>258</v>
      </c>
      <c r="AK5" s="159" t="s">
        <v>259</v>
      </c>
      <c r="AL5" s="159" t="s">
        <v>260</v>
      </c>
      <c r="AM5" s="172" t="s">
        <v>261</v>
      </c>
      <c r="AN5" s="2352" t="s">
        <v>2369</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平层住宅</v>
      </c>
      <c r="B6" s="2319" t="str">
        <f>IF(A6=0,"","经营性")</f>
        <v>经营性</v>
      </c>
      <c r="C6" s="173" t="s">
        <v>923</v>
      </c>
      <c r="D6" s="2290">
        <f>SUMIF(项目基本情况!D$15:I$15,C6,项目基本情况!D$18:I$18)</f>
        <v>70</v>
      </c>
      <c r="E6" s="2291">
        <f>IF(B6="","",SUMIF(项目基本情况!D$15:I$15,C6,项目基本情况!D$17:I$17))</f>
        <v>69336</v>
      </c>
      <c r="F6" s="174">
        <f>SUMIF(项目基本情况!D$15:I$15,C6,项目基本情况!D$19:I$19)</f>
        <v>69.569999999999993</v>
      </c>
      <c r="G6" s="175">
        <f>IF(ISERROR(ROUND(POWER(1+H6,D6-F6)*(POWER(1+H6,F6)-1)/(POWER(1+H6,D6)-1),3)),0,ROUND(POWER(1+H6,D6-F6)*(POWER(1+H6,F6)-1)/(POWER(1+H6,D6)-1),3))</f>
        <v>0.999</v>
      </c>
      <c r="H6" s="2973">
        <v>0.04</v>
      </c>
      <c r="I6" s="2973">
        <v>4.4999999999999998E-2</v>
      </c>
      <c r="J6" s="176">
        <v>8.5000000000000006E-2</v>
      </c>
      <c r="K6" s="179">
        <f>SUMIF('数据-汇总表'!C$19:C$33,'数据-取费表'!A6,'数据-汇总表'!E$19:E$33)</f>
        <v>83230.11</v>
      </c>
      <c r="L6" s="2974">
        <v>5200</v>
      </c>
      <c r="M6" s="177">
        <f t="shared" ref="M6:M14" si="0">ROUND(K6*L6/10000,0)</f>
        <v>43280</v>
      </c>
      <c r="N6" s="2975">
        <v>0</v>
      </c>
      <c r="O6" s="177">
        <f>IF($N$5="成新度","——",ROUND(M6*N6,0))</f>
        <v>0</v>
      </c>
      <c r="P6" s="178">
        <f>IF($N$5="成新度","——",M6-O6)</f>
        <v>43280</v>
      </c>
      <c r="Q6" s="2976">
        <v>0.2</v>
      </c>
      <c r="R6" s="179">
        <f>SUMIF('数据-汇总表'!C$19:C$33,A6,'数据-汇总表'!R$19:R$33)</f>
        <v>24765.37</v>
      </c>
      <c r="S6" s="132">
        <f>IF('数据-汇总表'!$I$17="按面积比例",SUMIF('数据-汇总表'!C$19:C$33,A6,'数据-汇总表'!K$19:K$33),SUMIF('数据-汇总表'!C$19:C$33,A6,'数据-汇总表'!N$19:N$33))</f>
        <v>5860.41</v>
      </c>
      <c r="T6" s="2216">
        <f>IF($T$4="按面积比例",IF(ISERROR(ROUND($M$14*S6/S$16,0)),"0",ROUND($M$14*S6/S$16,0)),"需自行计算录入")</f>
        <v>2579</v>
      </c>
      <c r="U6" s="180"/>
      <c r="V6" s="181"/>
      <c r="W6" s="181"/>
      <c r="X6" s="2303"/>
      <c r="Y6" s="182">
        <v>1</v>
      </c>
      <c r="Z6" s="183"/>
      <c r="AA6" s="176"/>
      <c r="AB6" s="176"/>
      <c r="AC6" s="2306"/>
      <c r="AD6" s="184"/>
      <c r="AE6" s="970">
        <f ca="1">IF(AN6="",0,SUMIF(INDIRECT("'"&amp;AN6&amp;"'"&amp;"!E:E"),$AE$5,INDIRECT("'"&amp;AN6&amp;"'"&amp;"!F:F")))</f>
        <v>0</v>
      </c>
      <c r="AF6" s="141"/>
      <c r="AG6" s="1207">
        <f>IF(AF6="",0,AE6-AF6)</f>
        <v>0</v>
      </c>
      <c r="AH6" s="141"/>
      <c r="AI6" s="187">
        <v>365</v>
      </c>
      <c r="AJ6" s="188"/>
      <c r="AK6" s="189"/>
      <c r="AL6" s="190"/>
      <c r="AM6" s="2987"/>
      <c r="AN6" s="2353"/>
      <c r="AO6" s="1982"/>
      <c r="AP6" s="1198">
        <f>ROUND(1-1/(1+H6)^F6,3)</f>
        <v>0.93500000000000005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仓储</v>
      </c>
      <c r="B7" s="2319" t="str">
        <f t="shared" ref="B7:B13" si="1">IF(A7=0,"","经营性")</f>
        <v>经营性</v>
      </c>
      <c r="C7" s="173" t="s">
        <v>2995</v>
      </c>
      <c r="D7" s="2290">
        <f>SUMIF(项目基本情况!D$15:I$15,C7,项目基本情况!D$18:I$18)</f>
        <v>50</v>
      </c>
      <c r="E7" s="2291">
        <f>IF(B7="","",SUMIF(项目基本情况!D$15:I$15,C7,项目基本情况!D$17:I$17))</f>
        <v>62031</v>
      </c>
      <c r="F7" s="174">
        <f>SUMIF(项目基本情况!D$15:I$15,C7,项目基本情况!D$19:I$19)</f>
        <v>49.55</v>
      </c>
      <c r="G7" s="175">
        <f t="shared" ref="G7:G11" si="2">IF(ISERROR(ROUND(POWER(1+H7,D7-F7)*(POWER(1+H7,F7)-1)/(POWER(1+H7,D7)-1),3)),0,ROUND(POWER(1+H7,D7-F7)*(POWER(1+H7,F7)-1)/(POWER(1+H7,D7)-1),3))</f>
        <v>0.998</v>
      </c>
      <c r="H7" s="2973">
        <v>4.4999999999999998E-2</v>
      </c>
      <c r="I7" s="2973">
        <v>0.05</v>
      </c>
      <c r="J7" s="176">
        <v>8.5000000000000006E-2</v>
      </c>
      <c r="K7" s="179">
        <f>SUMIF('数据-汇总表'!C$19:C$33,'数据-取费表'!A7,'数据-汇总表'!E$19:E$33)</f>
        <v>5572.52</v>
      </c>
      <c r="L7" s="2974">
        <v>4400</v>
      </c>
      <c r="M7" s="177">
        <f t="shared" si="0"/>
        <v>2452</v>
      </c>
      <c r="N7" s="2975">
        <v>0</v>
      </c>
      <c r="O7" s="177">
        <f t="shared" ref="O7:O14" si="3">IF($N$5="成新度","——",ROUND(M7*N7,0))</f>
        <v>0</v>
      </c>
      <c r="P7" s="178">
        <f t="shared" ref="P7:P14" si="4">IF($N$5="成新度","——",M7-O7)</f>
        <v>2452</v>
      </c>
      <c r="Q7" s="2976">
        <v>0.1</v>
      </c>
      <c r="R7" s="179">
        <f>SUMIF('数据-汇总表'!C$19:C$33,A7,'数据-汇总表'!R$19:R$33)</f>
        <v>1611.07</v>
      </c>
      <c r="S7" s="132">
        <f>IF('数据-汇总表'!$I$17="按面积比例",SUMIF('数据-汇总表'!C$19:C$33,A7,'数据-汇总表'!K$19:K$33),SUMIF('数据-汇总表'!C$19:C$33,A7,'数据-汇总表'!N$19:N$33))</f>
        <v>392.37</v>
      </c>
      <c r="T7" s="2216">
        <f t="shared" ref="T7:T13" si="5">IF($T$4="按面积比例",IF(ISERROR(ROUND($M$14*S7/S$16,0)),"0",ROUND($M$14*S7/S$16,0)),"需自行计算录入")</f>
        <v>173</v>
      </c>
      <c r="U7" s="180"/>
      <c r="V7" s="181"/>
      <c r="W7" s="181"/>
      <c r="X7" s="2303"/>
      <c r="Y7" s="182">
        <v>1</v>
      </c>
      <c r="Z7" s="183"/>
      <c r="AA7" s="176"/>
      <c r="AB7" s="176"/>
      <c r="AC7" s="2306"/>
      <c r="AD7" s="184"/>
      <c r="AE7" s="970">
        <f t="shared" ref="AE7:AE13" ca="1" si="6">IF(AN7="",0,SUMIF(INDIRECT("'"&amp;AN7&amp;"'"&amp;"!E:E"),$AE$5,INDIRECT("'"&amp;AN7&amp;"'"&amp;"!F:F")))</f>
        <v>0</v>
      </c>
      <c r="AF7" s="141"/>
      <c r="AG7" s="1207">
        <f t="shared" ref="AG7:AG13" si="7">IF(AF7="",0,AE7-AF7)</f>
        <v>0</v>
      </c>
      <c r="AH7" s="141"/>
      <c r="AI7" s="187">
        <v>365</v>
      </c>
      <c r="AJ7" s="188"/>
      <c r="AK7" s="189"/>
      <c r="AL7" s="190"/>
      <c r="AM7" s="2351"/>
      <c r="AN7" s="2353"/>
      <c r="AO7" s="1982"/>
      <c r="AP7" s="1198">
        <f t="shared" ref="AP7:AP13" si="8">ROUND(1-1/(1+H7)^F7,3)</f>
        <v>0.88700000000000001</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车库</v>
      </c>
      <c r="B8" s="2319" t="str">
        <f t="shared" si="1"/>
        <v>经营性</v>
      </c>
      <c r="C8" s="173" t="s">
        <v>2994</v>
      </c>
      <c r="D8" s="2290">
        <f>SUMIF(项目基本情况!D$15:I$15,C8,项目基本情况!D$18:I$18)</f>
        <v>50</v>
      </c>
      <c r="E8" s="2291">
        <f>IF(B8="","",SUMIF(项目基本情况!D$15:I$15,C8,项目基本情况!D$17:I$17))</f>
        <v>62031</v>
      </c>
      <c r="F8" s="174">
        <f>SUMIF(项目基本情况!D$15:I$15,C8,项目基本情况!D$19:I$19)</f>
        <v>49.55</v>
      </c>
      <c r="G8" s="175">
        <f t="shared" si="2"/>
        <v>0.998</v>
      </c>
      <c r="H8" s="2973">
        <v>4.4999999999999998E-2</v>
      </c>
      <c r="I8" s="2973">
        <v>0.05</v>
      </c>
      <c r="J8" s="176">
        <v>8.5000000000000006E-2</v>
      </c>
      <c r="K8" s="179">
        <f>SUMIF('数据-汇总表'!C$19:C$33,'数据-取费表'!A8,'数据-汇总表'!E$19:E$33)</f>
        <v>33195.879999999997</v>
      </c>
      <c r="L8" s="2974">
        <f>L7</f>
        <v>4400</v>
      </c>
      <c r="M8" s="177">
        <f>ROUND(K8*L8/10000,0)</f>
        <v>14606</v>
      </c>
      <c r="N8" s="2975">
        <v>0</v>
      </c>
      <c r="O8" s="177">
        <f t="shared" si="3"/>
        <v>0</v>
      </c>
      <c r="P8" s="178">
        <f t="shared" si="4"/>
        <v>14606</v>
      </c>
      <c r="Q8" s="2976">
        <v>0.05</v>
      </c>
      <c r="R8" s="179">
        <f>SUMIF('数据-汇总表'!C$19:C$33,A8,'数据-汇总表'!R$19:R$33)</f>
        <v>9597.24</v>
      </c>
      <c r="S8" s="132">
        <f>IF('数据-汇总表'!$I$17="按面积比例",SUMIF('数据-汇总表'!C$19:C$33,A8,'数据-汇总表'!K$19:K$33),SUMIF('数据-汇总表'!C$19:C$33,A8,'数据-汇总表'!N$19:N$33))</f>
        <v>2337.39</v>
      </c>
      <c r="T8" s="2216">
        <f t="shared" si="5"/>
        <v>1029</v>
      </c>
      <c r="U8" s="180"/>
      <c r="V8" s="181"/>
      <c r="W8" s="181"/>
      <c r="X8" s="2303"/>
      <c r="Y8" s="182">
        <v>1</v>
      </c>
      <c r="Z8" s="183"/>
      <c r="AA8" s="176"/>
      <c r="AB8" s="176"/>
      <c r="AC8" s="2306"/>
      <c r="AD8" s="184"/>
      <c r="AE8" s="970">
        <f t="shared" ca="1" si="6"/>
        <v>0</v>
      </c>
      <c r="AF8" s="141"/>
      <c r="AG8" s="1207">
        <f t="shared" si="7"/>
        <v>0</v>
      </c>
      <c r="AH8" s="141"/>
      <c r="AI8" s="187">
        <v>365</v>
      </c>
      <c r="AJ8" s="188"/>
      <c r="AK8" s="189"/>
      <c r="AL8" s="190"/>
      <c r="AM8" s="2351"/>
      <c r="AN8" s="2353"/>
      <c r="AO8" s="1982"/>
      <c r="AP8" s="1198">
        <f t="shared" si="8"/>
        <v>0.88700000000000001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2973"/>
      <c r="I9" s="2973"/>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2311</v>
      </c>
      <c r="B14" s="2288" t="s">
        <v>1679</v>
      </c>
      <c r="C14" s="2289" t="s">
        <v>2311</v>
      </c>
      <c r="D14" s="2290"/>
      <c r="E14" s="2291"/>
      <c r="F14" s="174"/>
      <c r="G14" s="175"/>
      <c r="H14" s="2292"/>
      <c r="I14" s="2292"/>
      <c r="J14" s="2292"/>
      <c r="K14" s="179">
        <f>SUMIF('数据-汇总表'!C$19:C$33,'数据-取费表'!A14,'数据-汇总表'!E$19:E$33)</f>
        <v>8590.18</v>
      </c>
      <c r="L14" s="193">
        <f>L7</f>
        <v>4400</v>
      </c>
      <c r="M14" s="177">
        <f t="shared" si="0"/>
        <v>3780</v>
      </c>
      <c r="N14" s="194">
        <v>0</v>
      </c>
      <c r="O14" s="177">
        <f t="shared" si="3"/>
        <v>0</v>
      </c>
      <c r="P14" s="178">
        <f t="shared" si="4"/>
        <v>3780</v>
      </c>
      <c r="Q14" s="2300"/>
      <c r="R14" s="179"/>
      <c r="S14" s="132"/>
      <c r="T14" s="2299"/>
      <c r="U14" s="972"/>
      <c r="V14" s="2302"/>
      <c r="W14" s="2302"/>
      <c r="X14" s="2303"/>
      <c r="Y14" s="2304"/>
      <c r="Z14" s="136"/>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2313</v>
      </c>
      <c r="B15" s="2288" t="s">
        <v>1679</v>
      </c>
      <c r="C15" s="2289" t="s">
        <v>2312</v>
      </c>
      <c r="D15" s="2290"/>
      <c r="E15" s="2291"/>
      <c r="F15" s="174"/>
      <c r="G15" s="175"/>
      <c r="H15" s="2292"/>
      <c r="I15" s="2292"/>
      <c r="J15" s="2292"/>
      <c r="K15" s="179">
        <f>SUMIF('数据-汇总表'!C$19:C$33,'数据-取费表'!A15,'数据-汇总表'!E$19:E$33)</f>
        <v>2601.9800000000005</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133190.67000000001</v>
      </c>
      <c r="L16" s="206">
        <f>ROUND(M16*10000/SUM(K6:K14),0)</f>
        <v>4910</v>
      </c>
      <c r="M16" s="206">
        <f>SUM(M6:M14)</f>
        <v>64118</v>
      </c>
      <c r="N16" s="207">
        <f>ROUND(SUMPRODUCT(M6:M14,N6:N14)/M16,3)</f>
        <v>0</v>
      </c>
      <c r="O16" s="206">
        <f>SUM(O6:O14)</f>
        <v>0</v>
      </c>
      <c r="P16" s="206">
        <f>SUM(P6:P14)</f>
        <v>64118</v>
      </c>
      <c r="Q16" s="208">
        <f>ROUND(SUMPRODUCT(Q6:Q13,K6:K13)/SUMPRODUCT((Q6:Q13&gt;0)*(K6:K13)),2)</f>
        <v>0.15</v>
      </c>
      <c r="R16" s="2293">
        <f>SUM(R6:R13)</f>
        <v>35973.68</v>
      </c>
      <c r="S16" s="209">
        <f>SUM(S6:S13)</f>
        <v>8590.17</v>
      </c>
      <c r="T16" s="3527">
        <f>SUM(T6:T13)</f>
        <v>3781</v>
      </c>
      <c r="U16" s="210"/>
      <c r="V16" s="211"/>
      <c r="W16" s="211"/>
      <c r="X16" s="214"/>
      <c r="Y16" s="212"/>
      <c r="Z16" s="213"/>
      <c r="AA16" s="211"/>
      <c r="AB16" s="211"/>
      <c r="AC16" s="214"/>
      <c r="AD16" s="214"/>
      <c r="AE16" s="210"/>
      <c r="AF16" s="211"/>
      <c r="AG16" s="212"/>
      <c r="AH16" s="211"/>
      <c r="AI16" s="213"/>
      <c r="AJ16" s="213"/>
      <c r="AK16" s="211"/>
      <c r="AL16" s="211"/>
      <c r="AM16" s="212"/>
      <c r="AN16" s="1982"/>
      <c r="AO16" s="1982"/>
      <c r="AP16" s="1198">
        <f>ROUND(SUMPRODUCT(AP6:AP13,K6:K13)/SUMPRODUCT((AP6:AP13&gt;0)*(K6:K13)),3)</f>
        <v>0.92</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6" t="s">
        <v>264</v>
      </c>
      <c r="B19" s="217">
        <v>0</v>
      </c>
      <c r="C19" s="2325" t="s">
        <v>2332</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8" t="s">
        <v>265</v>
      </c>
      <c r="B20" s="219">
        <v>3</v>
      </c>
      <c r="C20" s="2325" t="s">
        <v>2331</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0" t="s">
        <v>266</v>
      </c>
      <c r="B21" s="219">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8" t="s">
        <v>267</v>
      </c>
      <c r="B22" s="221">
        <f>B19+B20</f>
        <v>3</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0" t="s">
        <v>268</v>
      </c>
      <c r="B23" s="221">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2" t="s">
        <v>269</v>
      </c>
      <c r="B24" s="223">
        <f>B20-B21</f>
        <v>3</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4"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5" t="s">
        <v>2334</v>
      </c>
      <c r="B27" s="226">
        <v>140</v>
      </c>
      <c r="C27" s="2328" t="s">
        <v>2338</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7" t="s">
        <v>2335</v>
      </c>
      <c r="B28" s="228">
        <v>170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30" t="s">
        <v>2333</v>
      </c>
      <c r="B29" s="231"/>
      <c r="C29" s="1536" t="s">
        <v>2336</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4"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7" t="s">
        <v>274</v>
      </c>
      <c r="B31" s="229">
        <f>B30-B32</f>
        <v>200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6" t="s">
        <v>275</v>
      </c>
      <c r="B32" s="1371">
        <v>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5" t="s">
        <v>278</v>
      </c>
      <c r="B33" s="1372">
        <v>0.03</v>
      </c>
      <c r="C33" s="2326" t="s">
        <v>2885</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7" t="s">
        <v>279</v>
      </c>
      <c r="B34" s="232">
        <v>0.05</v>
      </c>
      <c r="C34" s="2326" t="s">
        <v>2886</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7" t="s">
        <v>276</v>
      </c>
      <c r="B35" s="228">
        <v>200</v>
      </c>
      <c r="C35" s="2326" t="s">
        <v>2887</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0" t="s">
        <v>277</v>
      </c>
      <c r="B36" s="233">
        <v>1.4999999999999999E-2</v>
      </c>
      <c r="C36" s="2326" t="s">
        <v>2888</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6" t="s">
        <v>2889</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7" t="s">
        <v>281</v>
      </c>
      <c r="B38" s="232">
        <v>0.02</v>
      </c>
      <c r="C38" s="2326" t="s">
        <v>2889</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2452</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2453</v>
      </c>
      <c r="B40" s="2442">
        <f ca="1">存贷款利率!E2</f>
        <v>4.7500000000000001E-2</v>
      </c>
      <c r="C40" s="2326" t="s">
        <v>2337</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5" t="s">
        <v>282</v>
      </c>
      <c r="B41" s="237">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40">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0.05</v>
      </c>
      <c r="C44" s="2326" t="s">
        <v>2890</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2891</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2892</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v>0</v>
      </c>
      <c r="C47" s="3021" t="s">
        <v>2893</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2" t="s">
        <v>2894</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2" t="s">
        <v>2895</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0"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7" t="s">
        <v>294</v>
      </c>
      <c r="B53" s="250" t="s">
        <v>1409</v>
      </c>
      <c r="C53" s="3023" t="s">
        <v>2896</v>
      </c>
      <c r="D53" s="3024" t="s">
        <v>2897</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6" t="s">
        <v>2898</v>
      </c>
      <c r="B54" s="186"/>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6" t="s">
        <v>2899</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6" t="s">
        <v>2900</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6" t="s">
        <v>2901</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6" t="s">
        <v>2902</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6" t="s">
        <v>2903</v>
      </c>
      <c r="B59" s="186">
        <v>1.5</v>
      </c>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6" t="s">
        <v>2904</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6" t="s">
        <v>2905</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6" t="s">
        <v>2906</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2907</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11" t="s">
        <v>1663</v>
      </c>
      <c r="B1" s="3312"/>
      <c r="C1" s="3312"/>
      <c r="D1" s="3312"/>
      <c r="E1" s="3312"/>
      <c r="F1" s="3312"/>
      <c r="G1" s="3312"/>
      <c r="H1" s="1984"/>
      <c r="I1" s="1985"/>
      <c r="J1" s="1986"/>
      <c r="K1" s="1984"/>
      <c r="L1" s="1985"/>
      <c r="M1" s="1986"/>
      <c r="N1" s="1984"/>
      <c r="O1" s="1985"/>
      <c r="P1" s="1986"/>
      <c r="Q1" s="1987"/>
      <c r="R1" s="1988"/>
    </row>
    <row r="2" spans="1:18" ht="14.25" thickBot="1">
      <c r="A2" s="1215"/>
      <c r="B2" s="1216"/>
      <c r="C2" s="1217" t="s">
        <v>1664</v>
      </c>
      <c r="D2" s="1218"/>
      <c r="E2" s="1219"/>
      <c r="F2" s="1220"/>
      <c r="G2" s="1217" t="s">
        <v>1665</v>
      </c>
      <c r="H2" s="1990"/>
      <c r="I2" s="1990"/>
      <c r="J2" s="1990"/>
      <c r="K2" s="1990"/>
      <c r="L2" s="1990"/>
      <c r="M2" s="1990"/>
      <c r="N2" s="1990"/>
      <c r="O2" s="1990"/>
      <c r="P2" s="1990"/>
      <c r="Q2" s="1990"/>
      <c r="R2" s="1990"/>
    </row>
    <row r="3" spans="1:18" ht="54">
      <c r="A3" s="1221" t="s">
        <v>1666</v>
      </c>
      <c r="B3" s="1222" t="s">
        <v>1653</v>
      </c>
      <c r="C3" s="3028" t="s">
        <v>2914</v>
      </c>
      <c r="D3" s="1991"/>
      <c r="E3" s="1223" t="s">
        <v>1666</v>
      </c>
      <c r="F3" s="1224" t="s">
        <v>1654</v>
      </c>
      <c r="G3" s="3032" t="s">
        <v>2913</v>
      </c>
      <c r="H3" s="1990"/>
      <c r="I3" s="1990"/>
      <c r="J3" s="1990"/>
      <c r="K3" s="1990"/>
      <c r="L3" s="1990"/>
      <c r="M3" s="1990"/>
      <c r="N3" s="1990"/>
      <c r="O3" s="1990"/>
      <c r="P3" s="1990"/>
      <c r="Q3" s="1990"/>
      <c r="R3" s="1990"/>
    </row>
    <row r="4" spans="1:18" ht="41.25">
      <c r="A4" s="1223"/>
      <c r="B4" s="1225" t="s">
        <v>1667</v>
      </c>
      <c r="C4" s="3029" t="s">
        <v>2915</v>
      </c>
      <c r="D4" s="1991"/>
      <c r="E4" s="1226"/>
      <c r="F4" s="1227" t="s">
        <v>1668</v>
      </c>
      <c r="G4" s="3030" t="s">
        <v>2910</v>
      </c>
      <c r="H4" s="1990"/>
      <c r="I4" s="1990"/>
      <c r="J4" s="1990"/>
      <c r="K4" s="1990"/>
      <c r="L4" s="1990"/>
      <c r="M4" s="1990"/>
      <c r="N4" s="1990"/>
      <c r="O4" s="1990"/>
      <c r="P4" s="1990"/>
      <c r="Q4" s="1990"/>
      <c r="R4" s="1990"/>
    </row>
    <row r="5" spans="1:18" ht="41.25">
      <c r="A5" s="1223"/>
      <c r="B5" s="1225" t="s">
        <v>1669</v>
      </c>
      <c r="C5" s="3029" t="s">
        <v>2916</v>
      </c>
      <c r="D5" s="1991"/>
      <c r="E5" s="1226"/>
      <c r="F5" s="1225" t="s">
        <v>2542</v>
      </c>
      <c r="G5" s="3030" t="s">
        <v>2911</v>
      </c>
      <c r="H5" s="1990"/>
      <c r="I5" s="1990"/>
      <c r="J5" s="1990"/>
      <c r="K5" s="1990"/>
      <c r="L5" s="1990"/>
      <c r="M5" s="1990"/>
      <c r="N5" s="1990"/>
      <c r="O5" s="1990"/>
      <c r="P5" s="1990"/>
      <c r="Q5" s="1990"/>
      <c r="R5" s="1990"/>
    </row>
    <row r="6" spans="1:18" ht="54">
      <c r="A6" s="1223"/>
      <c r="B6" s="1225" t="s">
        <v>1655</v>
      </c>
      <c r="C6" s="3030" t="s">
        <v>2910</v>
      </c>
      <c r="D6" s="1991"/>
      <c r="E6" s="1226"/>
      <c r="F6" s="1225" t="s">
        <v>2543</v>
      </c>
      <c r="G6" s="3030" t="s">
        <v>2908</v>
      </c>
      <c r="H6" s="1990"/>
      <c r="I6" s="1990"/>
      <c r="J6" s="1990"/>
      <c r="K6" s="1990"/>
      <c r="L6" s="1990"/>
      <c r="M6" s="1990"/>
      <c r="N6" s="1990"/>
      <c r="O6" s="1990"/>
      <c r="P6" s="1990"/>
      <c r="Q6" s="1990"/>
      <c r="R6" s="1990"/>
    </row>
    <row r="7" spans="1:18" ht="41.25" thickBot="1">
      <c r="A7" s="1223"/>
      <c r="B7" s="1225" t="s">
        <v>2542</v>
      </c>
      <c r="C7" s="3030" t="s">
        <v>2911</v>
      </c>
      <c r="D7" s="1992"/>
      <c r="E7" s="1228"/>
      <c r="F7" s="1229" t="s">
        <v>1670</v>
      </c>
      <c r="G7" s="3033" t="s">
        <v>2912</v>
      </c>
      <c r="H7" s="1990"/>
      <c r="I7" s="1990"/>
      <c r="J7" s="1990"/>
      <c r="K7" s="1990"/>
      <c r="L7" s="1990"/>
      <c r="M7" s="1990"/>
      <c r="N7" s="1990"/>
      <c r="O7" s="1990"/>
      <c r="P7" s="1990"/>
      <c r="Q7" s="1990"/>
      <c r="R7" s="1990"/>
    </row>
    <row r="8" spans="1:18" ht="27">
      <c r="A8" s="1223"/>
      <c r="B8" s="1225" t="s">
        <v>2543</v>
      </c>
      <c r="C8" s="3030" t="s">
        <v>2908</v>
      </c>
      <c r="D8" s="1992"/>
      <c r="E8" s="1992"/>
      <c r="F8" s="1537"/>
      <c r="G8" s="1537"/>
      <c r="H8" s="1990"/>
      <c r="I8" s="1990"/>
      <c r="J8" s="1990"/>
      <c r="K8" s="1990"/>
      <c r="L8" s="1990"/>
      <c r="M8" s="1990"/>
      <c r="N8" s="1990"/>
      <c r="O8" s="1990"/>
      <c r="P8" s="1990"/>
      <c r="Q8" s="1990"/>
      <c r="R8" s="1990"/>
    </row>
    <row r="9" spans="1:18" ht="40.5">
      <c r="A9" s="1223"/>
      <c r="B9" s="1225" t="s">
        <v>1656</v>
      </c>
      <c r="C9" s="3029" t="s">
        <v>2909</v>
      </c>
      <c r="D9" s="1991"/>
      <c r="E9" s="1992"/>
      <c r="F9" s="1537"/>
      <c r="G9" s="1537"/>
      <c r="H9" s="1990"/>
      <c r="I9" s="1990"/>
      <c r="J9" s="1990"/>
      <c r="K9" s="1990"/>
      <c r="L9" s="1990"/>
      <c r="M9" s="1990"/>
      <c r="N9" s="1990"/>
      <c r="O9" s="1990"/>
      <c r="P9" s="1990"/>
      <c r="Q9" s="1990"/>
      <c r="R9" s="1990"/>
    </row>
    <row r="10" spans="1:18" s="1998" customFormat="1" ht="15" thickBot="1">
      <c r="A10" s="1230"/>
      <c r="B10" s="1231" t="s">
        <v>1671</v>
      </c>
      <c r="C10" s="3031"/>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8"/>
      <c r="E13" s="2539"/>
      <c r="F13" s="2539"/>
      <c r="G13" s="2539"/>
    </row>
    <row r="14" spans="1:18" ht="14.25" thickBot="1">
      <c r="A14" s="1232"/>
      <c r="B14" s="1233"/>
      <c r="C14" s="1234" t="s">
        <v>1664</v>
      </c>
      <c r="D14" s="1991"/>
      <c r="E14" s="1235"/>
      <c r="F14" s="1235"/>
      <c r="G14" s="1217" t="s">
        <v>1665</v>
      </c>
    </row>
    <row r="15" spans="1:18" ht="54">
      <c r="A15" s="2549" t="s">
        <v>1657</v>
      </c>
      <c r="B15" s="1236" t="s">
        <v>1653</v>
      </c>
      <c r="C15" s="1237" t="str">
        <f>C3</f>
        <v>估价对象周边居住用地比例、居住小区规模和社区发展完善程度，综合评价居住社区成熟度一般</v>
      </c>
      <c r="D15" s="1991"/>
      <c r="E15" s="2546" t="s">
        <v>1658</v>
      </c>
      <c r="F15" s="1236" t="s">
        <v>1673</v>
      </c>
      <c r="G15" s="1238" t="str">
        <f>G3</f>
        <v>估价对象位于XX开发区，园区建设成熟度XX，产业集聚程度XX</v>
      </c>
    </row>
    <row r="16" spans="1:18" ht="40.5">
      <c r="A16" s="2550"/>
      <c r="B16" s="1239" t="s">
        <v>1667</v>
      </c>
      <c r="C16" s="1240" t="str">
        <f>C4</f>
        <v>估价对象位于XX商圈，周边商业氛围成熟，人流量大，商业繁华度好</v>
      </c>
      <c r="D16" s="1991"/>
      <c r="E16" s="2547"/>
      <c r="F16" s="1241" t="s">
        <v>1668</v>
      </c>
      <c r="G16" s="1003" t="str">
        <f>G4</f>
        <v>估价对象周边道路状况、公共交通通达情况、停车便捷程度，综合评价交通便捷度较好</v>
      </c>
    </row>
    <row r="17" spans="1:7" ht="40.5">
      <c r="A17" s="2550"/>
      <c r="B17" s="1239" t="s">
        <v>1669</v>
      </c>
      <c r="C17" s="1240" t="str">
        <f>C5</f>
        <v>估价对象位于XX商圈，周边办公楼项目较多，入驻率高，办公集聚程度较好</v>
      </c>
      <c r="D17" s="1992"/>
      <c r="E17" s="2547"/>
      <c r="F17" s="1241" t="s">
        <v>1674</v>
      </c>
      <c r="G17" s="2747"/>
    </row>
    <row r="18" spans="1:7" ht="54">
      <c r="A18" s="2550"/>
      <c r="B18" s="1241" t="s">
        <v>1655</v>
      </c>
      <c r="C18" s="1003" t="str">
        <f>C6</f>
        <v>估价对象周边道路状况、公共交通通达情况、停车便捷程度，综合评价交通便捷度较好</v>
      </c>
      <c r="D18" s="1992"/>
      <c r="E18" s="2547"/>
      <c r="F18" s="1241" t="s">
        <v>1670</v>
      </c>
      <c r="G18" s="1003" t="str">
        <f>G7</f>
        <v>该园区内是否有污染型企业，绿化情况，卫生条件，整体环境状况判断</v>
      </c>
    </row>
    <row r="19" spans="1:7" ht="27">
      <c r="A19" s="2550"/>
      <c r="B19" s="1241" t="s">
        <v>1659</v>
      </c>
      <c r="C19" s="2747"/>
      <c r="D19" s="1991"/>
      <c r="E19" s="2547"/>
      <c r="F19" s="1225" t="s">
        <v>2542</v>
      </c>
      <c r="G19" s="1003" t="str">
        <f>G5</f>
        <v>估价对象所在区域公共配套设施齐备情况</v>
      </c>
    </row>
    <row r="20" spans="1:7" ht="40.5">
      <c r="A20" s="2550"/>
      <c r="B20" s="1241" t="s">
        <v>1660</v>
      </c>
      <c r="C20" s="1240" t="str">
        <f>C9</f>
        <v>区域自然环境：；人文环境；综合评价环境状况一般</v>
      </c>
      <c r="D20" s="1992"/>
      <c r="E20" s="2547"/>
      <c r="F20" s="1225" t="s">
        <v>2543</v>
      </c>
      <c r="G20" s="1003" t="str">
        <f>G6</f>
        <v>估价对象所在区域基础设施水平</v>
      </c>
    </row>
    <row r="21" spans="1:7" ht="27">
      <c r="A21" s="2550"/>
      <c r="B21" s="1225" t="s">
        <v>2542</v>
      </c>
      <c r="C21" s="1003" t="str">
        <f>C7</f>
        <v>估价对象所在区域公共配套设施齐备情况</v>
      </c>
      <c r="D21" s="1991"/>
      <c r="E21" s="2547"/>
      <c r="F21" s="1241" t="s">
        <v>1661</v>
      </c>
      <c r="G21" s="3034"/>
    </row>
    <row r="22" spans="1:7" ht="27">
      <c r="A22" s="2550"/>
      <c r="B22" s="1225" t="s">
        <v>2543</v>
      </c>
      <c r="C22" s="1003" t="str">
        <f>C8</f>
        <v>估价对象所在区域基础设施水平</v>
      </c>
      <c r="D22" s="1991"/>
      <c r="E22" s="2547"/>
      <c r="F22" s="1241" t="s">
        <v>1671</v>
      </c>
      <c r="G22" s="2747"/>
    </row>
    <row r="23" spans="1:7" ht="15" thickBot="1">
      <c r="A23" s="2550"/>
      <c r="B23" s="1241" t="s">
        <v>1661</v>
      </c>
      <c r="C23" s="3034"/>
      <c r="E23" s="2548"/>
      <c r="F23" s="1242" t="s">
        <v>1675</v>
      </c>
      <c r="G23" s="3035"/>
    </row>
    <row r="24" spans="1:7" ht="14.25" thickBot="1">
      <c r="A24" s="2551"/>
      <c r="B24" s="1242" t="s">
        <v>1662</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5" sqref="E15"/>
    </sheetView>
  </sheetViews>
  <sheetFormatPr defaultColWidth="14.625" defaultRowHeight="13.5"/>
  <cols>
    <col min="1" max="1" width="24.375" customWidth="1"/>
  </cols>
  <sheetData>
    <row r="1" spans="1:9" ht="16.5">
      <c r="A1" s="2992" t="s">
        <v>2838</v>
      </c>
      <c r="B1" s="2992">
        <f>SUM(B14:B23)</f>
        <v>236757.40000000002</v>
      </c>
      <c r="C1" s="2993"/>
      <c r="D1" s="2993"/>
      <c r="E1" s="2993"/>
      <c r="F1" s="2993"/>
    </row>
    <row r="2" spans="1:9" ht="16.5">
      <c r="A2" s="2992" t="s">
        <v>2839</v>
      </c>
      <c r="B2" s="2992">
        <f>SUM(C14:C23)</f>
        <v>63381.599999999999</v>
      </c>
      <c r="C2" s="2993"/>
      <c r="D2" s="2993"/>
      <c r="E2" s="2993"/>
      <c r="F2" s="2993"/>
    </row>
    <row r="3" spans="1:9" ht="16.5">
      <c r="A3" s="2992" t="s">
        <v>2840</v>
      </c>
      <c r="B3" s="2994">
        <f>项目基本情况!D3</f>
        <v>43942</v>
      </c>
      <c r="C3" s="2993"/>
      <c r="D3" s="2993"/>
      <c r="E3" s="2993"/>
      <c r="F3" s="2993"/>
    </row>
    <row r="4" spans="1:9" ht="33">
      <c r="A4" s="2992" t="s">
        <v>2841</v>
      </c>
      <c r="B4" s="2992" t="s">
        <v>2842</v>
      </c>
      <c r="C4" s="2992" t="s">
        <v>2843</v>
      </c>
      <c r="D4" s="2992" t="s">
        <v>2844</v>
      </c>
      <c r="E4" s="2993"/>
      <c r="F4" s="2993"/>
    </row>
    <row r="5" spans="1:9" ht="16.5">
      <c r="A5" s="2992" t="s">
        <v>2845</v>
      </c>
      <c r="B5" s="2992">
        <f ca="1">SUM(D14:D23)</f>
        <v>345894</v>
      </c>
      <c r="C5" s="2992">
        <f ca="1">ROUND(B5*10000/$B$1,0)</f>
        <v>14610</v>
      </c>
      <c r="D5" s="2992">
        <f ca="1">ROUND(B5*10000/$B$2,0)</f>
        <v>54573</v>
      </c>
      <c r="E5" s="2993"/>
      <c r="F5" s="2993"/>
    </row>
    <row r="6" spans="1:9" ht="16.5">
      <c r="A6" s="2992" t="s">
        <v>2846</v>
      </c>
      <c r="B6" s="2992">
        <f ca="1">SUM(G14:G23)</f>
        <v>345894</v>
      </c>
      <c r="C6" s="2992">
        <f t="shared" ref="C6:C8" ca="1" si="0">ROUND(B6*10000/$B$1,0)</f>
        <v>14610</v>
      </c>
      <c r="D6" s="2992">
        <f t="shared" ref="D6:D8" ca="1" si="1">ROUND(B6*10000/$B$2,0)</f>
        <v>54573</v>
      </c>
      <c r="E6" s="2993"/>
      <c r="F6" s="2993"/>
    </row>
    <row r="7" spans="1:9" ht="16.5">
      <c r="A7" s="2992" t="s">
        <v>2847</v>
      </c>
      <c r="B7" s="2992">
        <f>SUM(H14:H23)</f>
        <v>0</v>
      </c>
      <c r="C7" s="2992">
        <f t="shared" si="0"/>
        <v>0</v>
      </c>
      <c r="D7" s="2992">
        <f t="shared" si="1"/>
        <v>0</v>
      </c>
      <c r="E7" s="2993"/>
      <c r="F7" s="2993"/>
    </row>
    <row r="8" spans="1:9" ht="16.5">
      <c r="A8" s="2992" t="s">
        <v>2848</v>
      </c>
      <c r="B8" s="2992">
        <f>SUM(I14:I23)</f>
        <v>0</v>
      </c>
      <c r="C8" s="2992">
        <f t="shared" si="0"/>
        <v>0</v>
      </c>
      <c r="D8" s="2992">
        <f t="shared" si="1"/>
        <v>0</v>
      </c>
      <c r="E8" s="2993"/>
      <c r="F8" s="2993"/>
    </row>
    <row r="9" spans="1:9" ht="16.5">
      <c r="A9" s="2992" t="s">
        <v>2849</v>
      </c>
      <c r="B9" s="2995"/>
      <c r="C9" s="2993"/>
      <c r="D9" s="2993"/>
      <c r="E9" s="2993"/>
      <c r="F9" s="2993"/>
    </row>
    <row r="10" spans="1:9" ht="16.5">
      <c r="A10" s="2992" t="s">
        <v>2850</v>
      </c>
      <c r="B10" s="2995"/>
      <c r="C10" s="2993"/>
      <c r="D10" s="2993"/>
      <c r="E10" s="2993"/>
      <c r="F10" s="2993"/>
    </row>
    <row r="11" spans="1:9" ht="16.5">
      <c r="A11" s="2992" t="s">
        <v>2867</v>
      </c>
      <c r="B11" s="2995"/>
      <c r="C11" s="2993"/>
      <c r="D11" s="2993"/>
      <c r="E11" s="2993"/>
      <c r="F11" s="2993"/>
    </row>
    <row r="12" spans="1:9" ht="16.5">
      <c r="A12" s="2993"/>
      <c r="B12" s="2993"/>
      <c r="C12" s="2993"/>
      <c r="D12" s="2993"/>
      <c r="E12" s="2993"/>
      <c r="F12" s="2993"/>
    </row>
    <row r="13" spans="1:9" ht="33">
      <c r="A13" s="2998" t="s">
        <v>2866</v>
      </c>
      <c r="B13" s="2996" t="s">
        <v>2838</v>
      </c>
      <c r="C13" s="2996" t="s">
        <v>2839</v>
      </c>
      <c r="D13" s="2996" t="s">
        <v>2851</v>
      </c>
      <c r="E13" s="2992" t="s">
        <v>2865</v>
      </c>
      <c r="F13" s="2992" t="s">
        <v>2844</v>
      </c>
      <c r="G13" s="2996" t="s">
        <v>2852</v>
      </c>
      <c r="H13" s="2996" t="s">
        <v>2853</v>
      </c>
      <c r="I13" s="2996" t="s">
        <v>2854</v>
      </c>
    </row>
    <row r="14" spans="1:9" ht="16.5">
      <c r="A14" s="2999" t="s">
        <v>2864</v>
      </c>
      <c r="B14" s="2996">
        <f>结果表!L38</f>
        <v>133190.67000000001</v>
      </c>
      <c r="C14" s="2996">
        <f>结果表!K38</f>
        <v>35973.68</v>
      </c>
      <c r="D14" s="2996">
        <f ca="1">结果表!C42</f>
        <v>199248</v>
      </c>
      <c r="E14" s="2996">
        <f ca="1">ROUND(D14*10000/B14,0)</f>
        <v>14960</v>
      </c>
      <c r="F14" s="2996">
        <f ca="1">ROUND(D14*10000/C14,0)</f>
        <v>55387</v>
      </c>
      <c r="G14" s="2996">
        <f ca="1">结果表!C44</f>
        <v>199248</v>
      </c>
      <c r="H14" s="2996" t="str">
        <f>结果表!C45</f>
        <v>——</v>
      </c>
      <c r="I14" s="2996" t="str">
        <f>结果表!C46</f>
        <v>——</v>
      </c>
    </row>
    <row r="15" spans="1:9" ht="16.5">
      <c r="A15" s="2999" t="s">
        <v>2855</v>
      </c>
      <c r="B15" s="3000">
        <f>[1]系统读取表!$B$14</f>
        <v>103566.73</v>
      </c>
      <c r="C15" s="3000">
        <f>[1]系统读取表!$C$14</f>
        <v>27407.919999999998</v>
      </c>
      <c r="D15" s="3000">
        <f ca="1">[1]系统读取表!$D$14</f>
        <v>146646</v>
      </c>
      <c r="E15" s="2996">
        <f t="shared" ref="E15:E23" ca="1" si="2">ROUND(D15*10000/B15,0)</f>
        <v>14160</v>
      </c>
      <c r="F15" s="2996">
        <f t="shared" ref="F15:F23" ca="1" si="3">ROUND(D15*10000/C15,0)</f>
        <v>53505</v>
      </c>
      <c r="G15" s="2997">
        <f ca="1">[1]系统读取表!$G$14</f>
        <v>146646</v>
      </c>
      <c r="H15" s="2997"/>
      <c r="I15" s="3000"/>
    </row>
    <row r="16" spans="1:9" ht="16.5">
      <c r="A16" s="2999" t="s">
        <v>2856</v>
      </c>
      <c r="B16" s="3000"/>
      <c r="C16" s="3000"/>
      <c r="D16" s="3000"/>
      <c r="E16" s="2996" t="e">
        <f t="shared" si="2"/>
        <v>#DIV/0!</v>
      </c>
      <c r="F16" s="2996" t="e">
        <f t="shared" si="3"/>
        <v>#DIV/0!</v>
      </c>
      <c r="G16" s="2997"/>
      <c r="H16" s="2997"/>
      <c r="I16" s="3000"/>
    </row>
    <row r="17" spans="1:9" ht="16.5">
      <c r="A17" s="2999" t="s">
        <v>2857</v>
      </c>
      <c r="B17" s="3000"/>
      <c r="C17" s="3000"/>
      <c r="D17" s="3000"/>
      <c r="E17" s="2996" t="e">
        <f t="shared" si="2"/>
        <v>#DIV/0!</v>
      </c>
      <c r="F17" s="2996" t="e">
        <f t="shared" si="3"/>
        <v>#DIV/0!</v>
      </c>
      <c r="G17" s="2997"/>
      <c r="H17" s="2997"/>
      <c r="I17" s="3000"/>
    </row>
    <row r="18" spans="1:9" ht="16.5">
      <c r="A18" s="2999" t="s">
        <v>2858</v>
      </c>
      <c r="B18" s="3000"/>
      <c r="C18" s="3000"/>
      <c r="D18" s="3000"/>
      <c r="E18" s="2996" t="e">
        <f t="shared" si="2"/>
        <v>#DIV/0!</v>
      </c>
      <c r="F18" s="2996" t="e">
        <f t="shared" si="3"/>
        <v>#DIV/0!</v>
      </c>
      <c r="G18" s="3000"/>
      <c r="H18" s="3000"/>
      <c r="I18" s="3000"/>
    </row>
    <row r="19" spans="1:9" ht="16.5">
      <c r="A19" s="2999" t="s">
        <v>2859</v>
      </c>
      <c r="B19" s="3000"/>
      <c r="C19" s="3000"/>
      <c r="D19" s="3000"/>
      <c r="E19" s="2996" t="e">
        <f t="shared" si="2"/>
        <v>#DIV/0!</v>
      </c>
      <c r="F19" s="2996" t="e">
        <f t="shared" si="3"/>
        <v>#DIV/0!</v>
      </c>
      <c r="G19" s="3000"/>
      <c r="H19" s="3000"/>
      <c r="I19" s="3000"/>
    </row>
    <row r="20" spans="1:9" ht="16.5">
      <c r="A20" s="2999" t="s">
        <v>2860</v>
      </c>
      <c r="B20" s="3000"/>
      <c r="C20" s="3000"/>
      <c r="D20" s="3000"/>
      <c r="E20" s="2996" t="e">
        <f t="shared" si="2"/>
        <v>#DIV/0!</v>
      </c>
      <c r="F20" s="2996" t="e">
        <f t="shared" si="3"/>
        <v>#DIV/0!</v>
      </c>
      <c r="G20" s="3000"/>
      <c r="H20" s="3000"/>
      <c r="I20" s="3000"/>
    </row>
    <row r="21" spans="1:9" ht="16.5">
      <c r="A21" s="2999" t="s">
        <v>2861</v>
      </c>
      <c r="B21" s="3000"/>
      <c r="C21" s="3000"/>
      <c r="D21" s="3000"/>
      <c r="E21" s="2996" t="e">
        <f t="shared" si="2"/>
        <v>#DIV/0!</v>
      </c>
      <c r="F21" s="2996" t="e">
        <f t="shared" si="3"/>
        <v>#DIV/0!</v>
      </c>
      <c r="G21" s="3000"/>
      <c r="H21" s="3000"/>
      <c r="I21" s="3000"/>
    </row>
    <row r="22" spans="1:9" ht="16.5">
      <c r="A22" s="2999" t="s">
        <v>2862</v>
      </c>
      <c r="B22" s="3000"/>
      <c r="C22" s="3000"/>
      <c r="D22" s="3000"/>
      <c r="E22" s="2996" t="e">
        <f t="shared" si="2"/>
        <v>#DIV/0!</v>
      </c>
      <c r="F22" s="2996" t="e">
        <f t="shared" si="3"/>
        <v>#DIV/0!</v>
      </c>
      <c r="G22" s="3000"/>
      <c r="H22" s="3000"/>
      <c r="I22" s="3000"/>
    </row>
    <row r="23" spans="1:9" ht="16.5">
      <c r="A23" s="2999" t="s">
        <v>2863</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31" zoomScaleNormal="100" zoomScaleSheetLayoutView="100" zoomScalePageLayoutView="80" workbookViewId="0">
      <selection activeCell="N43" sqref="N43"/>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4"/>
  </cols>
  <sheetData>
    <row r="1" spans="1:22" ht="21.75" customHeight="1" thickBot="1">
      <c r="A1" s="1758" t="s">
        <v>2052</v>
      </c>
      <c r="B1" s="1759"/>
      <c r="C1" s="1787" t="s">
        <v>2053</v>
      </c>
      <c r="D1" s="1788"/>
      <c r="E1" s="1787" t="s">
        <v>2054</v>
      </c>
      <c r="F1" s="1789"/>
      <c r="G1" s="310"/>
      <c r="H1" s="310"/>
      <c r="I1" s="310"/>
      <c r="J1" s="2011"/>
      <c r="K1" s="2011"/>
      <c r="L1" s="2011"/>
      <c r="M1" s="2011"/>
      <c r="N1" s="2011"/>
      <c r="O1" s="2011"/>
      <c r="P1" s="2011"/>
      <c r="Q1" s="2011"/>
      <c r="R1" s="2011"/>
      <c r="S1" s="2011"/>
      <c r="T1" s="2011"/>
      <c r="U1" s="2011"/>
      <c r="V1" s="2011"/>
    </row>
    <row r="2" spans="1:22" ht="21.75" customHeight="1" thickBot="1">
      <c r="A2" s="3349" t="str">
        <f>项目基本情况!K2</f>
        <v>北京市通州区马驹桥镇国家环保产业园区YZ00-073-6004、6006地块R2二类居住用地出让国有建设用地使用权</v>
      </c>
      <c r="B2" s="3350"/>
      <c r="C2" s="3351"/>
      <c r="D2" s="3351"/>
      <c r="E2" s="3351"/>
      <c r="F2" s="3351"/>
      <c r="G2" s="3350"/>
      <c r="H2" s="3350"/>
      <c r="I2" s="3352"/>
      <c r="J2" s="2012"/>
      <c r="K2" s="2011"/>
      <c r="L2" s="2011"/>
      <c r="M2" s="2011"/>
      <c r="N2" s="2011"/>
      <c r="O2" s="2011"/>
      <c r="P2" s="2011"/>
      <c r="Q2" s="2011"/>
      <c r="R2" s="2011"/>
      <c r="S2" s="2011"/>
      <c r="T2" s="2011"/>
      <c r="U2" s="2011"/>
      <c r="V2" s="2011"/>
    </row>
    <row r="3" spans="1:22" ht="14.25">
      <c r="A3" s="3342" t="s">
        <v>298</v>
      </c>
      <c r="B3" s="3343"/>
      <c r="C3" s="3343"/>
      <c r="D3" s="3343"/>
      <c r="E3" s="3343"/>
      <c r="F3" s="3343"/>
      <c r="G3" s="3343"/>
      <c r="H3" s="3343"/>
      <c r="I3" s="3343"/>
      <c r="J3" s="2012"/>
      <c r="K3" s="2011"/>
      <c r="L3" s="2011"/>
      <c r="M3" s="2011"/>
      <c r="N3" s="2011"/>
      <c r="O3" s="2011"/>
      <c r="P3" s="2011"/>
      <c r="Q3" s="2011"/>
      <c r="R3" s="2011"/>
      <c r="S3" s="2011"/>
      <c r="T3" s="2011"/>
      <c r="U3" s="2011"/>
      <c r="V3" s="2011"/>
    </row>
    <row r="4" spans="1:22" ht="14.25">
      <c r="A4" s="257" t="s">
        <v>299</v>
      </c>
      <c r="B4" s="258" t="s">
        <v>300</v>
      </c>
      <c r="C4" s="259" t="s">
        <v>3041</v>
      </c>
      <c r="D4" s="259" t="s">
        <v>3042</v>
      </c>
      <c r="E4" s="3314" t="s">
        <v>301</v>
      </c>
      <c r="F4" s="3315"/>
      <c r="G4" s="3315"/>
      <c r="H4" s="3315"/>
      <c r="I4" s="3344"/>
      <c r="J4" s="2012"/>
      <c r="K4" s="2011"/>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313" t="s">
        <v>302</v>
      </c>
      <c r="B5" s="3339">
        <v>25</v>
      </c>
      <c r="C5" s="3337"/>
      <c r="D5" s="3341"/>
      <c r="E5" s="260" t="s">
        <v>303</v>
      </c>
      <c r="F5" s="261"/>
      <c r="G5" s="261"/>
      <c r="H5" s="261"/>
      <c r="I5" s="262"/>
      <c r="J5" s="2012"/>
      <c r="K5" s="2011"/>
      <c r="L5" s="2011"/>
      <c r="M5" s="2011"/>
      <c r="N5" s="2011"/>
      <c r="O5" s="2011"/>
      <c r="P5" s="2011"/>
      <c r="Q5" s="2011"/>
      <c r="R5" s="2011"/>
      <c r="S5" s="2011"/>
      <c r="T5" s="2011"/>
      <c r="U5" s="2011"/>
      <c r="V5" s="2011"/>
    </row>
    <row r="6" spans="1:22" ht="14.25">
      <c r="A6" s="3313"/>
      <c r="B6" s="3339"/>
      <c r="C6" s="3340"/>
      <c r="D6" s="3341"/>
      <c r="E6" s="260" t="s">
        <v>304</v>
      </c>
      <c r="F6" s="261"/>
      <c r="G6" s="261"/>
      <c r="H6" s="261"/>
      <c r="I6" s="262"/>
      <c r="J6" s="2012"/>
      <c r="K6" s="2011"/>
      <c r="L6" s="2011"/>
      <c r="M6" s="2011"/>
      <c r="N6" s="2011"/>
      <c r="O6" s="2011"/>
      <c r="P6" s="2011"/>
      <c r="Q6" s="2011"/>
      <c r="R6" s="2011"/>
      <c r="S6" s="2011"/>
      <c r="T6" s="2011"/>
      <c r="U6" s="2011"/>
      <c r="V6" s="2011"/>
    </row>
    <row r="7" spans="1:22" ht="14.25">
      <c r="A7" s="3313"/>
      <c r="B7" s="3339"/>
      <c r="C7" s="3338"/>
      <c r="D7" s="3341"/>
      <c r="E7" s="260" t="s">
        <v>305</v>
      </c>
      <c r="F7" s="261"/>
      <c r="G7" s="261"/>
      <c r="H7" s="261"/>
      <c r="I7" s="262"/>
      <c r="J7" s="2012"/>
      <c r="K7" s="2011"/>
      <c r="L7" s="2011"/>
      <c r="M7" s="2011"/>
      <c r="N7" s="2011"/>
      <c r="O7" s="2011"/>
      <c r="P7" s="2011"/>
      <c r="Q7" s="2011"/>
      <c r="R7" s="2011"/>
      <c r="S7" s="2011"/>
      <c r="T7" s="2011"/>
      <c r="U7" s="2011"/>
      <c r="V7" s="2011"/>
    </row>
    <row r="8" spans="1:22" ht="14.25">
      <c r="A8" s="3313" t="s">
        <v>306</v>
      </c>
      <c r="B8" s="3339">
        <v>15</v>
      </c>
      <c r="C8" s="3337"/>
      <c r="D8" s="3341"/>
      <c r="E8" s="260" t="s">
        <v>307</v>
      </c>
      <c r="F8" s="261"/>
      <c r="G8" s="261"/>
      <c r="H8" s="261"/>
      <c r="I8" s="262"/>
      <c r="J8" s="2012"/>
      <c r="K8" s="2011"/>
      <c r="L8" s="2011"/>
      <c r="M8" s="2011"/>
      <c r="N8" s="2011"/>
      <c r="O8" s="2011"/>
      <c r="P8" s="2011"/>
      <c r="Q8" s="2011"/>
      <c r="R8" s="2011"/>
      <c r="S8" s="2011"/>
      <c r="T8" s="2011"/>
      <c r="U8" s="2011"/>
      <c r="V8" s="2011"/>
    </row>
    <row r="9" spans="1:22" ht="14.25">
      <c r="A9" s="3313"/>
      <c r="B9" s="3339"/>
      <c r="C9" s="3338"/>
      <c r="D9" s="3341"/>
      <c r="E9" s="260" t="s">
        <v>308</v>
      </c>
      <c r="F9" s="261"/>
      <c r="G9" s="261"/>
      <c r="H9" s="261"/>
      <c r="I9" s="262"/>
      <c r="J9" s="2012"/>
      <c r="K9" s="2011"/>
      <c r="L9" s="2011"/>
      <c r="M9" s="2011"/>
      <c r="N9" s="2011"/>
      <c r="O9" s="2011"/>
      <c r="P9" s="2011"/>
      <c r="Q9" s="2011"/>
      <c r="R9" s="2011"/>
      <c r="S9" s="2011"/>
      <c r="T9" s="2011"/>
      <c r="U9" s="2011"/>
      <c r="V9" s="2011"/>
    </row>
    <row r="10" spans="1:22" ht="14.25">
      <c r="A10" s="3313" t="s">
        <v>309</v>
      </c>
      <c r="B10" s="3339">
        <v>15</v>
      </c>
      <c r="C10" s="3337"/>
      <c r="D10" s="3341"/>
      <c r="E10" s="260" t="s">
        <v>310</v>
      </c>
      <c r="F10" s="261"/>
      <c r="G10" s="261"/>
      <c r="H10" s="261"/>
      <c r="I10" s="262"/>
      <c r="J10" s="2012"/>
      <c r="K10" s="2011"/>
      <c r="L10" s="2011"/>
      <c r="M10" s="2011"/>
      <c r="N10" s="2011"/>
      <c r="O10" s="2011"/>
      <c r="P10" s="2011"/>
      <c r="Q10" s="2011"/>
      <c r="R10" s="2011"/>
      <c r="S10" s="2011"/>
      <c r="T10" s="2011"/>
      <c r="U10" s="2011"/>
      <c r="V10" s="2011"/>
    </row>
    <row r="11" spans="1:22" ht="14.25">
      <c r="A11" s="3313"/>
      <c r="B11" s="3339"/>
      <c r="C11" s="3338"/>
      <c r="D11" s="3341"/>
      <c r="E11" s="260" t="s">
        <v>311</v>
      </c>
      <c r="F11" s="261"/>
      <c r="G11" s="261"/>
      <c r="H11" s="261"/>
      <c r="I11" s="262"/>
      <c r="J11" s="2012"/>
      <c r="K11" s="2011"/>
      <c r="L11" s="2011"/>
      <c r="M11" s="2011"/>
      <c r="N11" s="2011"/>
      <c r="O11" s="2011"/>
      <c r="P11" s="2011"/>
      <c r="Q11" s="2011"/>
      <c r="R11" s="2011"/>
      <c r="S11" s="2011"/>
      <c r="T11" s="2011"/>
      <c r="U11" s="2011"/>
      <c r="V11" s="2011"/>
    </row>
    <row r="12" spans="1:22" ht="14.25">
      <c r="A12" s="3313" t="s">
        <v>312</v>
      </c>
      <c r="B12" s="3339">
        <v>15</v>
      </c>
      <c r="C12" s="3337"/>
      <c r="D12" s="3341"/>
      <c r="E12" s="260" t="s">
        <v>313</v>
      </c>
      <c r="F12" s="261"/>
      <c r="G12" s="261"/>
      <c r="H12" s="261"/>
      <c r="I12" s="262"/>
      <c r="J12" s="2012"/>
      <c r="K12" s="2011"/>
      <c r="L12" s="2011"/>
      <c r="M12" s="2011"/>
      <c r="N12" s="2011"/>
      <c r="O12" s="2011"/>
      <c r="P12" s="2011"/>
      <c r="Q12" s="2011"/>
      <c r="R12" s="2011"/>
      <c r="S12" s="2011"/>
      <c r="T12" s="2011"/>
      <c r="U12" s="2011"/>
      <c r="V12" s="2011"/>
    </row>
    <row r="13" spans="1:22" ht="14.25">
      <c r="A13" s="3313"/>
      <c r="B13" s="3339"/>
      <c r="C13" s="3338"/>
      <c r="D13" s="3341"/>
      <c r="E13" s="260" t="s">
        <v>314</v>
      </c>
      <c r="F13" s="261"/>
      <c r="G13" s="261"/>
      <c r="H13" s="261"/>
      <c r="I13" s="262"/>
      <c r="J13" s="2012"/>
      <c r="K13" s="2011"/>
      <c r="L13" s="2011"/>
      <c r="M13" s="2011"/>
      <c r="N13" s="2011"/>
      <c r="O13" s="2011"/>
      <c r="P13" s="2011"/>
      <c r="Q13" s="2011"/>
      <c r="R13" s="2011"/>
      <c r="S13" s="2011"/>
      <c r="T13" s="2011"/>
      <c r="U13" s="2011"/>
      <c r="V13" s="2011"/>
    </row>
    <row r="14" spans="1:22" ht="14.25">
      <c r="A14" s="3313" t="s">
        <v>315</v>
      </c>
      <c r="B14" s="3339">
        <v>30</v>
      </c>
      <c r="C14" s="3337">
        <v>5</v>
      </c>
      <c r="D14" s="3341">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313"/>
      <c r="B15" s="3339"/>
      <c r="C15" s="3340"/>
      <c r="D15" s="3341"/>
      <c r="E15" s="260" t="s">
        <v>317</v>
      </c>
      <c r="F15" s="261"/>
      <c r="G15" s="261"/>
      <c r="H15" s="261"/>
      <c r="I15" s="262"/>
      <c r="J15" s="2012"/>
      <c r="K15" s="2011"/>
      <c r="L15" s="2011"/>
      <c r="M15" s="2011"/>
      <c r="N15" s="2011"/>
      <c r="O15" s="2011"/>
      <c r="P15" s="2011"/>
      <c r="Q15" s="2011"/>
      <c r="R15" s="2011"/>
      <c r="S15" s="2011"/>
      <c r="T15" s="2011"/>
      <c r="U15" s="2011"/>
      <c r="V15" s="2011"/>
    </row>
    <row r="16" spans="1:22" ht="14.25">
      <c r="A16" s="3313"/>
      <c r="B16" s="3339"/>
      <c r="C16" s="3338"/>
      <c r="D16" s="3341"/>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205272</v>
      </c>
      <c r="D19" s="270">
        <f ca="1">SUMIF(INDIRECT("'"&amp;D4&amp;"'"&amp;"!A:A"),结果表!B19,INDIRECT("'"&amp;D4&amp;"'"&amp;"!B:B"))</f>
        <v>193304</v>
      </c>
      <c r="E19" s="267" t="s">
        <v>323</v>
      </c>
      <c r="F19" s="268" t="s">
        <v>322</v>
      </c>
      <c r="G19" s="271">
        <f ca="1">ROUND(C19*$C$18+D19*$D$18,0)</f>
        <v>199288</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15412</v>
      </c>
      <c r="D20" s="276">
        <f ca="1">SUMIF(INDIRECT("'"&amp;D4&amp;"'"&amp;"!A:A"),结果表!B20,INDIRECT("'"&amp;D4&amp;"'"&amp;"!B:B"))</f>
        <v>14513</v>
      </c>
      <c r="E20" s="273"/>
      <c r="F20" s="274" t="s">
        <v>325</v>
      </c>
      <c r="G20" s="277">
        <f ca="1">ROUND(C20*$C$18+D20*$D$18,0)</f>
        <v>14963</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57062</v>
      </c>
      <c r="D21" s="151">
        <f ca="1">SUMIF(INDIRECT("'"&amp;D4&amp;"'"&amp;"!A:A"),结果表!B21,INDIRECT("'"&amp;D4&amp;"'"&amp;"!B:B"))</f>
        <v>53735</v>
      </c>
      <c r="E21" s="273"/>
      <c r="F21" s="279" t="s">
        <v>327</v>
      </c>
      <c r="G21" s="281">
        <f ca="1">ROUND(C21*$C$18+D21*$D$18,0)</f>
        <v>55399</v>
      </c>
      <c r="H21" s="1245" t="s">
        <v>326</v>
      </c>
      <c r="I21" s="310"/>
      <c r="J21" s="2011"/>
      <c r="K21" s="2011"/>
      <c r="L21" s="2011"/>
      <c r="M21" s="2011"/>
      <c r="N21" s="2011"/>
      <c r="O21" s="2011"/>
      <c r="P21" s="2011"/>
      <c r="Q21" s="2011"/>
      <c r="R21" s="2011"/>
      <c r="S21" s="2011"/>
      <c r="T21" s="2011"/>
      <c r="U21" s="2011"/>
      <c r="V21" s="2011"/>
    </row>
    <row r="22" spans="1:26" ht="15.75" thickBot="1">
      <c r="A22" s="126" t="s">
        <v>328</v>
      </c>
      <c r="B22" s="1246"/>
      <c r="C22" s="1247"/>
      <c r="D22" s="282">
        <f ca="1">IF(C19&lt;D19,D19/C19-1,C19/D19-1)</f>
        <v>6.1912841948433606E-2</v>
      </c>
      <c r="E22" s="283"/>
      <c r="F22" s="284"/>
      <c r="G22" s="285">
        <f ca="1">ROUND(G19/('数据-汇总表'!D3/666.67),0)</f>
        <v>3693</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19" t="s">
        <v>330</v>
      </c>
      <c r="B24" s="268" t="s">
        <v>322</v>
      </c>
      <c r="C24" s="287">
        <f>IF(B30=0,0,D30)</f>
        <v>40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20"/>
      <c r="B25" s="1315" t="s">
        <v>331</v>
      </c>
      <c r="C25" s="289">
        <f>IF(B30=0,0,C30)</f>
        <v>0</v>
      </c>
      <c r="D25" s="290"/>
      <c r="E25" s="310"/>
      <c r="F25" s="310"/>
      <c r="G25" s="310"/>
      <c r="H25" s="310"/>
      <c r="I25" s="310"/>
      <c r="J25" s="2011"/>
      <c r="K25" s="1249" t="str">
        <f ca="1">项目基本情况!B16&amp;"国有建设用地使用权价格："&amp;O38&amp;"万元"</f>
        <v>出让国有建设用地使用权价格：199248万元</v>
      </c>
      <c r="L25" s="1250"/>
      <c r="M25" s="1250"/>
      <c r="N25" s="1250"/>
      <c r="O25" s="1251"/>
      <c r="P25" s="2011"/>
      <c r="Q25" s="2011"/>
      <c r="R25" s="2011"/>
      <c r="S25" s="2011"/>
      <c r="T25" s="2011"/>
      <c r="U25" s="2011"/>
      <c r="V25" s="2011"/>
    </row>
    <row r="26" spans="1:26" s="1248" customFormat="1" ht="18">
      <c r="A26" s="292" t="s">
        <v>332</v>
      </c>
      <c r="B26" s="293" t="s">
        <v>333</v>
      </c>
      <c r="C26" s="293" t="s">
        <v>334</v>
      </c>
      <c r="D26" s="294" t="s">
        <v>335</v>
      </c>
      <c r="E26" s="310"/>
      <c r="F26" s="310"/>
      <c r="G26" s="310"/>
      <c r="H26" s="310"/>
      <c r="I26" s="310"/>
      <c r="J26" s="2011"/>
      <c r="K26" s="1252" t="str">
        <f ca="1">"大写金额：人民币"&amp;NUMBERSTRING(INT(O38*10000),2)&amp;"元整"</f>
        <v>大写金额：人民币壹拾玖亿玖仟贰佰肆拾捌万元整</v>
      </c>
      <c r="L26" s="1246"/>
      <c r="M26" s="1246"/>
      <c r="N26" s="1246"/>
      <c r="O26" s="1245"/>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2" t="str">
        <f ca="1">"单位面积地价："&amp;M38&amp;"元/平方米"</f>
        <v>单位面积地价：55387元/平方米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楼面地价：14960元/平方米</v>
      </c>
      <c r="L28" s="1246"/>
      <c r="M28" s="1246"/>
      <c r="N28" s="1246"/>
      <c r="O28" s="1245"/>
      <c r="P28" s="2011"/>
      <c r="V28" s="2011"/>
    </row>
    <row r="29" spans="1:26" ht="18">
      <c r="A29" s="292"/>
      <c r="B29" s="293"/>
      <c r="C29" s="293"/>
      <c r="D29" s="294"/>
      <c r="E29" s="310"/>
      <c r="F29" s="310"/>
      <c r="G29" s="310"/>
      <c r="H29" s="310"/>
      <c r="I29" s="310"/>
      <c r="J29" s="2011"/>
      <c r="K29" s="1252" t="str">
        <f ca="1">IF(OR(项目基本情况!E8="抵押价格",项目基本情况!E8="已注销及未注销"),"抵押价格："&amp;O39&amp;"万元","——")</f>
        <v>抵押价格：199248万元</v>
      </c>
      <c r="L29" s="1246"/>
      <c r="M29" s="1246"/>
      <c r="N29" s="1246"/>
      <c r="O29" s="1245"/>
      <c r="P29" s="2011"/>
      <c r="V29" s="2011"/>
    </row>
    <row r="30" spans="1:26" ht="18.75" thickBot="1">
      <c r="A30" s="3077" t="s">
        <v>336</v>
      </c>
      <c r="B30" s="308">
        <v>1</v>
      </c>
      <c r="C30" s="308"/>
      <c r="D30" s="309">
        <v>40</v>
      </c>
      <c r="E30" s="3078" t="s">
        <v>2960</v>
      </c>
      <c r="F30" s="310"/>
      <c r="G30" s="310"/>
      <c r="H30" s="310"/>
      <c r="I30" s="310"/>
      <c r="J30" s="2011"/>
      <c r="K30" s="1252" t="str">
        <f ca="1">IF(K29="——","——","大写金额：人民币"&amp;NUMBERSTRING(INT(O39*10000),2)&amp;"元整")</f>
        <v>大写金额：人民币壹拾玖亿玖仟贰佰肆拾捌万元整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1688</v>
      </c>
      <c r="C32" s="1376">
        <f ca="1">G19-C24</f>
        <v>199248</v>
      </c>
      <c r="D32" s="1377" t="s">
        <v>1689</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1690</v>
      </c>
      <c r="C33" s="263">
        <f ca="1">ROUND(C32*10000/'数据-汇总表'!E3,0)</f>
        <v>14960</v>
      </c>
      <c r="D33" s="1379" t="s">
        <v>1691</v>
      </c>
      <c r="E33" s="3319" t="s">
        <v>338</v>
      </c>
      <c r="F33" s="295" t="s">
        <v>339</v>
      </c>
      <c r="G33" s="296"/>
      <c r="H33" s="978"/>
      <c r="I33" s="1253"/>
      <c r="J33" s="2011"/>
      <c r="K33" s="1252" t="str">
        <f>IF(项目基本情况!E9="——","——","抵押净值："&amp;C46&amp;"万元")</f>
        <v>——</v>
      </c>
      <c r="L33" s="1246"/>
      <c r="M33" s="1246"/>
      <c r="N33" s="1246"/>
      <c r="O33" s="1245"/>
      <c r="P33" s="2011"/>
      <c r="V33" s="2011"/>
    </row>
    <row r="34" spans="1:26" s="1248" customFormat="1" ht="18.75" thickBot="1">
      <c r="A34" s="299"/>
      <c r="B34" s="1380" t="s">
        <v>1692</v>
      </c>
      <c r="C34" s="263">
        <f ca="1">ROUND(C32*10000/'数据-汇总表'!D3,0)</f>
        <v>55387</v>
      </c>
      <c r="D34" s="1381" t="s">
        <v>1691</v>
      </c>
      <c r="E34" s="3360"/>
      <c r="F34" s="127" t="s">
        <v>341</v>
      </c>
      <c r="G34" s="298"/>
      <c r="H34" s="105"/>
      <c r="I34" s="310"/>
      <c r="J34" s="2011"/>
      <c r="K34" s="1255" t="str">
        <f>IF(K33="——","——","大写金额：人民币"&amp;NUMBERSTRING(INT(O41*10000),2)&amp;"元整")</f>
        <v>——</v>
      </c>
      <c r="L34" s="1256"/>
      <c r="M34" s="1256"/>
      <c r="N34" s="1256"/>
      <c r="O34" s="1257"/>
      <c r="P34" s="2011"/>
      <c r="Q34" s="291"/>
      <c r="R34" s="291"/>
      <c r="S34" s="291"/>
      <c r="T34" s="291"/>
      <c r="U34" s="291"/>
      <c r="V34" s="2011"/>
      <c r="W34" s="291"/>
      <c r="X34" s="291"/>
      <c r="Y34" s="291"/>
      <c r="Z34" s="291"/>
    </row>
    <row r="35" spans="1:26" ht="15.75" thickBot="1">
      <c r="A35" s="283"/>
      <c r="B35" s="1382"/>
      <c r="C35" s="1383">
        <f ca="1">ROUND(C32/('数据-汇总表'!D3/666.67),0)</f>
        <v>3692</v>
      </c>
      <c r="D35" s="1384" t="s">
        <v>1693</v>
      </c>
      <c r="E35" s="3361"/>
      <c r="F35" s="300" t="s">
        <v>342</v>
      </c>
      <c r="G35" s="980"/>
      <c r="H35" s="979" t="s">
        <v>343</v>
      </c>
      <c r="I35" s="310"/>
      <c r="J35" s="2011"/>
      <c r="K35" s="3334" t="s">
        <v>350</v>
      </c>
      <c r="L35" s="3334" t="s">
        <v>351</v>
      </c>
      <c r="M35" s="1258" t="s">
        <v>352</v>
      </c>
      <c r="N35" s="3334" t="s">
        <v>353</v>
      </c>
      <c r="O35" s="3334" t="s">
        <v>354</v>
      </c>
      <c r="P35" s="2011"/>
      <c r="V35" s="2011"/>
    </row>
    <row r="36" spans="1:26" ht="16.5" customHeight="1">
      <c r="A36" s="302" t="s">
        <v>344</v>
      </c>
      <c r="B36" s="303" t="s">
        <v>333</v>
      </c>
      <c r="C36" s="304" t="s">
        <v>345</v>
      </c>
      <c r="D36" s="304" t="s">
        <v>346</v>
      </c>
      <c r="E36" s="305" t="s">
        <v>347</v>
      </c>
      <c r="F36" s="310"/>
      <c r="G36" s="310"/>
      <c r="H36" s="310"/>
      <c r="I36" s="310"/>
      <c r="J36" s="2013"/>
      <c r="K36" s="3335"/>
      <c r="L36" s="3335"/>
      <c r="M36" s="1260" t="s">
        <v>355</v>
      </c>
      <c r="N36" s="3335"/>
      <c r="O36" s="3335"/>
      <c r="P36" s="2011"/>
      <c r="V36" s="2011"/>
    </row>
    <row r="37" spans="1:26" ht="16.5" customHeight="1" thickBot="1">
      <c r="A37" s="1254" t="s">
        <v>348</v>
      </c>
      <c r="B37" s="306">
        <f>'数据-汇总表'!G20</f>
        <v>5572.52</v>
      </c>
      <c r="C37" s="293">
        <f>21963*0.25*0.2</f>
        <v>1098.1500000000001</v>
      </c>
      <c r="D37" s="293">
        <v>1.0305</v>
      </c>
      <c r="E37" s="294">
        <f>ROUND(B37*C37*D37/10000,0)</f>
        <v>631</v>
      </c>
      <c r="F37" s="310"/>
      <c r="G37" s="310"/>
      <c r="H37" s="310"/>
      <c r="I37" s="310"/>
      <c r="J37" s="2013"/>
      <c r="K37" s="3336"/>
      <c r="L37" s="3336"/>
      <c r="M37" s="1261"/>
      <c r="N37" s="3336"/>
      <c r="O37" s="3336"/>
      <c r="P37" s="2011"/>
      <c r="V37" s="2011"/>
    </row>
    <row r="38" spans="1:26" ht="16.5" customHeight="1" thickBot="1">
      <c r="A38" s="1254" t="s">
        <v>349</v>
      </c>
      <c r="B38" s="306">
        <f>'数据-汇总表'!G21</f>
        <v>33195.879999999997</v>
      </c>
      <c r="C38" s="293">
        <f>21963*0.25*0.15</f>
        <v>823.61249999999995</v>
      </c>
      <c r="D38" s="293">
        <v>1.0305</v>
      </c>
      <c r="E38" s="294">
        <f>ROUND(B38*C38*D38/10000,0)</f>
        <v>2817</v>
      </c>
      <c r="F38" s="310"/>
      <c r="G38" s="310"/>
      <c r="H38" s="310"/>
      <c r="I38" s="310"/>
      <c r="J38" s="2013"/>
      <c r="K38" s="1262">
        <f>'数据-汇总表'!D3</f>
        <v>35973.68</v>
      </c>
      <c r="L38" s="1263">
        <f>'数据-汇总表'!E3</f>
        <v>133190.67000000001</v>
      </c>
      <c r="M38" s="1263">
        <f ca="1">C34</f>
        <v>55387</v>
      </c>
      <c r="N38" s="1263">
        <f ca="1">C33</f>
        <v>14960</v>
      </c>
      <c r="O38" s="1264">
        <f ca="1">C32</f>
        <v>199248</v>
      </c>
      <c r="P38" s="2011"/>
      <c r="V38" s="2011"/>
    </row>
    <row r="39" spans="1:26" ht="16.5" customHeight="1" thickBot="1">
      <c r="A39" s="1259"/>
      <c r="B39" s="307"/>
      <c r="C39" s="308"/>
      <c r="D39" s="308"/>
      <c r="E39" s="309"/>
      <c r="F39" s="310"/>
      <c r="G39" s="310"/>
      <c r="H39" s="310"/>
      <c r="I39" s="310"/>
      <c r="J39" s="2013"/>
      <c r="K39" s="3379" t="str">
        <f>MID(A44,3,LEN(A44)-2)</f>
        <v>抵押价格</v>
      </c>
      <c r="L39" s="3380"/>
      <c r="M39" s="3380"/>
      <c r="N39" s="3381"/>
      <c r="O39" s="1386">
        <f ca="1">C44</f>
        <v>199248</v>
      </c>
      <c r="P39" s="2011"/>
      <c r="V39" s="2011"/>
    </row>
    <row r="40" spans="1:26" ht="19.5" thickBot="1">
      <c r="A40" s="104" t="s">
        <v>873</v>
      </c>
      <c r="B40" s="310"/>
      <c r="C40" s="310"/>
      <c r="D40" s="310"/>
      <c r="E40" s="310"/>
      <c r="F40" s="310"/>
      <c r="G40" s="310"/>
      <c r="H40" s="310"/>
      <c r="I40" s="310"/>
      <c r="J40" s="2013"/>
      <c r="K40" s="3379" t="str">
        <f t="shared" ref="K40:K41" si="0">MID(A45,3,LEN(A45)-2)</f>
        <v/>
      </c>
      <c r="L40" s="3380"/>
      <c r="M40" s="3380"/>
      <c r="N40" s="3381"/>
      <c r="O40" s="1386" t="str">
        <f>C45</f>
        <v>——</v>
      </c>
      <c r="P40" s="2011"/>
      <c r="V40" s="2011"/>
    </row>
    <row r="41" spans="1:26" ht="16.5" thickBot="1">
      <c r="A41" s="311" t="s">
        <v>356</v>
      </c>
      <c r="B41" s="312"/>
      <c r="C41" s="313" t="s">
        <v>357</v>
      </c>
      <c r="D41" s="314" t="s">
        <v>358</v>
      </c>
      <c r="E41" s="314" t="s">
        <v>359</v>
      </c>
      <c r="F41" s="315" t="s">
        <v>360</v>
      </c>
      <c r="G41" s="310"/>
      <c r="H41" s="310"/>
      <c r="I41" s="310"/>
      <c r="J41" s="2013"/>
      <c r="K41" s="3379" t="str">
        <f t="shared" si="0"/>
        <v/>
      </c>
      <c r="L41" s="3380"/>
      <c r="M41" s="3380"/>
      <c r="N41" s="3381"/>
      <c r="O41" s="1386" t="str">
        <f>C46</f>
        <v>——</v>
      </c>
      <c r="P41" s="2011"/>
      <c r="V41" s="2011"/>
    </row>
    <row r="42" spans="1:26" ht="29.25">
      <c r="A42" s="3321" t="s">
        <v>2064</v>
      </c>
      <c r="B42" s="3322"/>
      <c r="C42" s="263">
        <f ca="1">C32</f>
        <v>199248</v>
      </c>
      <c r="D42" s="316">
        <f ca="1">C33</f>
        <v>14960</v>
      </c>
      <c r="E42" s="316">
        <f ca="1">C34</f>
        <v>55387</v>
      </c>
      <c r="F42" s="317">
        <f ca="1">C35</f>
        <v>3692</v>
      </c>
      <c r="G42" s="310"/>
      <c r="H42" s="310"/>
      <c r="I42" s="318"/>
      <c r="J42" s="2013"/>
      <c r="K42" s="1265" t="s">
        <v>361</v>
      </c>
      <c r="L42" s="2030" t="s">
        <v>362</v>
      </c>
      <c r="M42" s="1266" t="s">
        <v>363</v>
      </c>
      <c r="N42" s="2031" t="s">
        <v>364</v>
      </c>
      <c r="O42" s="2032" t="s">
        <v>365</v>
      </c>
      <c r="P42" s="2011"/>
      <c r="V42" s="2011"/>
    </row>
    <row r="43" spans="1:26" ht="30">
      <c r="A43" s="3332" t="s">
        <v>2724</v>
      </c>
      <c r="B43" s="3333"/>
      <c r="C43" s="263">
        <f>IF(H33="正常操作",G33+G34+G35,G34+G35)</f>
        <v>0</v>
      </c>
      <c r="D43" s="316" t="s">
        <v>43</v>
      </c>
      <c r="E43" s="316" t="s">
        <v>44</v>
      </c>
      <c r="F43" s="317" t="s">
        <v>44</v>
      </c>
      <c r="G43" s="2819" t="s">
        <v>952</v>
      </c>
      <c r="H43" s="310"/>
      <c r="I43" s="318"/>
      <c r="J43" s="2013"/>
      <c r="K43" s="1267" t="str">
        <f>C4</f>
        <v>剩余法-待开发</v>
      </c>
      <c r="L43" s="1268">
        <f ca="1">IF(L42="估价结果/万元",C19,C20)</f>
        <v>205272</v>
      </c>
      <c r="M43" s="1269">
        <f>C18</f>
        <v>0.5</v>
      </c>
      <c r="N43" s="1270">
        <f ca="1">IF(N42="测算结果/万元",G19,G20)</f>
        <v>199288</v>
      </c>
      <c r="O43" s="1271">
        <f ca="1">IF(O42="最终结果/万元",C32,C33)</f>
        <v>199248</v>
      </c>
      <c r="P43" s="2011"/>
      <c r="V43" s="2011"/>
    </row>
    <row r="44" spans="1:26" ht="30.75" thickBot="1">
      <c r="A44" s="3321" t="str">
        <f>IF(OR(项目基本情况!E8="抵押价格",项目基本情况!E8="已注销及未注销"),"3.抵押价格","——")</f>
        <v>3.抵押价格</v>
      </c>
      <c r="B44" s="3322"/>
      <c r="C44" s="263">
        <f ca="1">IF(A44="——","——",C42-C43)</f>
        <v>199248</v>
      </c>
      <c r="D44" s="316">
        <f ca="1">ROUND(C44*10000/'数据-汇总表'!E3,0)</f>
        <v>14960</v>
      </c>
      <c r="E44" s="316">
        <f ca="1">ROUND(C44*10000/'数据-汇总表'!D3,0)</f>
        <v>55387</v>
      </c>
      <c r="F44" s="317">
        <f ca="1">ROUND(C44/('数据-汇总表'!D3/666.67),0)</f>
        <v>3692</v>
      </c>
      <c r="G44" s="310"/>
      <c r="H44" s="310"/>
      <c r="I44" s="318"/>
      <c r="J44" s="2013"/>
      <c r="K44" s="1272" t="str">
        <f>D4</f>
        <v>比较法-住宅、综合</v>
      </c>
      <c r="L44" s="1273">
        <f ca="1">IF(L42="估价结果/万元",D19,D20)</f>
        <v>193304</v>
      </c>
      <c r="M44" s="1274">
        <f>D18</f>
        <v>0.5</v>
      </c>
      <c r="N44" s="1275"/>
      <c r="O44" s="1276"/>
      <c r="P44" s="2011"/>
      <c r="V44" s="2011"/>
    </row>
    <row r="45" spans="1:26" ht="15">
      <c r="A45" s="3327" t="str">
        <f>IF(项目基本情况!E8="已注销及未注销","4.抵押担保权已注销时的抵押价格",IF(项目基本情况!E8="已注销","3.抵押担保权已注销时的抵押价格","——"))</f>
        <v>——</v>
      </c>
      <c r="B45" s="3328"/>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23" t="str">
        <f>IF(项目基本情况!E9="抵押净值",IF(A45="——","4.抵押净值","5.抵押净值"),"——")</f>
        <v>——</v>
      </c>
      <c r="B46" s="3324"/>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5"/>
      <c r="E61" s="215"/>
      <c r="F61" s="252"/>
      <c r="G61" s="256"/>
      <c r="H61" s="256"/>
      <c r="I61" s="256"/>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368" t="s">
        <v>374</v>
      </c>
      <c r="B63" s="3369"/>
      <c r="C63" s="3370"/>
      <c r="D63" s="340">
        <f ca="1">ROUND(C42*F63,0)</f>
        <v>119549</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29" t="s">
        <v>378</v>
      </c>
      <c r="B64" s="3330"/>
      <c r="C64" s="3330"/>
      <c r="D64" s="3330"/>
      <c r="E64" s="3330"/>
      <c r="F64" s="3330"/>
      <c r="G64" s="3331"/>
      <c r="H64" s="1282"/>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5.5">
      <c r="A66" s="3325" t="s">
        <v>386</v>
      </c>
      <c r="B66" s="3326"/>
      <c r="C66" s="3326"/>
      <c r="D66" s="260">
        <f ca="1">IF(H66="情况1",0,IF(H66="情况2",D70,IF(H66="情况3",D71,IF(H66="情况4",D72))))</f>
        <v>6262</v>
      </c>
      <c r="E66" s="991" t="str">
        <f>IF(H66="情况4","(销售额-原购置价)×税（费）率","销售额×税（费）率")</f>
        <v>销售额×税（费）率</v>
      </c>
      <c r="F66" s="349">
        <f>IF(H66="情况1","免征",'数据-取费表'!B41)</f>
        <v>5.5000000000000007E-2</v>
      </c>
      <c r="G66" s="350" t="s">
        <v>387</v>
      </c>
      <c r="H66" s="191" t="s">
        <v>388</v>
      </c>
      <c r="I66" s="1282"/>
      <c r="J66" s="2017"/>
      <c r="K66" s="1285">
        <v>1</v>
      </c>
      <c r="L66" s="3383" t="s">
        <v>385</v>
      </c>
      <c r="M66" s="3384"/>
      <c r="N66" s="2420"/>
      <c r="O66" s="2421"/>
      <c r="P66" s="2422"/>
      <c r="Q66" s="2011"/>
      <c r="R66" s="2011"/>
      <c r="S66" s="2011"/>
      <c r="T66" s="2011"/>
      <c r="U66" s="2011"/>
      <c r="V66" s="2011"/>
    </row>
    <row r="67" spans="1:22" ht="25.5" customHeight="1">
      <c r="A67" s="351" t="s">
        <v>390</v>
      </c>
      <c r="B67" s="3316" t="s">
        <v>391</v>
      </c>
      <c r="C67" s="3316"/>
      <c r="D67" s="352">
        <v>0</v>
      </c>
      <c r="E67" s="41" t="s">
        <v>392</v>
      </c>
      <c r="F67" s="62" t="s">
        <v>21</v>
      </c>
      <c r="G67" s="3371"/>
      <c r="H67" s="310"/>
      <c r="I67" s="1286"/>
      <c r="J67" s="2018"/>
      <c r="K67" s="1959">
        <v>2</v>
      </c>
      <c r="L67" s="3382" t="s">
        <v>389</v>
      </c>
      <c r="M67" s="3382"/>
      <c r="N67" s="1319">
        <f>'数据-取费表'!B2</f>
        <v>43942</v>
      </c>
      <c r="O67" s="1319"/>
      <c r="P67" s="1319"/>
      <c r="Q67" s="2011"/>
      <c r="R67" s="2011"/>
      <c r="S67" s="2011"/>
      <c r="T67" s="2011"/>
      <c r="U67" s="2011"/>
      <c r="V67" s="2011"/>
    </row>
    <row r="68" spans="1:22" ht="25.5" customHeight="1">
      <c r="A68" s="353"/>
      <c r="B68" s="3316" t="s">
        <v>394</v>
      </c>
      <c r="C68" s="3316"/>
      <c r="D68" s="354"/>
      <c r="E68" s="77"/>
      <c r="F68" s="355"/>
      <c r="G68" s="3372"/>
      <c r="H68" s="310"/>
      <c r="I68" s="1286"/>
      <c r="J68" s="2018"/>
      <c r="K68" s="1959">
        <v>3</v>
      </c>
      <c r="L68" s="3382" t="s">
        <v>393</v>
      </c>
      <c r="M68" s="3382"/>
      <c r="N68" s="1287">
        <f ca="1">C42</f>
        <v>199248</v>
      </c>
      <c r="O68" s="1287"/>
      <c r="P68" s="1287"/>
      <c r="Q68" s="2011"/>
      <c r="R68" s="2011"/>
      <c r="S68" s="2011"/>
      <c r="T68" s="2011"/>
      <c r="U68" s="2011"/>
      <c r="V68" s="2011"/>
    </row>
    <row r="69" spans="1:22" ht="12" customHeight="1">
      <c r="A69" s="356"/>
      <c r="B69" s="3316" t="s">
        <v>395</v>
      </c>
      <c r="C69" s="3316"/>
      <c r="D69" s="357"/>
      <c r="E69" s="73"/>
      <c r="F69" s="355"/>
      <c r="G69" s="3373"/>
      <c r="H69" s="310"/>
      <c r="I69" s="1286"/>
      <c r="J69" s="2018"/>
      <c r="K69" s="1288">
        <v>4</v>
      </c>
      <c r="L69" s="3387" t="s">
        <v>2877</v>
      </c>
      <c r="M69" s="3388"/>
      <c r="N69" s="1289">
        <f ca="1">C44</f>
        <v>199248</v>
      </c>
      <c r="O69" s="1289"/>
      <c r="P69" s="1289"/>
      <c r="Q69" s="2011"/>
      <c r="R69" s="2011"/>
      <c r="S69" s="2011"/>
      <c r="T69" s="2011"/>
      <c r="U69" s="2011"/>
      <c r="V69" s="2011"/>
    </row>
    <row r="70" spans="1:22" ht="24" customHeight="1">
      <c r="A70" s="358" t="s">
        <v>396</v>
      </c>
      <c r="B70" s="3316" t="s">
        <v>397</v>
      </c>
      <c r="C70" s="3316"/>
      <c r="D70" s="357">
        <f ca="1">ROUND(D63*'数据-取费表'!B41/(1+'数据-取费表'!C42),0)</f>
        <v>6262</v>
      </c>
      <c r="E70" s="17" t="s">
        <v>398</v>
      </c>
      <c r="F70" s="359">
        <f>'数据-取费表'!B41</f>
        <v>5.5000000000000007E-2</v>
      </c>
      <c r="G70" s="360"/>
      <c r="H70" s="310"/>
      <c r="I70" s="1286"/>
      <c r="J70" s="2018"/>
      <c r="K70" s="3009"/>
      <c r="L70" s="3010"/>
      <c r="M70" s="3010"/>
      <c r="N70" s="3011" t="s">
        <v>2882</v>
      </c>
      <c r="O70" s="3010"/>
      <c r="P70" s="3012"/>
      <c r="Q70" s="2011"/>
      <c r="R70" s="2011"/>
      <c r="S70" s="2011"/>
      <c r="T70" s="2011"/>
      <c r="U70" s="2011"/>
      <c r="V70" s="2011"/>
    </row>
    <row r="71" spans="1:22" ht="12" customHeight="1">
      <c r="A71" s="358" t="s">
        <v>404</v>
      </c>
      <c r="B71" s="3317" t="s">
        <v>405</v>
      </c>
      <c r="C71" s="3318"/>
      <c r="D71" s="357">
        <f ca="1">ROUND(D63*'数据-取费表'!B41/(1+'数据-取费表'!C42),0)</f>
        <v>6262</v>
      </c>
      <c r="E71" s="17" t="s">
        <v>398</v>
      </c>
      <c r="F71" s="359">
        <f>'数据-取费表'!B41</f>
        <v>5.5000000000000007E-2</v>
      </c>
      <c r="G71" s="360"/>
      <c r="H71" s="310"/>
      <c r="I71" s="1286"/>
      <c r="J71" s="2018"/>
      <c r="K71" s="3008" t="s">
        <v>399</v>
      </c>
      <c r="L71" s="3389" t="s">
        <v>400</v>
      </c>
      <c r="M71" s="3389"/>
      <c r="N71" s="3008" t="s">
        <v>401</v>
      </c>
      <c r="O71" s="3008" t="s">
        <v>402</v>
      </c>
      <c r="P71" s="3008" t="s">
        <v>403</v>
      </c>
      <c r="Q71" s="2011"/>
      <c r="R71" s="2011"/>
      <c r="S71" s="2011"/>
      <c r="T71" s="2011"/>
      <c r="U71" s="2011"/>
      <c r="V71" s="2011"/>
    </row>
    <row r="72" spans="1:22" ht="12" customHeight="1">
      <c r="A72" s="358" t="s">
        <v>407</v>
      </c>
      <c r="B72" s="3317" t="s">
        <v>408</v>
      </c>
      <c r="C72" s="3318"/>
      <c r="D72" s="357">
        <f ca="1">C86</f>
        <v>6152</v>
      </c>
      <c r="E72" s="73" t="s">
        <v>409</v>
      </c>
      <c r="F72" s="359">
        <f>'数据-取费表'!B41</f>
        <v>5.5000000000000007E-2</v>
      </c>
      <c r="G72" s="360"/>
      <c r="H72" s="1292"/>
      <c r="I72" s="1286"/>
      <c r="J72" s="2018"/>
      <c r="K72" s="1959">
        <v>1</v>
      </c>
      <c r="L72" s="3364" t="s">
        <v>406</v>
      </c>
      <c r="M72" s="3364"/>
      <c r="N72" s="1290">
        <f ca="1">D66</f>
        <v>6262</v>
      </c>
      <c r="O72" s="1842" t="str">
        <f>E66</f>
        <v>销售额×税（费）率</v>
      </c>
      <c r="P72" s="1291">
        <f>F66</f>
        <v>5.5000000000000007E-2</v>
      </c>
      <c r="Q72" s="2011"/>
      <c r="R72" s="2011"/>
      <c r="S72" s="2011"/>
      <c r="T72" s="2011"/>
      <c r="U72" s="2011"/>
      <c r="V72" s="2011"/>
    </row>
    <row r="73" spans="1:22" ht="24" customHeight="1">
      <c r="A73" s="3358" t="s">
        <v>411</v>
      </c>
      <c r="B73" s="3326"/>
      <c r="C73" s="3326"/>
      <c r="D73" s="361">
        <f>IF(H73="个人住宅",0,ROUND(D63*I73,0))</f>
        <v>0</v>
      </c>
      <c r="E73" s="17" t="s">
        <v>412</v>
      </c>
      <c r="F73" s="359" t="str">
        <f>IF(H73="正常",I73,"免征")</f>
        <v>免征</v>
      </c>
      <c r="G73" s="360"/>
      <c r="H73" s="191" t="s">
        <v>2451</v>
      </c>
      <c r="I73" s="359">
        <f>'数据-取费表'!B49</f>
        <v>5.0000000000000001E-4</v>
      </c>
      <c r="J73" s="2018"/>
      <c r="K73" s="1959">
        <v>2</v>
      </c>
      <c r="L73" s="3364" t="s">
        <v>410</v>
      </c>
      <c r="M73" s="3364"/>
      <c r="N73" s="1290">
        <f t="shared" ref="N73:P74" si="1">D73</f>
        <v>0</v>
      </c>
      <c r="O73" s="1842" t="str">
        <f t="shared" si="1"/>
        <v>销售额×税（费）率</v>
      </c>
      <c r="P73" s="1291" t="str">
        <f t="shared" si="1"/>
        <v>免征</v>
      </c>
      <c r="Q73" s="2011"/>
      <c r="R73" s="2011"/>
      <c r="S73" s="2011"/>
      <c r="T73" s="2011"/>
      <c r="U73" s="2011"/>
      <c r="V73" s="2011"/>
    </row>
    <row r="74" spans="1:22" ht="24.75">
      <c r="A74" s="3358" t="s">
        <v>415</v>
      </c>
      <c r="B74" s="3326"/>
      <c r="C74" s="3326"/>
      <c r="D74" s="361">
        <f ca="1">IF(H74="个人住宅",D75,D76)</f>
        <v>67118</v>
      </c>
      <c r="E74" s="17" t="s">
        <v>416</v>
      </c>
      <c r="F74" s="359" t="str">
        <f>IF(H74="正常",F76,"免征")</f>
        <v>——</v>
      </c>
      <c r="G74" s="981" t="s">
        <v>417</v>
      </c>
      <c r="H74" s="362" t="s">
        <v>413</v>
      </c>
      <c r="I74" s="42"/>
      <c r="J74" s="2018"/>
      <c r="K74" s="1959">
        <v>3</v>
      </c>
      <c r="L74" s="3364" t="s">
        <v>414</v>
      </c>
      <c r="M74" s="3364"/>
      <c r="N74" s="1290">
        <f t="shared" ca="1" si="1"/>
        <v>67118</v>
      </c>
      <c r="O74" s="1842" t="str">
        <f t="shared" si="1"/>
        <v>增值额×税（费）率</v>
      </c>
      <c r="P74" s="1293" t="str">
        <f t="shared" si="1"/>
        <v>——</v>
      </c>
      <c r="Q74" s="2011"/>
      <c r="R74" s="2011"/>
      <c r="S74" s="2011"/>
      <c r="T74" s="2011"/>
      <c r="U74" s="2011"/>
      <c r="V74" s="2011"/>
    </row>
    <row r="75" spans="1:22" ht="24">
      <c r="A75" s="358" t="s">
        <v>418</v>
      </c>
      <c r="B75" s="3314" t="s">
        <v>419</v>
      </c>
      <c r="C75" s="3344"/>
      <c r="D75" s="363">
        <v>0</v>
      </c>
      <c r="E75" s="41" t="s">
        <v>420</v>
      </c>
      <c r="F75" s="364"/>
      <c r="G75" s="360"/>
      <c r="H75" s="42"/>
      <c r="I75" s="42"/>
      <c r="J75" s="2018"/>
      <c r="K75" s="3001">
        <f>IF(H77="非个人房产","",4)</f>
        <v>4</v>
      </c>
      <c r="L75" s="3364" t="str">
        <f>IF(H77="非个人房产","——","个人所得税")</f>
        <v>个人所得税</v>
      </c>
      <c r="M75" s="3364"/>
      <c r="N75" s="1294">
        <f ca="1">D77</f>
        <v>1195</v>
      </c>
      <c r="O75" s="1855" t="str">
        <f>E77</f>
        <v>销售额×税（费）率</v>
      </c>
      <c r="P75" s="1295">
        <f>F77</f>
        <v>0.01</v>
      </c>
      <c r="Q75" s="2011"/>
      <c r="R75" s="2011"/>
      <c r="S75" s="2011"/>
      <c r="T75" s="2011"/>
      <c r="U75" s="2011"/>
      <c r="V75" s="2011"/>
    </row>
    <row r="76" spans="1:22" ht="24.75">
      <c r="A76" s="358" t="s">
        <v>396</v>
      </c>
      <c r="B76" s="3314" t="s">
        <v>422</v>
      </c>
      <c r="C76" s="3315"/>
      <c r="D76" s="361">
        <f ca="1">IF(H76="转让取得",C99,C115)</f>
        <v>67118</v>
      </c>
      <c r="E76" s="17" t="s">
        <v>423</v>
      </c>
      <c r="F76" s="53" t="s">
        <v>21</v>
      </c>
      <c r="G76" s="360"/>
      <c r="H76" s="362" t="s">
        <v>424</v>
      </c>
      <c r="I76" s="42"/>
      <c r="J76" s="2018"/>
      <c r="K76" s="3001" t="str">
        <f>IF(项目基本情况!K6="上海银行",IF(K75="",4,K75+1),"")</f>
        <v/>
      </c>
      <c r="L76" s="3375" t="str">
        <f>IF(项目基本情况!K6="上海银行","其他处置费用","")</f>
        <v/>
      </c>
      <c r="M76" s="3376"/>
      <c r="N76" s="1290" t="str">
        <f>IF(项目基本情况!K6="上海银行",N89,"")</f>
        <v/>
      </c>
      <c r="O76" s="3377" t="str">
        <f>IF(项目基本情况!K6="上海银行","包含处置中涉及的律师、诉讼、拍卖、评估等费用","")</f>
        <v/>
      </c>
      <c r="P76" s="3378"/>
      <c r="Q76" s="2011"/>
      <c r="R76" s="2011"/>
      <c r="S76" s="2011"/>
      <c r="T76" s="2011"/>
      <c r="U76" s="2011"/>
      <c r="V76" s="2011"/>
    </row>
    <row r="77" spans="1:22" ht="26.25" thickBot="1">
      <c r="A77" s="3366" t="s">
        <v>426</v>
      </c>
      <c r="B77" s="3367"/>
      <c r="C77" s="3367"/>
      <c r="D77" s="365">
        <f ca="1">IF(H77="非个人房产","——",IF(H77="个人住宅",0,ROUND(D63*I77,0)))</f>
        <v>1195</v>
      </c>
      <c r="E77" s="366" t="str">
        <f>IF(H77="非个人房产","——","销售额×税（费）率")</f>
        <v>销售额×税（费）率</v>
      </c>
      <c r="F77" s="367">
        <f>IF(H77="非个人房产","——",IF(H77="个人住宅","免征",I77))</f>
        <v>0.01</v>
      </c>
      <c r="G77" s="982" t="s">
        <v>417</v>
      </c>
      <c r="H77" s="362" t="s">
        <v>2878</v>
      </c>
      <c r="I77" s="368">
        <v>0.01</v>
      </c>
      <c r="J77" s="2018"/>
      <c r="K77" s="3365">
        <f>IF(AND(K75="",K76=""),4,IF(项目基本情况!K6="上海银行",K76+1,K75+1))</f>
        <v>5</v>
      </c>
      <c r="L77" s="3364" t="s">
        <v>2879</v>
      </c>
      <c r="M77" s="3007" t="s">
        <v>421</v>
      </c>
      <c r="N77" s="1296"/>
      <c r="O77" s="1297">
        <f ca="1">SUMIF(N72:N76,"&lt;9e307")</f>
        <v>74575</v>
      </c>
      <c r="P77" s="1298"/>
      <c r="Q77" s="3005">
        <f ca="1">O77/N69</f>
        <v>0.37428230145346503</v>
      </c>
      <c r="R77" s="2011"/>
      <c r="S77" s="2011"/>
      <c r="T77" s="2011"/>
      <c r="U77" s="2011"/>
      <c r="V77" s="2011"/>
    </row>
    <row r="78" spans="1:22" ht="12" customHeight="1">
      <c r="A78" s="1299"/>
      <c r="B78" s="310"/>
      <c r="C78" s="310"/>
      <c r="D78" s="310"/>
      <c r="E78" s="42"/>
      <c r="F78" s="42"/>
      <c r="G78" s="42"/>
      <c r="H78" s="1001"/>
      <c r="I78" s="310"/>
      <c r="J78" s="2018"/>
      <c r="K78" s="3365"/>
      <c r="L78" s="3364"/>
      <c r="M78" s="3007" t="s">
        <v>425</v>
      </c>
      <c r="N78" s="1296"/>
      <c r="O78" s="1297" t="str">
        <f ca="1">NUMBERSTRING(INT(O77*10000),2)&amp;"元整"</f>
        <v>柒亿肆仟伍佰柒拾伍万元整</v>
      </c>
      <c r="P78" s="1298"/>
      <c r="Q78" s="2011"/>
      <c r="R78" s="2011"/>
      <c r="S78" s="2011"/>
      <c r="T78" s="2011"/>
      <c r="U78" s="2011"/>
      <c r="V78" s="2011"/>
    </row>
    <row r="79" spans="1:22" ht="13.5" thickBot="1">
      <c r="A79" s="3359" t="s">
        <v>427</v>
      </c>
      <c r="B79" s="3359"/>
      <c r="C79" s="3359"/>
      <c r="D79" s="3359"/>
      <c r="E79" s="3359"/>
      <c r="F79" s="42"/>
      <c r="G79" s="42"/>
      <c r="H79" s="1001"/>
      <c r="I79" s="310"/>
      <c r="J79" s="2018"/>
      <c r="K79" s="3385">
        <f>K77+1</f>
        <v>6</v>
      </c>
      <c r="L79" s="3364" t="s">
        <v>2880</v>
      </c>
      <c r="M79" s="3007" t="s">
        <v>421</v>
      </c>
      <c r="N79" s="1296"/>
      <c r="O79" s="1297">
        <f ca="1">N69-O77</f>
        <v>124673</v>
      </c>
      <c r="P79" s="1298"/>
      <c r="Q79" s="2011"/>
      <c r="R79" s="2011"/>
      <c r="S79" s="2011"/>
      <c r="T79" s="2011"/>
      <c r="U79" s="2011"/>
      <c r="V79" s="2011"/>
    </row>
    <row r="80" spans="1:22" ht="25.5">
      <c r="A80" s="3354" t="s">
        <v>428</v>
      </c>
      <c r="B80" s="3355"/>
      <c r="C80" s="992"/>
      <c r="D80" s="992" t="s">
        <v>429</v>
      </c>
      <c r="E80" s="369" t="s">
        <v>430</v>
      </c>
      <c r="F80" s="42"/>
      <c r="G80" s="42"/>
      <c r="H80" s="1001"/>
      <c r="I80" s="310"/>
      <c r="J80" s="2011"/>
      <c r="K80" s="3386"/>
      <c r="L80" s="3364"/>
      <c r="M80" s="3007" t="s">
        <v>425</v>
      </c>
      <c r="N80" s="1296"/>
      <c r="O80" s="1297" t="str">
        <f ca="1">NUMBERSTRING(INT(O79*10000),2)&amp;"元整"</f>
        <v>壹拾贰亿肆仟陆佰柒拾叁万元整</v>
      </c>
      <c r="P80" s="1298"/>
      <c r="Q80" s="2011"/>
      <c r="R80" s="2011"/>
      <c r="S80" s="2011"/>
      <c r="T80" s="2011"/>
      <c r="U80" s="2011"/>
      <c r="V80" s="2011"/>
    </row>
    <row r="81" spans="1:26" ht="13.5" thickBot="1">
      <c r="A81" s="380" t="s">
        <v>1823</v>
      </c>
      <c r="B81" s="370" t="s">
        <v>431</v>
      </c>
      <c r="C81" s="371">
        <f ca="1">ROUND((C82+C83)/(1+'数据-取费表'!C42),0)</f>
        <v>113856</v>
      </c>
      <c r="D81" s="372"/>
      <c r="E81" s="373"/>
      <c r="F81" s="42"/>
      <c r="G81" s="42"/>
      <c r="H81" s="1001"/>
      <c r="I81" s="310"/>
      <c r="J81" s="2011"/>
      <c r="K81" s="3001">
        <f>K79+1</f>
        <v>7</v>
      </c>
      <c r="L81" s="3362" t="s">
        <v>2881</v>
      </c>
      <c r="M81" s="3363"/>
      <c r="N81" s="1300"/>
      <c r="O81" s="1301">
        <f ca="1">ROUND(O79*10000/'数据-汇总表'!E3,0)</f>
        <v>9360</v>
      </c>
      <c r="P81" s="1302"/>
      <c r="Q81" s="2011"/>
      <c r="R81" s="2011"/>
      <c r="S81" s="2011"/>
      <c r="T81" s="2011"/>
      <c r="U81" s="2011"/>
      <c r="V81" s="2011"/>
    </row>
    <row r="82" spans="1:26" ht="13.5" thickTop="1">
      <c r="A82" s="374" t="s">
        <v>1824</v>
      </c>
      <c r="B82" s="375" t="s">
        <v>432</v>
      </c>
      <c r="C82" s="376">
        <f ca="1">D63</f>
        <v>119549</v>
      </c>
      <c r="D82" s="377" t="s">
        <v>19</v>
      </c>
      <c r="E82" s="378"/>
      <c r="F82" s="42"/>
      <c r="G82" s="42"/>
      <c r="H82" s="1001"/>
      <c r="I82" s="310"/>
      <c r="J82" s="2011"/>
      <c r="K82" s="2011"/>
      <c r="L82" s="2011"/>
      <c r="M82" s="2011"/>
      <c r="N82" s="2011"/>
      <c r="O82" s="2011"/>
      <c r="P82" s="2011"/>
      <c r="Q82" s="2011"/>
      <c r="R82" s="2011"/>
      <c r="S82" s="2011"/>
      <c r="T82" s="2011"/>
      <c r="U82" s="2011"/>
      <c r="V82" s="2011"/>
    </row>
    <row r="83" spans="1:26" ht="12.75">
      <c r="A83" s="374" t="s">
        <v>1825</v>
      </c>
      <c r="B83" s="375" t="s">
        <v>433</v>
      </c>
      <c r="C83" s="379">
        <v>0</v>
      </c>
      <c r="D83" s="377"/>
      <c r="E83" s="378"/>
      <c r="F83" s="42"/>
      <c r="G83" s="42"/>
      <c r="H83" s="1001"/>
      <c r="I83" s="310"/>
      <c r="J83" s="2011"/>
      <c r="K83" s="3374" t="s">
        <v>2868</v>
      </c>
      <c r="L83" s="3013" t="s">
        <v>2869</v>
      </c>
      <c r="M83" s="3003">
        <f ca="1">IF(N69&gt;10000,N69*0.5%,IF(AND(N69&gt;1000,N69&lt;=10000),N69*1%,IF(AND(N69&gt;100,N69&lt;=1000),N69*3%,IF(AND(N69&gt;10,N69&lt;=100),N69*5%,N69*8%))))</f>
        <v>996.24</v>
      </c>
      <c r="N83" s="53">
        <f ca="1">ROUND(M83,1)</f>
        <v>996.2</v>
      </c>
      <c r="O83" s="3006"/>
      <c r="P83" s="2011"/>
      <c r="Q83" s="2011"/>
      <c r="R83" s="2011"/>
      <c r="S83" s="2011"/>
      <c r="T83" s="2011"/>
      <c r="U83" s="2011"/>
      <c r="V83" s="2011"/>
    </row>
    <row r="84" spans="1:26" ht="12.75">
      <c r="A84" s="380" t="s">
        <v>1826</v>
      </c>
      <c r="B84" s="381" t="s">
        <v>434</v>
      </c>
      <c r="C84" s="382">
        <v>2000</v>
      </c>
      <c r="D84" s="383" t="s">
        <v>19</v>
      </c>
      <c r="E84" s="3048" t="s">
        <v>2933</v>
      </c>
      <c r="F84" s="42"/>
      <c r="G84" s="42"/>
      <c r="H84" s="1001"/>
      <c r="I84" s="310"/>
      <c r="J84" s="2011"/>
      <c r="K84" s="3374"/>
      <c r="L84" s="3013" t="s">
        <v>2870</v>
      </c>
      <c r="M84" s="3003">
        <f ca="1">IF(N69&gt;2000,N69*0.5%,IF(AND(N69&gt;1000,N69&lt;=2000),N69*0.6%,IF(AND(N69&gt;500,N69&lt;=1000),N69*0.7%,IF(AND(N69&gt;200,N69&lt;=500),N69*0.8%,IF(AND(N69&gt;100,N69&lt;=200),N69*0.9%,IF(AND(N69&gt;50,N69&lt;=100),N69*1%,IF(AND(N69&gt;20,N69&lt;=50),N69*1.5%,IF(AND(N69&gt;10,N69&lt;=20),N69*2%,IF(AND(N69&gt;1,N69&lt;=10),N69*2.5%)))))))))</f>
        <v>996.24</v>
      </c>
      <c r="N84" s="53">
        <f t="shared" ref="N84:N85" ca="1" si="2">ROUND(M84,1)</f>
        <v>996.2</v>
      </c>
      <c r="O84" s="2011" t="s">
        <v>2871</v>
      </c>
      <c r="P84" s="2011"/>
      <c r="Q84" s="2011"/>
      <c r="R84" s="2011"/>
      <c r="S84" s="2011"/>
      <c r="T84" s="2011"/>
      <c r="U84" s="2011"/>
      <c r="V84" s="2011"/>
    </row>
    <row r="85" spans="1:26" ht="12.75">
      <c r="A85" s="380" t="s">
        <v>1827</v>
      </c>
      <c r="B85" s="381" t="s">
        <v>435</v>
      </c>
      <c r="C85" s="384">
        <f ca="1">C81-C84</f>
        <v>111856</v>
      </c>
      <c r="D85" s="377" t="s">
        <v>19</v>
      </c>
      <c r="E85" s="378"/>
      <c r="F85" s="42"/>
      <c r="G85" s="42"/>
      <c r="H85" s="1001"/>
      <c r="I85" s="310"/>
      <c r="J85" s="2011"/>
      <c r="K85" s="3374"/>
      <c r="L85" s="3013" t="s">
        <v>2872</v>
      </c>
      <c r="M85" s="3003">
        <f ca="1">IF(N69&gt;1000,N69*0.1%,IF(AND(N69&gt;500,N69&lt;=1000),N69*0.5%,IF(AND(N69&gt;50,N69&lt;=500),N69*1%,IF(AND(N69&gt;1,N69&lt;=50),N69*1.5%))))</f>
        <v>199.24799999999999</v>
      </c>
      <c r="N85" s="53">
        <f t="shared" ca="1" si="2"/>
        <v>199.2</v>
      </c>
      <c r="O85" s="2011" t="s">
        <v>2871</v>
      </c>
      <c r="P85" s="2011"/>
      <c r="Q85" s="2011"/>
      <c r="R85" s="2011"/>
      <c r="S85" s="2011"/>
      <c r="T85" s="2011"/>
      <c r="U85" s="2011"/>
      <c r="V85" s="2011"/>
    </row>
    <row r="86" spans="1:26" ht="13.5" thickBot="1">
      <c r="A86" s="385" t="s">
        <v>1828</v>
      </c>
      <c r="B86" s="386" t="s">
        <v>436</v>
      </c>
      <c r="C86" s="387">
        <f ca="1">IF(C85&lt;=0,0,ROUND(C85*D86,0))</f>
        <v>6152</v>
      </c>
      <c r="D86" s="388">
        <f>'数据-取费表'!B41</f>
        <v>5.5000000000000007E-2</v>
      </c>
      <c r="E86" s="389"/>
      <c r="F86" s="42"/>
      <c r="G86" s="42"/>
      <c r="H86" s="1001"/>
      <c r="I86" s="310"/>
      <c r="J86" s="2011"/>
      <c r="K86" s="3374"/>
      <c r="L86" s="3013" t="s">
        <v>2873</v>
      </c>
      <c r="M86" s="3003">
        <f ca="1">N69*0.5%</f>
        <v>996.24</v>
      </c>
      <c r="N86" s="53">
        <f ca="1">IF(M86&gt;0.5,0.5,ROUND(M86,0))</f>
        <v>0.5</v>
      </c>
      <c r="O86" s="2011" t="s">
        <v>2874</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374"/>
      <c r="L87" s="3013" t="s">
        <v>2875</v>
      </c>
      <c r="M87" s="3003">
        <f ca="1">IF(N69&gt;=10000,(8.25+(N69-10000)*0.01%),IF(AND(N69&gt;=8000,N69&lt;10000),(7.85+(N69-8000)*0.02%),IF(AND(N69&gt;=5000,N69&lt;8000),(6.65+(N69-5000)*0.04%),IF(AND(N69&gt;=2000,N69&lt;5000),(4.25+(PN69-2000)*0.08%),IF(AND(N69&gt;=1000,N69&lt;2000),(2.75+(N69-1000)*0.15%),IF(AND(N69&gt;=100,N69&lt;1000),(0.5+(N69-100)*0.25%),IF(AND(N69&gt;0,N69&lt;100),N69*0.5%)))))))</f>
        <v>27.174800000000001</v>
      </c>
      <c r="N87" s="53">
        <f ca="1">ROUND(M87*0.9,1)</f>
        <v>24.5</v>
      </c>
      <c r="O87" s="3006"/>
      <c r="P87" s="310"/>
      <c r="Q87" s="2011"/>
      <c r="R87" s="2011"/>
      <c r="S87" s="2011"/>
      <c r="T87" s="2011"/>
      <c r="U87" s="2011"/>
      <c r="V87" s="2011"/>
      <c r="W87" s="291"/>
      <c r="X87" s="291"/>
      <c r="Y87" s="291"/>
      <c r="Z87" s="291"/>
    </row>
    <row r="88" spans="1:26" s="1308" customFormat="1" ht="15" thickBot="1">
      <c r="A88" s="3356" t="s">
        <v>437</v>
      </c>
      <c r="B88" s="3357"/>
      <c r="C88" s="3357"/>
      <c r="D88" s="3357"/>
      <c r="E88" s="3357"/>
      <c r="F88" s="3357"/>
      <c r="G88" s="3357"/>
      <c r="H88" s="3357"/>
      <c r="I88" s="1309"/>
      <c r="J88" s="2019"/>
      <c r="K88" s="3374"/>
      <c r="L88" s="3013" t="s">
        <v>2876</v>
      </c>
      <c r="M88" s="3003">
        <f ca="1">IF(N69&gt;10000,N69*0.5%,IF(AND(N69&gt;5000,N69&lt;=10000),N69*1%,IF(AND(N69&gt;1000,N69&lt;=5000),N69*2%,IF(AND(N69&gt;200,N69&lt;=1000),N69*3%,N69*5%))))</f>
        <v>996.24</v>
      </c>
      <c r="N88" s="53">
        <f ca="1">ROUND(M88,1)</f>
        <v>996.2</v>
      </c>
      <c r="O88" s="3006"/>
      <c r="P88" s="11"/>
      <c r="Q88" s="2016"/>
      <c r="R88" s="2016"/>
      <c r="S88" s="2016"/>
      <c r="T88" s="2016"/>
      <c r="U88" s="2016"/>
      <c r="V88" s="2016"/>
      <c r="W88" s="2020"/>
      <c r="X88" s="2020"/>
      <c r="Y88" s="2020"/>
      <c r="Z88" s="2020"/>
    </row>
    <row r="89" spans="1:26" s="1308" customFormat="1" ht="14.25">
      <c r="A89" s="3354" t="s">
        <v>428</v>
      </c>
      <c r="B89" s="3355"/>
      <c r="C89" s="992"/>
      <c r="D89" s="992" t="s">
        <v>429</v>
      </c>
      <c r="E89" s="390" t="s">
        <v>438</v>
      </c>
      <c r="F89" s="391"/>
      <c r="G89" s="391"/>
      <c r="H89" s="392"/>
      <c r="I89" s="1310"/>
      <c r="J89" s="2021"/>
      <c r="K89" s="3374"/>
      <c r="L89" s="3013" t="s">
        <v>27</v>
      </c>
      <c r="M89" s="3004"/>
      <c r="N89" s="53">
        <f ca="1">ROUND(SUM(N83:N88),0)</f>
        <v>3213</v>
      </c>
      <c r="O89" s="3014">
        <f ca="1">N89/N69</f>
        <v>1.6125632377740305E-2</v>
      </c>
      <c r="P89" s="2016"/>
      <c r="Q89" s="2016"/>
      <c r="R89" s="2016"/>
      <c r="S89" s="2016"/>
      <c r="T89" s="2016"/>
      <c r="U89" s="2016"/>
      <c r="V89" s="2016"/>
      <c r="W89" s="2020"/>
      <c r="X89" s="2020"/>
      <c r="Y89" s="2020"/>
      <c r="Z89" s="2020"/>
    </row>
    <row r="90" spans="1:26" s="1308" customFormat="1" ht="14.25">
      <c r="A90" s="380" t="s">
        <v>1823</v>
      </c>
      <c r="B90" s="381" t="s">
        <v>439</v>
      </c>
      <c r="C90" s="384">
        <f ca="1">ROUND(D63/(1+'数据-取费表'!C42),0)</f>
        <v>113856</v>
      </c>
      <c r="D90" s="377" t="s">
        <v>19</v>
      </c>
      <c r="E90" s="989"/>
      <c r="F90" s="988"/>
      <c r="G90" s="988"/>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0" t="s">
        <v>1829</v>
      </c>
      <c r="B91" s="347" t="s">
        <v>440</v>
      </c>
      <c r="C91" s="384">
        <f ca="1">C92+C96</f>
        <v>3130</v>
      </c>
      <c r="D91" s="377" t="s">
        <v>19</v>
      </c>
      <c r="E91" s="989"/>
      <c r="F91" s="988"/>
      <c r="G91" s="988"/>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1830</v>
      </c>
      <c r="B92" s="375" t="s">
        <v>441</v>
      </c>
      <c r="C92" s="377">
        <f>ROUND(IF(G95="2016年5月1日后购买",C93/(1+'数据-取费表'!C30)+C94+C95,C93+C94+C95),0)</f>
        <v>2561</v>
      </c>
      <c r="D92" s="377" t="s">
        <v>19</v>
      </c>
      <c r="E92" s="989"/>
      <c r="F92" s="988"/>
      <c r="G92" s="988"/>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4" t="s">
        <v>1831</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1832</v>
      </c>
      <c r="B94" s="399" t="s">
        <v>446</v>
      </c>
      <c r="C94" s="377">
        <f>IF(F93="购房发票",ROUND(C93*H93*5%,0),0)</f>
        <v>500</v>
      </c>
      <c r="D94" s="400">
        <v>0.05</v>
      </c>
      <c r="E94" s="3317" t="s">
        <v>447</v>
      </c>
      <c r="F94" s="3316"/>
      <c r="G94" s="3316"/>
      <c r="H94" s="3353"/>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1833</v>
      </c>
      <c r="B95" s="375" t="s">
        <v>448</v>
      </c>
      <c r="C95" s="377">
        <f>ROUND(IF(G95="个人买卖住房",0,IF(G95="2016年5月1日前购买",C93*D95,C93*D95/(1+'数据-取费表'!C42))),0)</f>
        <v>61</v>
      </c>
      <c r="D95" s="401">
        <f>'数据-取费表'!B48+'数据-取费表'!B49</f>
        <v>3.0499999999999999E-2</v>
      </c>
      <c r="E95" s="26" t="s">
        <v>449</v>
      </c>
      <c r="F95" s="402"/>
      <c r="G95" s="403" t="s">
        <v>2425</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1834</v>
      </c>
      <c r="B96" s="375" t="s">
        <v>450</v>
      </c>
      <c r="C96" s="404">
        <f ca="1">ROUND(D63*D96/(1+'数据-取费表'!C42),0)</f>
        <v>569</v>
      </c>
      <c r="D96" s="405">
        <f>'数据-取费表'!B43</f>
        <v>5.000000000000001E-3</v>
      </c>
      <c r="E96" s="3345" t="s">
        <v>2424</v>
      </c>
      <c r="F96" s="3346"/>
      <c r="G96" s="3346"/>
      <c r="H96" s="3347"/>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1835</v>
      </c>
      <c r="B97" s="381" t="s">
        <v>451</v>
      </c>
      <c r="C97" s="384">
        <f ca="1">C90-C91</f>
        <v>110726</v>
      </c>
      <c r="D97" s="377" t="s">
        <v>19</v>
      </c>
      <c r="E97" s="989"/>
      <c r="F97" s="988"/>
      <c r="G97" s="988"/>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1836</v>
      </c>
      <c r="B98" s="381" t="s">
        <v>452</v>
      </c>
      <c r="C98" s="406">
        <f ca="1">IF(C97&lt;=0,0,C97/C91)</f>
        <v>35.375718849840254</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1837</v>
      </c>
      <c r="B99" s="386" t="s">
        <v>453</v>
      </c>
      <c r="C99" s="407">
        <f ca="1">ROUND(IF(C97&lt;=0,0,IF(C98&gt;=200%,C97*60%-C91*35%,IF(C98&gt;=100%,C97*50%-C91*15%,IF(C98&gt;=50%,C97*40%-C91*5%,IF(C98&lt;50%,C97*30%,0))))),0)</f>
        <v>65340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356" t="s">
        <v>454</v>
      </c>
      <c r="B101" s="3357"/>
      <c r="C101" s="3357"/>
      <c r="D101" s="3357"/>
      <c r="E101" s="3357"/>
      <c r="F101" s="3357"/>
      <c r="G101" s="3357"/>
      <c r="H101" s="3357"/>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54" t="s">
        <v>428</v>
      </c>
      <c r="B102" s="3355"/>
      <c r="C102" s="992"/>
      <c r="D102" s="992"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0" t="s">
        <v>1823</v>
      </c>
      <c r="B103" s="381" t="s">
        <v>439</v>
      </c>
      <c r="C103" s="384">
        <f ca="1">ROUND(D63/(1+'数据-取费表'!C42),0)</f>
        <v>113856</v>
      </c>
      <c r="D103" s="377" t="s">
        <v>19</v>
      </c>
      <c r="E103" s="989"/>
      <c r="F103" s="988"/>
      <c r="G103" s="988"/>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0" t="s">
        <v>1829</v>
      </c>
      <c r="B104" s="347" t="s">
        <v>440</v>
      </c>
      <c r="C104" s="384">
        <f ca="1">IF(H106="仅含出让金",C105+C108+C109+C110+C111+C112,C105+C109+C110+C111+C112)</f>
        <v>1259</v>
      </c>
      <c r="D104" s="414"/>
      <c r="E104" s="989"/>
      <c r="F104" s="988"/>
      <c r="G104" s="988"/>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4" t="s">
        <v>1830</v>
      </c>
      <c r="B105" s="375" t="s">
        <v>455</v>
      </c>
      <c r="C105" s="404">
        <f>C106+C107</f>
        <v>572</v>
      </c>
      <c r="D105" s="405"/>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4" t="s">
        <v>1831</v>
      </c>
      <c r="B106" s="375" t="s">
        <v>456</v>
      </c>
      <c r="C106" s="415">
        <v>555</v>
      </c>
      <c r="D106" s="405"/>
      <c r="E106" s="416" t="s">
        <v>457</v>
      </c>
      <c r="F106" s="984"/>
      <c r="G106" s="417" t="s">
        <v>458</v>
      </c>
      <c r="H106" s="418" t="s">
        <v>2435</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4" t="s">
        <v>1832</v>
      </c>
      <c r="B107" s="375" t="s">
        <v>448</v>
      </c>
      <c r="C107" s="404">
        <f>ROUND(C106*D107,0)</f>
        <v>17</v>
      </c>
      <c r="D107" s="405">
        <f>'数据-取费表'!B48+'数据-取费表'!B49</f>
        <v>3.0499999999999999E-2</v>
      </c>
      <c r="E107" s="416"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4" t="s">
        <v>1834</v>
      </c>
      <c r="B108" s="375" t="s">
        <v>460</v>
      </c>
      <c r="C108" s="415"/>
      <c r="D108" s="405"/>
      <c r="E108" s="416"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1838</v>
      </c>
      <c r="B109" s="375" t="s">
        <v>461</v>
      </c>
      <c r="C109" s="404">
        <f>IF(H109="——",IF(F1="现房",'剩余法-现房'!C18,'剩余法-待开发'!C18),I109)</f>
        <v>55</v>
      </c>
      <c r="D109" s="405"/>
      <c r="E109" s="3348" t="s">
        <v>462</v>
      </c>
      <c r="F109" s="3346"/>
      <c r="G109" s="3346"/>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1839</v>
      </c>
      <c r="B110" s="375" t="s">
        <v>463</v>
      </c>
      <c r="C110" s="404">
        <f>ROUND((C105+C108+C109)*D110,0)</f>
        <v>63</v>
      </c>
      <c r="D110" s="405">
        <v>0.1</v>
      </c>
      <c r="E110" s="3348" t="s">
        <v>464</v>
      </c>
      <c r="F110" s="3346"/>
      <c r="G110" s="3346"/>
      <c r="H110" s="3347"/>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1840</v>
      </c>
      <c r="B111" s="375" t="s">
        <v>450</v>
      </c>
      <c r="C111" s="404">
        <f ca="1">ROUND(D63*D111/(1+'数据-取费表'!C42),0)</f>
        <v>569</v>
      </c>
      <c r="D111" s="405">
        <f>'数据-取费表'!B43</f>
        <v>5.000000000000001E-3</v>
      </c>
      <c r="E111" s="3345" t="s">
        <v>2424</v>
      </c>
      <c r="F111" s="3346"/>
      <c r="G111" s="3346"/>
      <c r="H111" s="3347"/>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1841</v>
      </c>
      <c r="B112" s="375" t="s">
        <v>465</v>
      </c>
      <c r="C112" s="404">
        <f>ROUND(C108*D112,0)</f>
        <v>0</v>
      </c>
      <c r="D112" s="405">
        <v>0.2</v>
      </c>
      <c r="E112" s="3348" t="s">
        <v>2449</v>
      </c>
      <c r="F112" s="3346"/>
      <c r="G112" s="3346"/>
      <c r="H112" s="3347"/>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1835</v>
      </c>
      <c r="B113" s="381" t="s">
        <v>451</v>
      </c>
      <c r="C113" s="384">
        <f ca="1">ROUND(C103-C104,0)</f>
        <v>112597</v>
      </c>
      <c r="D113" s="377" t="s">
        <v>19</v>
      </c>
      <c r="E113" s="989"/>
      <c r="F113" s="988"/>
      <c r="G113" s="988"/>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1836</v>
      </c>
      <c r="B114" s="381" t="s">
        <v>452</v>
      </c>
      <c r="C114" s="406">
        <f ca="1">IF(C113&lt;=0,0,C113/C104)</f>
        <v>89.433677521842739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1837</v>
      </c>
      <c r="B115" s="386" t="s">
        <v>453</v>
      </c>
      <c r="C115" s="407">
        <f ca="1">ROUND(IF(C113&lt;=0,0,IF(C114&gt;=200%,C113*60%-C104*35%,IF(C114&gt;=100%,C113*50%-C104*15%,IF(C114&gt;=50%,C113*40%-C104*5%,IF(C114&lt;50%,C113*30%,0))))),0)</f>
        <v>67118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9</v>
      </c>
    </row>
    <row r="2" spans="1:31" s="2024" customFormat="1" ht="18" customHeight="1">
      <c r="A2" s="2084" t="s">
        <v>467</v>
      </c>
      <c r="B2" s="2088">
        <f ca="1">C36</f>
        <v>205272</v>
      </c>
      <c r="C2" s="2087"/>
      <c r="D2" s="2087"/>
      <c r="E2" s="2087"/>
      <c r="F2" s="2087"/>
      <c r="G2" s="2087"/>
      <c r="H2" s="2087"/>
      <c r="I2" s="2087"/>
      <c r="J2" s="2087"/>
      <c r="K2" s="2087"/>
    </row>
    <row r="3" spans="1:31" s="2024" customFormat="1" ht="18" customHeight="1">
      <c r="A3" s="2089" t="s">
        <v>1684</v>
      </c>
      <c r="B3" s="2090">
        <f ca="1">ROUND(B2*10000/IF(B1="",'数据-汇总表'!E3,INDIRECT("'数据-取费表'!K"&amp;$K$1)),0)</f>
        <v>15412</v>
      </c>
      <c r="C3" s="2087"/>
      <c r="D3" s="2087"/>
      <c r="E3" s="2087"/>
      <c r="F3" s="2087"/>
      <c r="G3" s="2087"/>
      <c r="H3" s="2087"/>
      <c r="I3" s="2087"/>
      <c r="J3" s="2087"/>
      <c r="K3" s="2087"/>
    </row>
    <row r="4" spans="1:31" s="2024" customFormat="1" ht="18" customHeight="1">
      <c r="A4" s="425" t="s">
        <v>468</v>
      </c>
      <c r="B4" s="426">
        <f ca="1">ROUND(B2*10000/IF(B1="",'数据-汇总表'!D3,INDIRECT("'数据-取费表'!R"&amp;$K$1)),0)</f>
        <v>57062</v>
      </c>
      <c r="C4" s="427"/>
      <c r="D4" s="421"/>
      <c r="E4" s="421"/>
      <c r="F4" s="421"/>
      <c r="G4" s="421"/>
      <c r="H4" s="421"/>
      <c r="I4" s="421"/>
      <c r="J4" s="421"/>
      <c r="K4" s="421"/>
    </row>
    <row r="5" spans="1:31" s="2024" customFormat="1" ht="18" customHeight="1" thickBot="1">
      <c r="A5" s="428"/>
      <c r="B5" s="429">
        <f ca="1">ROUND(B2/(IF(B1="",'数据-汇总表'!D3,INDIRECT("'数据-取费表'!R"&amp;$K$1))/666.67),0)</f>
        <v>3804</v>
      </c>
      <c r="C5" s="430" t="s">
        <v>469</v>
      </c>
      <c r="D5" s="421"/>
      <c r="E5" s="421"/>
      <c r="F5" s="421"/>
      <c r="G5" s="421"/>
      <c r="H5" s="421"/>
      <c r="I5" s="421"/>
      <c r="J5" s="421"/>
      <c r="K5" s="421"/>
    </row>
    <row r="6" spans="1:31" s="2094" customFormat="1" ht="16.5" customHeight="1">
      <c r="A6" s="2781" t="s">
        <v>1842</v>
      </c>
      <c r="B6" s="2782"/>
      <c r="C6" s="2783">
        <f>SUM(C10:K10)</f>
        <v>397019</v>
      </c>
      <c r="D6" s="2782"/>
      <c r="E6" s="2782"/>
      <c r="F6" s="2782"/>
      <c r="G6" s="2782"/>
      <c r="H6" s="2782"/>
      <c r="I6" s="2782"/>
      <c r="J6" s="2782"/>
      <c r="K6" s="2784"/>
    </row>
    <row r="7" spans="1:31" s="2096" customFormat="1" ht="15">
      <c r="A7" s="2785" t="s">
        <v>470</v>
      </c>
      <c r="B7" s="2786" t="s">
        <v>471</v>
      </c>
      <c r="C7" s="435" t="s">
        <v>3038</v>
      </c>
      <c r="D7" s="435" t="s">
        <v>2995</v>
      </c>
      <c r="E7" s="435" t="s">
        <v>2994</v>
      </c>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1845</v>
      </c>
      <c r="B8" s="260" t="s">
        <v>472</v>
      </c>
      <c r="C8" s="2787">
        <f>'不动产比较法-住宅'!B3</f>
        <v>43876</v>
      </c>
      <c r="D8" s="2787">
        <f>'不动产比较法-仓储'!B3</f>
        <v>20869</v>
      </c>
      <c r="E8" s="2787">
        <f>'不动产比较法-车位'!B3</f>
        <v>6088</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1846</v>
      </c>
      <c r="B9" s="260" t="s">
        <v>473</v>
      </c>
      <c r="C9" s="440">
        <f>SUMIF('数据-汇总表'!$C19:$C33,'剩余法-待开发'!C7,'数据-汇总表'!$E19:$E33)</f>
        <v>83230.11</v>
      </c>
      <c r="D9" s="440">
        <f>SUMIF('数据-汇总表'!$C19:$C33,'剩余法-待开发'!D7,'数据-汇总表'!$E19:$E33)</f>
        <v>5572.52</v>
      </c>
      <c r="E9" s="440">
        <f>SUMIF('数据-汇总表'!$C19:$C33,'剩余法-待开发'!E7,'数据-汇总表'!$E19:$E33)</f>
        <v>33195.879999999997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7">
        <f>'不动产比较法-住宅'!B2</f>
        <v>365180</v>
      </c>
      <c r="D10" s="2977">
        <f>'不动产比较法-仓储'!B2</f>
        <v>11629</v>
      </c>
      <c r="E10" s="2977">
        <f>'不动产比较法-车位'!B2</f>
        <v>20210</v>
      </c>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9">
        <f ca="1">IF(B1="",'数据-取费表'!P16,INDIRECT("'数据-取费表'!p"&amp;$K$1)+INDIRECT("'数据-取费表'!t"&amp;$K$1))</f>
        <v>64118</v>
      </c>
      <c r="D13" s="2797"/>
      <c r="E13" s="2798"/>
      <c r="F13" s="2799"/>
      <c r="G13" s="2765"/>
      <c r="H13" s="2766"/>
      <c r="I13" s="2766"/>
      <c r="J13" s="2766"/>
      <c r="K13" s="2767"/>
    </row>
    <row r="14" spans="1:31" s="2099" customFormat="1" ht="13.5" customHeight="1">
      <c r="A14" s="2795" t="s">
        <v>1849</v>
      </c>
      <c r="B14" s="2796" t="s">
        <v>480</v>
      </c>
      <c r="C14" s="53">
        <f ca="1">ROUND(C13*F14,0)</f>
        <v>1924</v>
      </c>
      <c r="D14" s="2797"/>
      <c r="E14" s="2798"/>
      <c r="F14" s="2800">
        <f>'数据-取费表'!B33</f>
        <v>0.03</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2164</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2664</v>
      </c>
      <c r="D16" s="2797">
        <f ca="1">IF(B1="",'数据-汇总表'!E3,INDIRECT("'数据-取费表'!K"&amp;$K$1)+INDIRECT("'数据-取费表'!S"&amp;$K$1))</f>
        <v>133190.67000000001</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962</v>
      </c>
      <c r="D17" s="474"/>
      <c r="E17" s="2801"/>
      <c r="F17" s="2802">
        <f>'数据-取费表'!B36</f>
        <v>1.4999999999999999E-2</v>
      </c>
      <c r="G17" s="260" t="s">
        <v>486</v>
      </c>
      <c r="H17" s="2768"/>
      <c r="I17" s="2768"/>
      <c r="J17" s="2768"/>
      <c r="K17" s="278"/>
    </row>
    <row r="18" spans="1:14" s="2099" customFormat="1" ht="13.5" customHeight="1">
      <c r="A18" s="2803" t="s">
        <v>1853</v>
      </c>
      <c r="B18" s="2804" t="s">
        <v>487</v>
      </c>
      <c r="C18" s="2805">
        <f ca="1">SUM(C13:C17)</f>
        <v>71832</v>
      </c>
      <c r="D18" s="2806"/>
      <c r="E18" s="467"/>
      <c r="F18" s="467"/>
      <c r="G18" s="2769" t="s">
        <v>2426</v>
      </c>
      <c r="H18" s="2770"/>
      <c r="I18" s="2770"/>
      <c r="J18" s="2770"/>
      <c r="K18" s="2771"/>
    </row>
    <row r="19" spans="1:14" s="2099" customFormat="1" ht="13.5" customHeight="1">
      <c r="A19" s="2803" t="s">
        <v>1854</v>
      </c>
      <c r="B19" s="2804" t="s">
        <v>488</v>
      </c>
      <c r="C19" s="2761">
        <f ca="1">ROUND(D19*E19/10000,0)</f>
        <v>0</v>
      </c>
      <c r="D19" s="2807">
        <f ca="1">D16</f>
        <v>133190.67000000001</v>
      </c>
      <c r="E19" s="2761">
        <f>'数据-取费表'!B32</f>
        <v>0</v>
      </c>
      <c r="F19" s="467"/>
      <c r="G19" s="2765" t="s">
        <v>489</v>
      </c>
      <c r="H19" s="2766"/>
      <c r="I19" s="2770"/>
      <c r="J19" s="2770"/>
      <c r="K19" s="2771"/>
    </row>
    <row r="20" spans="1:14" s="2099" customFormat="1" ht="13.5" customHeight="1">
      <c r="A20" s="2803" t="s">
        <v>1855</v>
      </c>
      <c r="B20" s="2804" t="s">
        <v>490</v>
      </c>
      <c r="C20" s="2761">
        <f ca="1">C21+C22-IF(B1="",'数据-取费表'!B29,IF(G20="已全部缴纳",C21+C22,H20))</f>
        <v>2014</v>
      </c>
      <c r="D20" s="2807"/>
      <c r="E20" s="2761"/>
      <c r="F20" s="2808"/>
      <c r="G20" s="3036" t="s">
        <v>3043</v>
      </c>
      <c r="H20" s="2763"/>
      <c r="I20" s="2764" t="s">
        <v>2645</v>
      </c>
      <c r="J20" s="2770"/>
      <c r="K20" s="2771"/>
    </row>
    <row r="21" spans="1:14" s="2099" customFormat="1" ht="13.5" customHeight="1">
      <c r="A21" s="2795" t="s">
        <v>1856</v>
      </c>
      <c r="B21" s="2796" t="s">
        <v>491</v>
      </c>
      <c r="C21" s="53">
        <f ca="1">ROUND(D21*E21/10000,0)</f>
        <v>1165</v>
      </c>
      <c r="D21" s="2797">
        <f ca="1">IF(B1="",'数据-汇总表'!E5,IF(INDIRECT("'数据-取费表'!c"&amp;$K$1)="住宅",INDIRECT("'数据-取费表'!k"&amp;$K$1),0))</f>
        <v>83230.11</v>
      </c>
      <c r="E21" s="53">
        <f>'数据-取费表'!B27</f>
        <v>140</v>
      </c>
      <c r="F21" s="2800"/>
      <c r="G21" s="26"/>
      <c r="H21" s="51"/>
      <c r="I21" s="51"/>
      <c r="J21" s="51"/>
      <c r="K21" s="2772"/>
    </row>
    <row r="22" spans="1:14" s="2099" customFormat="1" ht="13.5" customHeight="1">
      <c r="A22" s="2795" t="s">
        <v>1857</v>
      </c>
      <c r="B22" s="2796" t="s">
        <v>492</v>
      </c>
      <c r="C22" s="53">
        <f ca="1">ROUND(D22*E22/10000,0)</f>
        <v>849</v>
      </c>
      <c r="D22" s="2797">
        <f ca="1">IF(B1="",'数据-汇总表'!E6,IF(INDIRECT("'数据-取费表'!c"&amp;$K$1)="住宅",INDIRECT("'数据-取费表'!s"&amp;$K$1),INDIRECT("'数据-取费表'!k"&amp;$K$1)+INDIRECT("'数据-取费表'!s"&amp;$K$1)))</f>
        <v>49960.560000000012</v>
      </c>
      <c r="E22" s="53">
        <f>'数据-取费表'!B28</f>
        <v>170</v>
      </c>
      <c r="F22" s="2800"/>
      <c r="G22" s="26"/>
      <c r="H22" s="51"/>
      <c r="I22" s="51"/>
      <c r="J22" s="51"/>
      <c r="K22" s="2772"/>
    </row>
    <row r="23" spans="1:14" s="2099" customFormat="1" ht="13.5" customHeight="1">
      <c r="A23" s="2803" t="s">
        <v>1858</v>
      </c>
      <c r="B23" s="2983" t="s">
        <v>2828</v>
      </c>
      <c r="C23" s="2805">
        <f ca="1">ROUND((C18+C19+C20)*F23,0)</f>
        <v>1477</v>
      </c>
      <c r="D23" s="467"/>
      <c r="E23" s="467"/>
      <c r="F23" s="2809">
        <f>'数据-取费表'!B37</f>
        <v>0.02</v>
      </c>
      <c r="G23" s="2765" t="s">
        <v>2427</v>
      </c>
      <c r="H23" s="2766"/>
      <c r="I23" s="2766"/>
      <c r="J23" s="2766"/>
      <c r="K23" s="2767"/>
      <c r="L23" s="2101"/>
      <c r="M23" s="2101"/>
      <c r="N23" s="2101"/>
    </row>
    <row r="24" spans="1:14" s="2099" customFormat="1" ht="13.5" customHeight="1">
      <c r="A24" s="2803" t="s">
        <v>1859</v>
      </c>
      <c r="B24" s="2983" t="s">
        <v>2831</v>
      </c>
      <c r="C24" s="2805">
        <f>ROUND(C6*F24,0)</f>
        <v>7940</v>
      </c>
      <c r="D24" s="474"/>
      <c r="E24" s="472"/>
      <c r="F24" s="2809">
        <f>'数据-取费表'!B38</f>
        <v>0.02</v>
      </c>
      <c r="G24" s="2774" t="s">
        <v>499</v>
      </c>
      <c r="H24" s="2768"/>
      <c r="I24" s="2768"/>
      <c r="J24" s="2768"/>
      <c r="K24" s="278"/>
      <c r="L24" s="2101"/>
      <c r="M24" s="2101"/>
      <c r="N24" s="2101"/>
    </row>
    <row r="25" spans="1:14" s="2102" customFormat="1" ht="13.5" customHeight="1">
      <c r="A25" s="2803" t="s">
        <v>1860</v>
      </c>
      <c r="B25" s="2983" t="s">
        <v>2829</v>
      </c>
      <c r="C25" s="466">
        <f>ROUND(F25/(1+'数据-取费表'!C42),4)</f>
        <v>2.9000000000000001E-2</v>
      </c>
      <c r="D25" s="461" t="s">
        <v>2823</v>
      </c>
      <c r="E25" s="468"/>
      <c r="F25" s="2809">
        <f>IF(项目基本情况!B8="出让",0,'数据-取费表'!B48+'数据-取费表'!B49)</f>
        <v>3.0499999999999999E-2</v>
      </c>
      <c r="G25" s="2773" t="s">
        <v>2286</v>
      </c>
      <c r="H25" s="2766"/>
      <c r="I25" s="2766"/>
      <c r="J25" s="2766"/>
      <c r="K25" s="2767"/>
    </row>
    <row r="26" spans="1:14" s="2101" customFormat="1" ht="13.5" customHeight="1">
      <c r="A26" s="2803" t="s">
        <v>1861</v>
      </c>
      <c r="B26" s="2984" t="s">
        <v>2830</v>
      </c>
      <c r="C26" s="2810">
        <f ca="1">C28</f>
        <v>6002</v>
      </c>
      <c r="D26" s="466">
        <f ca="1">C27</f>
        <v>0.1537</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1856</v>
      </c>
      <c r="B27" s="2811" t="s">
        <v>496</v>
      </c>
      <c r="C27" s="2812">
        <f ca="1">ROUND(IF('数据-取费表'!B22&lt;=1,(1+C25)*F26*'数据-取费表'!B24,(1+C25)*(POWER((1+F26),'数据-取费表'!B24)-1)),4)</f>
        <v>0.1537</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1857</v>
      </c>
      <c r="B28" s="2811" t="s">
        <v>2832</v>
      </c>
      <c r="C28" s="2813">
        <f ca="1">ROUND(IF('数据-取费表'!B22&lt;=1,(C18+C19+C20+C23+C24)*F26*'数据-取费表'!B24/2,(C18+C19+C20+C23+C24)*(POWER((1+F26),'数据-取费表'!B24/2)-1)),0)</f>
        <v>6002</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1862</v>
      </c>
      <c r="B29" s="2804" t="s">
        <v>497</v>
      </c>
      <c r="C29" s="2805">
        <f>ROUND(C6*F29/(1+'数据-取费表'!C42),0)</f>
        <v>20796</v>
      </c>
      <c r="D29" s="467"/>
      <c r="E29" s="467"/>
      <c r="F29" s="2985">
        <f>'数据-取费表'!B41</f>
        <v>5.5000000000000007E-2</v>
      </c>
      <c r="G29" s="2774" t="s">
        <v>498</v>
      </c>
      <c r="H29" s="2766"/>
      <c r="I29" s="2766"/>
      <c r="J29" s="2766"/>
      <c r="K29" s="2767"/>
    </row>
    <row r="30" spans="1:14" s="2104" customFormat="1" ht="13.5" customHeight="1">
      <c r="A30" s="1618" t="s">
        <v>1863</v>
      </c>
      <c r="B30" s="2815" t="s">
        <v>500</v>
      </c>
      <c r="C30" s="2810">
        <f ca="1">C31</f>
        <v>110061</v>
      </c>
      <c r="D30" s="476">
        <f ca="1">C32</f>
        <v>0.1827</v>
      </c>
      <c r="E30" s="468" t="s">
        <v>495</v>
      </c>
      <c r="F30" s="470"/>
      <c r="G30" s="2773" t="s">
        <v>2964</v>
      </c>
      <c r="H30" s="2766"/>
      <c r="I30" s="2766"/>
      <c r="J30" s="2766"/>
      <c r="K30" s="2767"/>
    </row>
    <row r="31" spans="1:14" s="2103" customFormat="1" ht="13.5" customHeight="1">
      <c r="A31" s="802" t="s">
        <v>1856</v>
      </c>
      <c r="B31" s="2811"/>
      <c r="C31" s="449">
        <f ca="1">C18+C19+C20+C23+C24+C26+C29</f>
        <v>110061</v>
      </c>
      <c r="D31" s="471"/>
      <c r="E31" s="472"/>
      <c r="F31" s="473"/>
      <c r="G31" s="260"/>
      <c r="H31" s="2768"/>
      <c r="I31" s="2768"/>
      <c r="J31" s="2768"/>
      <c r="K31" s="278"/>
    </row>
    <row r="32" spans="1:14" s="2103" customFormat="1" ht="13.5" customHeight="1">
      <c r="A32" s="802" t="s">
        <v>1857</v>
      </c>
      <c r="B32" s="2811"/>
      <c r="C32" s="53">
        <f ca="1">ROUND(C25+D26,4)</f>
        <v>0.1827</v>
      </c>
      <c r="D32" s="471"/>
      <c r="E32" s="472"/>
      <c r="F32" s="473"/>
      <c r="G32" s="260"/>
      <c r="H32" s="2768"/>
      <c r="I32" s="2768"/>
      <c r="J32" s="2768"/>
      <c r="K32" s="278"/>
    </row>
    <row r="33" spans="1:11" s="2105" customFormat="1" ht="13.5" customHeight="1">
      <c r="A33" s="2982" t="s">
        <v>2827</v>
      </c>
      <c r="B33" s="2980" t="s">
        <v>2825</v>
      </c>
      <c r="C33" s="477">
        <f ca="1">C35</f>
        <v>12489</v>
      </c>
      <c r="D33" s="466">
        <f ca="1">C34</f>
        <v>0.15440000000000001</v>
      </c>
      <c r="E33" s="468" t="s">
        <v>495</v>
      </c>
      <c r="F33" s="478">
        <f ca="1">IF(B1="",'数据-取费表'!Q16,INDIRECT("'数据-取费表'!q"&amp;$K$1))</f>
        <v>0.15</v>
      </c>
      <c r="G33" s="2769"/>
      <c r="H33" s="2770"/>
      <c r="I33" s="2770"/>
      <c r="J33" s="2770"/>
      <c r="K33" s="2771"/>
    </row>
    <row r="34" spans="1:11" s="2106" customFormat="1" ht="13.5" customHeight="1">
      <c r="A34" s="374" t="s">
        <v>1856</v>
      </c>
      <c r="B34" s="2816" t="s">
        <v>501</v>
      </c>
      <c r="C34" s="471">
        <f ca="1">ROUND((1+C25)*F33,4)</f>
        <v>0.15440000000000001</v>
      </c>
      <c r="D34" s="471"/>
      <c r="E34" s="472"/>
      <c r="F34" s="479"/>
      <c r="G34" s="260" t="s">
        <v>2287</v>
      </c>
      <c r="H34" s="2768"/>
      <c r="I34" s="2768"/>
      <c r="J34" s="2768"/>
      <c r="K34" s="278"/>
    </row>
    <row r="35" spans="1:11" s="2106" customFormat="1" ht="13.5" customHeight="1" thickBot="1">
      <c r="A35" s="1619" t="s">
        <v>1857</v>
      </c>
      <c r="B35" s="2981" t="s">
        <v>2833</v>
      </c>
      <c r="C35" s="1611">
        <f ca="1">ROUND((C18+C19+C20+C23+C24)*F33,0)</f>
        <v>12489</v>
      </c>
      <c r="D35" s="1612"/>
      <c r="E35" s="2817"/>
      <c r="F35" s="1613"/>
      <c r="G35" s="2775"/>
      <c r="H35" s="2776"/>
      <c r="I35" s="2776"/>
      <c r="J35" s="2776"/>
      <c r="K35" s="2777"/>
    </row>
    <row r="36" spans="1:11" s="2068" customFormat="1" ht="13.5" customHeight="1" thickBot="1">
      <c r="A36" s="283" t="s">
        <v>1844</v>
      </c>
      <c r="B36" s="2779"/>
      <c r="C36" s="2818">
        <f ca="1">ROUND((C6-C30-C33)/(1+D30+D33),0)</f>
        <v>205272</v>
      </c>
      <c r="D36" s="2779"/>
      <c r="E36" s="2779"/>
      <c r="F36" s="2779"/>
      <c r="G36" s="2778" t="s">
        <v>2834</v>
      </c>
      <c r="H36" s="2779"/>
      <c r="I36" s="2779"/>
      <c r="J36" s="2779"/>
      <c r="K36" s="2780"/>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24" t="str">
        <f>项目基本情况!B1</f>
        <v>北京市通州区马驹桥镇国家环保产业园区YZ00-073-6004、6006地块R2二类居住用地出让国有建设用地使用权抵押价格预评估</v>
      </c>
      <c r="C37" s="3224"/>
      <c r="D37" s="3224"/>
      <c r="E37" s="3224"/>
      <c r="F37" s="3224"/>
      <c r="G37" s="3224"/>
      <c r="H37" s="3224"/>
      <c r="I37" s="3224"/>
    </row>
    <row r="38" spans="1:9">
      <c r="A38" s="1639"/>
      <c r="B38" s="1639"/>
    </row>
    <row r="39" spans="1:9">
      <c r="A39" s="1637" t="s">
        <v>1901</v>
      </c>
      <c r="B39" s="1637" t="s">
        <v>2043</v>
      </c>
    </row>
    <row r="40" spans="1:9">
      <c r="A40" s="1637"/>
      <c r="B40" s="1637" t="str">
        <f>项目基本情况!B5</f>
        <v>北京融泰房地产开发有限公司</v>
      </c>
    </row>
    <row r="41" spans="1:9">
      <c r="A41" s="1637"/>
      <c r="B41" s="1637"/>
    </row>
    <row r="42" spans="1:9">
      <c r="A42" s="1637" t="s">
        <v>1901</v>
      </c>
      <c r="B42" s="1637" t="s">
        <v>2044</v>
      </c>
    </row>
    <row r="43" spans="1:9">
      <c r="A43" s="1637"/>
      <c r="B43" s="1637" t="s">
        <v>1903</v>
      </c>
    </row>
    <row r="44" spans="1:9">
      <c r="A44" s="1637"/>
      <c r="B44" s="1637"/>
    </row>
    <row r="45" spans="1:9">
      <c r="A45" s="1637" t="s">
        <v>1901</v>
      </c>
      <c r="B45" s="1637" t="s">
        <v>2042</v>
      </c>
    </row>
    <row r="46" spans="1:9" s="1637" customFormat="1" ht="12.75">
      <c r="B46" s="1637" t="str">
        <f>项目基本情况!K4</f>
        <v>土地估价师、土地估价师</v>
      </c>
    </row>
    <row r="47" spans="1:9">
      <c r="A47" s="1637"/>
      <c r="B47" s="1637"/>
    </row>
    <row r="48" spans="1:9">
      <c r="A48" s="1637" t="s">
        <v>1901</v>
      </c>
      <c r="B48" s="1637" t="s">
        <v>2045</v>
      </c>
    </row>
    <row r="49" spans="2:2">
      <c r="B49" s="1637"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A4" sqref="A4"/>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9</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1684</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2646</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1848</v>
      </c>
      <c r="B13" s="448" t="s">
        <v>479</v>
      </c>
      <c r="C13" s="449">
        <f ca="1">IF(B1="",'数据-取费表'!M16,INDIRECT("'数据-取费表'!M"&amp;$K$1)+INDIRECT("'数据-取费表'!t"&amp;$K$1))</f>
        <v>64118</v>
      </c>
      <c r="D13" s="450"/>
      <c r="E13" s="364"/>
      <c r="F13" s="451"/>
      <c r="G13" s="443"/>
      <c r="H13" s="446"/>
      <c r="I13" s="446"/>
      <c r="J13" s="446"/>
      <c r="K13" s="447"/>
    </row>
    <row r="14" spans="1:41" s="2099" customFormat="1" ht="13.5" customHeight="1">
      <c r="A14" s="1616" t="s">
        <v>1849</v>
      </c>
      <c r="B14" s="448" t="s">
        <v>480</v>
      </c>
      <c r="C14" s="53">
        <f ca="1">ROUND(C13*F14,0)</f>
        <v>1924</v>
      </c>
      <c r="D14" s="450"/>
      <c r="E14" s="364"/>
      <c r="F14" s="452">
        <f>'数据-取费表'!B33</f>
        <v>0.03</v>
      </c>
      <c r="G14" s="443" t="s">
        <v>502</v>
      </c>
      <c r="H14" s="446"/>
      <c r="I14" s="446"/>
      <c r="J14" s="446"/>
      <c r="K14" s="447"/>
    </row>
    <row r="15" spans="1:41" s="2099" customFormat="1" ht="13.5" customHeight="1">
      <c r="A15" s="1616" t="s">
        <v>1850</v>
      </c>
      <c r="B15" s="448" t="s">
        <v>482</v>
      </c>
      <c r="C15" s="53">
        <f ca="1">ROUND(IF(B1="",SUMIF('数据-取费表'!C:C,"住宅",'数据-取费表'!M:M)*F15,IF(INDIRECT("'数据-取费表'!c"&amp;$K$1)="住宅",INDIRECT("'数据-取费表'!M"&amp;$K$1)*F15,0)),0)</f>
        <v>2164</v>
      </c>
      <c r="D15" s="450"/>
      <c r="E15" s="364"/>
      <c r="F15" s="452">
        <f>'数据-取费表'!B34</f>
        <v>0.05</v>
      </c>
      <c r="G15" s="443" t="s">
        <v>502</v>
      </c>
      <c r="H15" s="446"/>
      <c r="I15" s="446"/>
      <c r="J15" s="446"/>
      <c r="K15" s="447"/>
    </row>
    <row r="16" spans="1:41" s="2100" customFormat="1" ht="13.5" customHeight="1">
      <c r="A16" s="1616" t="s">
        <v>1851</v>
      </c>
      <c r="B16" s="448" t="s">
        <v>484</v>
      </c>
      <c r="C16" s="53">
        <f ca="1">ROUND(D16*E16/10000,0)</f>
        <v>2664</v>
      </c>
      <c r="D16" s="450">
        <f ca="1">IF(B1="",'数据-汇总表'!E3,INDIRECT("'数据-取费表'!K"&amp;$K$1)+INDIRECT("'数据-取费表'!S"&amp;$K$1))</f>
        <v>133190.67000000001</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8" t="s">
        <v>485</v>
      </c>
      <c r="C17" s="453">
        <f ca="1">ROUND(C13*F17,0)</f>
        <v>962</v>
      </c>
      <c r="D17" s="454"/>
      <c r="E17" s="453"/>
      <c r="F17" s="455">
        <f>'数据-取费表'!B36</f>
        <v>1.4999999999999999E-2</v>
      </c>
      <c r="G17" s="443" t="s">
        <v>502</v>
      </c>
      <c r="H17" s="456"/>
      <c r="I17" s="456"/>
      <c r="J17" s="456"/>
      <c r="K17" s="457"/>
    </row>
    <row r="18" spans="1:14" s="2102" customFormat="1" ht="13.5" customHeight="1">
      <c r="A18" s="1617" t="s">
        <v>1853</v>
      </c>
      <c r="B18" s="458" t="s">
        <v>487</v>
      </c>
      <c r="C18" s="459">
        <f ca="1">SUM(C13:C17)</f>
        <v>71832</v>
      </c>
      <c r="D18" s="460"/>
      <c r="E18" s="461"/>
      <c r="F18" s="461"/>
      <c r="G18" s="1321" t="s">
        <v>2428</v>
      </c>
      <c r="H18" s="446"/>
      <c r="I18" s="446"/>
      <c r="J18" s="446"/>
      <c r="K18" s="447"/>
    </row>
    <row r="19" spans="1:14" s="2102" customFormat="1" ht="13.5" customHeight="1">
      <c r="A19" s="1617" t="s">
        <v>1854</v>
      </c>
      <c r="B19" s="458" t="s">
        <v>493</v>
      </c>
      <c r="C19" s="459">
        <f ca="1">ROUND(C18*F19,0)</f>
        <v>1437</v>
      </c>
      <c r="D19" s="461"/>
      <c r="E19" s="461"/>
      <c r="F19" s="465">
        <f>'数据-取费表'!B37</f>
        <v>0.02</v>
      </c>
      <c r="G19" s="443" t="s">
        <v>503</v>
      </c>
      <c r="H19" s="446"/>
      <c r="I19" s="446"/>
      <c r="J19" s="446"/>
      <c r="K19" s="447"/>
      <c r="L19" s="2104"/>
      <c r="M19" s="2104"/>
      <c r="N19" s="2104"/>
    </row>
    <row r="20" spans="1:14" s="2102" customFormat="1" ht="13.5" customHeight="1">
      <c r="A20" s="1617" t="s">
        <v>1855</v>
      </c>
      <c r="B20" s="458" t="s">
        <v>504</v>
      </c>
      <c r="C20" s="2978">
        <f>F20</f>
        <v>0.02</v>
      </c>
      <c r="D20" s="468" t="s">
        <v>505</v>
      </c>
      <c r="E20" s="468"/>
      <c r="F20" s="485">
        <f>'数据-取费表'!B38</f>
        <v>0.02</v>
      </c>
      <c r="G20" s="1321" t="s">
        <v>506</v>
      </c>
      <c r="H20" s="446"/>
      <c r="I20" s="446"/>
      <c r="J20" s="446"/>
      <c r="K20" s="447"/>
      <c r="L20" s="2104"/>
      <c r="M20" s="2104"/>
      <c r="N20" s="2104"/>
    </row>
    <row r="21" spans="1:14" s="2104" customFormat="1" ht="13.5" customHeight="1">
      <c r="A21" s="1617" t="s">
        <v>1858</v>
      </c>
      <c r="B21" s="460" t="s">
        <v>494</v>
      </c>
      <c r="C21" s="469">
        <f ca="1">C22</f>
        <v>5282</v>
      </c>
      <c r="D21" s="466">
        <f ca="1">C23</f>
        <v>1.4E-3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1" t="s">
        <v>2450</v>
      </c>
    </row>
    <row r="22" spans="1:14" s="2103" customFormat="1" ht="13.5" customHeight="1">
      <c r="A22" s="1616" t="s">
        <v>1848</v>
      </c>
      <c r="B22" s="1322" t="s">
        <v>2431</v>
      </c>
      <c r="C22" s="486">
        <f ca="1">ROUND(IF('数据-取费表'!B22&lt;=1,(C18+C19)*F21*'数据-取费表'!B20/2,(C18+C19)*(POWER((1+F21),'数据-取费表'!B20/2)-1)),0)</f>
        <v>5282</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1849</v>
      </c>
      <c r="B23" s="1322" t="s">
        <v>508</v>
      </c>
      <c r="C23" s="487">
        <f ca="1">ROUND(IF('数据-取费表'!B22&lt;=1,F20*F21*'数据-取费表'!B20/2,F20*(POWER((1+F21),'数据-取费表'!B20/2)-1)),4)</f>
        <v>1.4E-3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1859</v>
      </c>
      <c r="B24" s="2980" t="s">
        <v>2826</v>
      </c>
      <c r="C24" s="477">
        <f ca="1">C25</f>
        <v>10990</v>
      </c>
      <c r="D24" s="488">
        <f ca="1">C26</f>
        <v>3.0000000000000001E-3</v>
      </c>
      <c r="E24" s="468" t="s">
        <v>507</v>
      </c>
      <c r="F24" s="478">
        <f ca="1">IF(B1="",'数据-取费表'!Q16,INDIRECT("'数据-取费表'!q"&amp;$K$1))</f>
        <v>0.15</v>
      </c>
      <c r="G24" s="443"/>
      <c r="H24" s="446"/>
      <c r="I24" s="446"/>
      <c r="J24" s="446"/>
      <c r="K24" s="447"/>
    </row>
    <row r="25" spans="1:14" s="2103" customFormat="1" ht="13.5" customHeight="1">
      <c r="A25" s="1616" t="s">
        <v>1848</v>
      </c>
      <c r="B25" s="1322" t="s">
        <v>2432</v>
      </c>
      <c r="C25" s="489">
        <f ca="1">ROUND((C18+C19)*F24,0)</f>
        <v>10990</v>
      </c>
      <c r="D25" s="471"/>
      <c r="E25" s="472"/>
      <c r="F25" s="479"/>
      <c r="G25" s="1320" t="s">
        <v>2429</v>
      </c>
      <c r="H25" s="456"/>
      <c r="I25" s="456"/>
      <c r="J25" s="456"/>
      <c r="K25" s="457"/>
    </row>
    <row r="26" spans="1:14" s="2103" customFormat="1" ht="13.5" customHeight="1">
      <c r="A26" s="1616" t="s">
        <v>1849</v>
      </c>
      <c r="B26" s="1322" t="s">
        <v>509</v>
      </c>
      <c r="C26" s="490">
        <f ca="1">ROUND(F20*F24,4)</f>
        <v>3.0000000000000001E-3</v>
      </c>
      <c r="D26" s="471"/>
      <c r="E26" s="480"/>
      <c r="F26" s="479"/>
      <c r="G26" s="1320" t="s">
        <v>510</v>
      </c>
      <c r="H26" s="456"/>
      <c r="I26" s="456"/>
      <c r="J26" s="456"/>
      <c r="K26" s="457"/>
    </row>
    <row r="27" spans="1:14" s="2103" customFormat="1" ht="13.5" customHeight="1">
      <c r="A27" s="1620" t="s">
        <v>1867</v>
      </c>
      <c r="B27" s="458" t="s">
        <v>511</v>
      </c>
      <c r="C27" s="2979">
        <f>ROUND(F27/(1+'数据-取费表'!C42),4)</f>
        <v>5.2400000000000002E-2</v>
      </c>
      <c r="D27" s="461" t="s">
        <v>2824</v>
      </c>
      <c r="E27" s="461"/>
      <c r="F27" s="465">
        <f>'数据-取费表'!B41</f>
        <v>5.5000000000000007E-2</v>
      </c>
      <c r="G27" s="1943" t="s">
        <v>2288</v>
      </c>
      <c r="H27" s="446"/>
      <c r="I27" s="446"/>
      <c r="J27" s="446"/>
      <c r="K27" s="447"/>
    </row>
    <row r="28" spans="1:14" s="2104" customFormat="1" ht="13.5" customHeight="1">
      <c r="A28" s="1620" t="s">
        <v>1868</v>
      </c>
      <c r="B28" s="475" t="s">
        <v>512</v>
      </c>
      <c r="C28" s="469">
        <f ca="1">ROUND((C18+C19+C21+C24)/(1-C20-D21-D24-C27),0)</f>
        <v>96990</v>
      </c>
      <c r="D28" s="476"/>
      <c r="E28" s="468"/>
      <c r="F28" s="470"/>
      <c r="G28" s="1321" t="s">
        <v>2430</v>
      </c>
      <c r="H28" s="446"/>
      <c r="I28" s="446"/>
      <c r="J28" s="446"/>
      <c r="K28" s="447"/>
    </row>
    <row r="29" spans="1:14" s="2104" customFormat="1" ht="13.5" customHeight="1">
      <c r="A29" s="1620" t="s">
        <v>1869</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3" t="s">
        <v>515</v>
      </c>
      <c r="H30" s="495"/>
      <c r="I30" s="495"/>
      <c r="J30" s="446"/>
      <c r="K30" s="447"/>
    </row>
    <row r="31" spans="1:14" s="2109" customFormat="1" ht="13.5" customHeight="1">
      <c r="A31" s="2444" t="s">
        <v>1865</v>
      </c>
      <c r="B31" s="1324"/>
      <c r="C31" s="499">
        <f>ROUND(C6*F31/(1+'数据-取费表'!C42),0)</f>
        <v>0</v>
      </c>
      <c r="D31" s="1325"/>
      <c r="E31" s="1325"/>
      <c r="F31" s="500">
        <f>'数据-取费表'!B41</f>
        <v>5.5000000000000007E-2</v>
      </c>
      <c r="G31" s="1326"/>
      <c r="H31" s="1326"/>
      <c r="I31" s="1326"/>
      <c r="J31" s="1327"/>
      <c r="K31" s="1328"/>
    </row>
    <row r="32" spans="1:14" s="2068"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5" t="s">
        <v>2965</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70" zoomScaleNormal="95" zoomScaleSheetLayoutView="70" workbookViewId="0">
      <selection activeCell="F64" sqref="F64:F65"/>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2" t="s">
        <v>467</v>
      </c>
      <c r="B2" s="507">
        <f>F68</f>
        <v>193304</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1684</v>
      </c>
      <c r="B3" s="509">
        <f>ROUND(B2*10000/'数据-汇总表'!E3,0)</f>
        <v>14513</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30" customFormat="1" ht="28.5" customHeight="1">
      <c r="A4" s="510" t="s">
        <v>520</v>
      </c>
      <c r="B4" s="426">
        <f>IF(B48="单位面积地价",C50,ROUND(B2*10000/'数据-汇总表'!D3,0))</f>
        <v>53735</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30" customFormat="1" ht="28.5" customHeight="1" thickBot="1">
      <c r="A5" s="428"/>
      <c r="B5" s="429">
        <f>ROUND(B2/('数据-汇总表'!D3/666.67),0)</f>
        <v>3582</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399" t="s">
        <v>522</v>
      </c>
      <c r="D6" s="3400"/>
      <c r="E6" s="3399" t="s">
        <v>523</v>
      </c>
      <c r="F6" s="3400"/>
      <c r="G6" s="3399" t="s">
        <v>524</v>
      </c>
      <c r="H6" s="3400"/>
      <c r="I6" s="3399" t="s">
        <v>525</v>
      </c>
      <c r="J6" s="3400"/>
      <c r="K6" s="513" t="s">
        <v>526</v>
      </c>
      <c r="L6" s="2116"/>
      <c r="M6" s="2115"/>
      <c r="N6" s="2115"/>
      <c r="O6" s="2117"/>
      <c r="P6" s="3401" t="s">
        <v>527</v>
      </c>
      <c r="Q6" s="3402"/>
      <c r="R6" s="3407" t="s">
        <v>523</v>
      </c>
      <c r="S6" s="3408"/>
      <c r="T6" s="3407" t="s">
        <v>524</v>
      </c>
      <c r="U6" s="3408"/>
      <c r="V6" s="3394" t="s">
        <v>525</v>
      </c>
      <c r="W6" s="3394"/>
      <c r="X6" s="1551"/>
      <c r="Y6" s="3407" t="s">
        <v>527</v>
      </c>
      <c r="Z6" s="3408"/>
      <c r="AA6" s="3396" t="s">
        <v>523</v>
      </c>
      <c r="AB6" s="3397" t="s">
        <v>524</v>
      </c>
      <c r="AC6" s="3396" t="s">
        <v>525</v>
      </c>
    </row>
    <row r="7" spans="1:30" ht="42" customHeight="1">
      <c r="A7" s="514"/>
      <c r="B7" s="515"/>
      <c r="C7" s="3415" t="str">
        <f>结果表!A2</f>
        <v>北京市通州区马驹桥镇国家环保产业园区YZ00-073-6004、6006地块R2二类居住用地出让国有建设用地使用权</v>
      </c>
      <c r="D7" s="3416"/>
      <c r="E7" s="3415" t="str">
        <f>Sheet2!A2</f>
        <v>北京市通州区台湖镇亦庄新城站前区YZ00-0401-0056、YZ00-0401-L0055-02地块R2二类居住用地、A334托幼用地</v>
      </c>
      <c r="F7" s="3416"/>
      <c r="G7" s="3415" t="str">
        <f>Sheet2!A3</f>
        <v>北京市通州区马驹桥镇亦庄新城0500街区YZ00-0500-6007等地块R2二类居住用地、A334托幼用地</v>
      </c>
      <c r="H7" s="3416"/>
      <c r="I7" s="3415" t="str">
        <f>Sheet2!A8</f>
        <v>北京市通州区台湖镇YZ00-0405-0094等地块R2二类居住用地、YZ00-0405-0097地块A33基础教育用地</v>
      </c>
      <c r="J7" s="3416"/>
      <c r="K7" s="513"/>
      <c r="L7" s="2116"/>
      <c r="M7" s="2115"/>
      <c r="N7" s="2115"/>
      <c r="O7" s="2117"/>
      <c r="P7" s="3403"/>
      <c r="Q7" s="3404"/>
      <c r="R7" s="3409"/>
      <c r="S7" s="3410"/>
      <c r="T7" s="3409"/>
      <c r="U7" s="3410"/>
      <c r="V7" s="3394"/>
      <c r="W7" s="3394"/>
      <c r="X7" s="1551"/>
      <c r="Y7" s="3409"/>
      <c r="Z7" s="3410"/>
      <c r="AA7" s="3397"/>
      <c r="AB7" s="3397"/>
      <c r="AC7" s="3397"/>
    </row>
    <row r="8" spans="1:30" ht="21" thickBot="1">
      <c r="A8" s="514"/>
      <c r="B8" s="515"/>
      <c r="C8" s="3417" t="s">
        <v>2926</v>
      </c>
      <c r="D8" s="3418"/>
      <c r="E8" s="3417" t="s">
        <v>2926</v>
      </c>
      <c r="F8" s="3418"/>
      <c r="G8" s="3413" t="s">
        <v>2926</v>
      </c>
      <c r="H8" s="3414"/>
      <c r="I8" s="3413" t="s">
        <v>2926</v>
      </c>
      <c r="J8" s="3414"/>
      <c r="K8" s="513" t="s">
        <v>528</v>
      </c>
      <c r="L8" s="2116"/>
      <c r="M8" s="2115"/>
      <c r="N8" s="2115"/>
      <c r="O8" s="2117"/>
      <c r="P8" s="3405"/>
      <c r="Q8" s="3406"/>
      <c r="R8" s="3409"/>
      <c r="S8" s="3410"/>
      <c r="T8" s="3411"/>
      <c r="U8" s="3412"/>
      <c r="V8" s="3394"/>
      <c r="W8" s="3394"/>
      <c r="X8" s="1551"/>
      <c r="Y8" s="3411"/>
      <c r="Z8" s="3412"/>
      <c r="AA8" s="3398"/>
      <c r="AB8" s="3398"/>
      <c r="AC8" s="3398"/>
    </row>
    <row r="9" spans="1:30" s="1214" customFormat="1" ht="21" thickBot="1">
      <c r="A9" s="2865"/>
      <c r="B9" s="2872" t="s">
        <v>529</v>
      </c>
      <c r="C9" s="2864">
        <f>'数据-取费表'!B2</f>
        <v>43942</v>
      </c>
      <c r="D9" s="519">
        <v>100</v>
      </c>
      <c r="E9" s="520" t="str">
        <f>Sheet2!H2</f>
        <v>2020-02-18</v>
      </c>
      <c r="F9" s="521">
        <f>SUMIF(72:72,YEAR(E9)&amp;"-"&amp;INT((MONTH(E9)+2)/3),73:73)</f>
        <v>99.5</v>
      </c>
      <c r="G9" s="522" t="str">
        <f>Sheet2!H3</f>
        <v>2020-02-11</v>
      </c>
      <c r="H9" s="519">
        <f>SUMIF(72:72,YEAR(G9)&amp;"-"&amp;INT((MONTH(G9)+2)/3),73:73)</f>
        <v>99.5</v>
      </c>
      <c r="I9" s="522" t="str">
        <f>Sheet2!H8</f>
        <v>2019-01-31</v>
      </c>
      <c r="J9" s="519">
        <f>SUMIF(72:72,YEAR(I9)&amp;"-"&amp;INT((MONTH(I9)+2)/3),73:73)</f>
        <v>97.5</v>
      </c>
      <c r="K9" s="523"/>
      <c r="L9" s="2118"/>
      <c r="M9" s="2115"/>
      <c r="N9" s="2115"/>
      <c r="O9" s="2119"/>
      <c r="P9" s="3424" t="s">
        <v>530</v>
      </c>
      <c r="Q9" s="3426"/>
      <c r="R9" s="1552" t="s">
        <v>8</v>
      </c>
      <c r="S9" s="1553">
        <f t="shared" ref="S9:S17" si="0">F9</f>
        <v>99.5</v>
      </c>
      <c r="T9" s="1552" t="s">
        <v>8</v>
      </c>
      <c r="U9" s="1553">
        <f t="shared" ref="U9:U17" si="1">H9</f>
        <v>99.5</v>
      </c>
      <c r="V9" s="1552" t="s">
        <v>8</v>
      </c>
      <c r="W9" s="1553">
        <f t="shared" ref="W9:W17" si="2">J9</f>
        <v>97.5</v>
      </c>
      <c r="X9" s="1554"/>
      <c r="Y9" s="3424" t="s">
        <v>530</v>
      </c>
      <c r="Z9" s="3425"/>
      <c r="AA9" s="1555">
        <f>D9/F9</f>
        <v>1.0050251256281406</v>
      </c>
      <c r="AB9" s="1555">
        <f>D9/H9</f>
        <v>1.0050251256281406</v>
      </c>
      <c r="AC9" s="1555">
        <f>D9/J9</f>
        <v>1.0256410256410255</v>
      </c>
    </row>
    <row r="10" spans="1:30" s="1214" customFormat="1" ht="21" thickBot="1">
      <c r="A10" s="2866"/>
      <c r="B10" s="2873" t="s">
        <v>531</v>
      </c>
      <c r="C10" s="855" t="s">
        <v>532</v>
      </c>
      <c r="D10" s="519">
        <v>100</v>
      </c>
      <c r="E10" s="524" t="s">
        <v>3044</v>
      </c>
      <c r="F10" s="521">
        <f>SUMIF(75:75,E10,76:76)-SUMIF(75:75,C10,76:76)+100</f>
        <v>100</v>
      </c>
      <c r="G10" s="524" t="s">
        <v>3044</v>
      </c>
      <c r="H10" s="519">
        <f>SUMIF(75:75,G10,76:76)-SUMIF(75:75,C10,76:76)+100</f>
        <v>100</v>
      </c>
      <c r="I10" s="524" t="s">
        <v>3044</v>
      </c>
      <c r="J10" s="519">
        <f>SUMIF(75:75,I10,76:76)-SUMIF(75:75,C10,76:76)+100</f>
        <v>100</v>
      </c>
      <c r="K10" s="523"/>
      <c r="L10" s="2118"/>
      <c r="M10" s="2115"/>
      <c r="N10" s="2115"/>
      <c r="O10" s="2119"/>
      <c r="P10" s="3424" t="s">
        <v>533</v>
      </c>
      <c r="Q10" s="3425"/>
      <c r="R10" s="1552" t="s">
        <v>8</v>
      </c>
      <c r="S10" s="1553">
        <f t="shared" si="0"/>
        <v>100</v>
      </c>
      <c r="T10" s="1552" t="s">
        <v>8</v>
      </c>
      <c r="U10" s="1553">
        <f t="shared" si="1"/>
        <v>100</v>
      </c>
      <c r="V10" s="1552" t="s">
        <v>8</v>
      </c>
      <c r="W10" s="1553">
        <f t="shared" si="2"/>
        <v>100</v>
      </c>
      <c r="X10" s="1554"/>
      <c r="Y10" s="3424" t="s">
        <v>533</v>
      </c>
      <c r="Z10" s="3425"/>
      <c r="AA10" s="1555">
        <f t="shared" ref="AA10:AA47" si="3">D10/F10</f>
        <v>1</v>
      </c>
      <c r="AB10" s="1555">
        <f t="shared" ref="AB10:AB47" si="4">D10/H10</f>
        <v>1</v>
      </c>
      <c r="AC10" s="1555">
        <f t="shared" ref="AC10:AC47" si="5">D10/J10</f>
        <v>1</v>
      </c>
    </row>
    <row r="11" spans="1:30" s="1214" customFormat="1" ht="20.25">
      <c r="A11" s="2867"/>
      <c r="B11" s="2874" t="s">
        <v>2750</v>
      </c>
      <c r="C11" s="2861" t="s">
        <v>923</v>
      </c>
      <c r="D11" s="253">
        <v>100</v>
      </c>
      <c r="E11" s="525" t="s">
        <v>923</v>
      </c>
      <c r="F11" s="253">
        <f>SUMIF(77:77,E11,78:78)-SUMIF(77:77,C11,78:78)+100</f>
        <v>100</v>
      </c>
      <c r="G11" s="525" t="s">
        <v>923</v>
      </c>
      <c r="H11" s="253">
        <f>SUMIF(77:77,G11,78:78)-SUMIF(77:77,C11,78:78)+100</f>
        <v>100</v>
      </c>
      <c r="I11" s="525" t="s">
        <v>923</v>
      </c>
      <c r="J11" s="253">
        <f>SUMIF(77:77,I11,78:78)-SUMIF(77:77,C11,78:78)+100</f>
        <v>100</v>
      </c>
      <c r="K11" s="523"/>
      <c r="L11" s="2118"/>
      <c r="M11" s="2115"/>
      <c r="N11" s="2115"/>
      <c r="O11" s="2120"/>
      <c r="P11" s="3393" t="s">
        <v>535</v>
      </c>
      <c r="Q11" s="1145" t="str">
        <f t="shared" ref="Q11:Q17" si="6">B11</f>
        <v>用途</v>
      </c>
      <c r="R11" s="1552" t="s">
        <v>8</v>
      </c>
      <c r="S11" s="1553">
        <f t="shared" si="0"/>
        <v>100</v>
      </c>
      <c r="T11" s="1552" t="s">
        <v>8</v>
      </c>
      <c r="U11" s="1553">
        <f t="shared" si="1"/>
        <v>100</v>
      </c>
      <c r="V11" s="1552" t="s">
        <v>8</v>
      </c>
      <c r="W11" s="1553">
        <f t="shared" si="2"/>
        <v>100</v>
      </c>
      <c r="X11" s="1554"/>
      <c r="Y11" s="3339" t="s">
        <v>536</v>
      </c>
      <c r="Z11" s="1144" t="str">
        <f t="shared" ref="Z11:Z17" si="7">Q11</f>
        <v>用途</v>
      </c>
      <c r="AA11" s="1555">
        <f t="shared" si="3"/>
        <v>1</v>
      </c>
      <c r="AB11" s="1555">
        <f t="shared" si="4"/>
        <v>1</v>
      </c>
      <c r="AC11" s="1555">
        <f t="shared" si="5"/>
        <v>1</v>
      </c>
    </row>
    <row r="12" spans="1:30" s="1332" customFormat="1" ht="27">
      <c r="A12" s="2868"/>
      <c r="B12" s="2873" t="s">
        <v>2751</v>
      </c>
      <c r="C12" s="908">
        <f>'数据-取费表'!F6</f>
        <v>69.569999999999993</v>
      </c>
      <c r="D12" s="254">
        <v>100</v>
      </c>
      <c r="E12" s="528" t="s">
        <v>3117</v>
      </c>
      <c r="F12" s="254">
        <f>ROUND(100/'数据-取费表'!G16,0)</f>
        <v>100</v>
      </c>
      <c r="G12" s="528" t="s">
        <v>3117</v>
      </c>
      <c r="H12" s="254">
        <f>ROUND(100/'数据-取费表'!G16,0)</f>
        <v>100</v>
      </c>
      <c r="I12" s="528" t="s">
        <v>3117</v>
      </c>
      <c r="J12" s="254">
        <f>ROUND(100/'数据-取费表'!G16,0)</f>
        <v>100</v>
      </c>
      <c r="K12" s="530"/>
      <c r="L12" s="2121"/>
      <c r="M12" s="2115"/>
      <c r="N12" s="2115"/>
      <c r="O12" s="2122"/>
      <c r="P12" s="3393"/>
      <c r="Q12" s="1145" t="str">
        <f t="shared" si="6"/>
        <v>土地使用年限（年）</v>
      </c>
      <c r="R12" s="1552" t="s">
        <v>8</v>
      </c>
      <c r="S12" s="1553">
        <f t="shared" si="0"/>
        <v>100</v>
      </c>
      <c r="T12" s="1552" t="s">
        <v>8</v>
      </c>
      <c r="U12" s="1553">
        <f t="shared" si="1"/>
        <v>100</v>
      </c>
      <c r="V12" s="1552" t="s">
        <v>8</v>
      </c>
      <c r="W12" s="1553">
        <f t="shared" si="2"/>
        <v>100</v>
      </c>
      <c r="X12" s="1554"/>
      <c r="Y12" s="3339"/>
      <c r="Z12" s="1144" t="str">
        <f t="shared" si="7"/>
        <v>土地使用年限（年）</v>
      </c>
      <c r="AA12" s="1555">
        <f t="shared" si="3"/>
        <v>1</v>
      </c>
      <c r="AB12" s="1555">
        <f t="shared" si="4"/>
        <v>1</v>
      </c>
      <c r="AC12" s="1555">
        <f t="shared" si="5"/>
        <v>1</v>
      </c>
    </row>
    <row r="13" spans="1:30" ht="16.5" customHeight="1">
      <c r="A13" s="2869"/>
      <c r="B13" s="2873" t="s">
        <v>2752</v>
      </c>
      <c r="C13" s="3200">
        <f>'数据-汇总表'!I4</f>
        <v>2.37</v>
      </c>
      <c r="D13" s="254">
        <v>100</v>
      </c>
      <c r="E13" s="532">
        <v>2</v>
      </c>
      <c r="F13" s="254">
        <f>LOOKUP(E13,82:82,83:83)-LOOKUP(C13,82:82,83:83)+100</f>
        <v>100</v>
      </c>
      <c r="G13" s="533">
        <v>2.4</v>
      </c>
      <c r="H13" s="254">
        <f>LOOKUP(G13,82:82,83:83)-LOOKUP(C13,82:82,83:83)+100</f>
        <v>100</v>
      </c>
      <c r="I13" s="532">
        <f>Sheet2!F8</f>
        <v>2.4300000000000002</v>
      </c>
      <c r="J13" s="254">
        <f>LOOKUP(I13,82:82,83:83)-LOOKUP(C13,82:82,83:83)+100</f>
        <v>100</v>
      </c>
      <c r="K13" s="534">
        <v>2</v>
      </c>
      <c r="L13" s="2123"/>
      <c r="M13" s="2115"/>
      <c r="N13" s="2115"/>
      <c r="O13" s="2124"/>
      <c r="P13" s="3393"/>
      <c r="Q13" s="1145" t="str">
        <f t="shared" si="6"/>
        <v>容积率</v>
      </c>
      <c r="R13" s="1552" t="s">
        <v>8</v>
      </c>
      <c r="S13" s="1553">
        <f t="shared" si="0"/>
        <v>100</v>
      </c>
      <c r="T13" s="1552" t="s">
        <v>8</v>
      </c>
      <c r="U13" s="1553">
        <f t="shared" si="1"/>
        <v>100</v>
      </c>
      <c r="V13" s="1552" t="s">
        <v>8</v>
      </c>
      <c r="W13" s="1553">
        <f t="shared" si="2"/>
        <v>100</v>
      </c>
      <c r="X13" s="1554"/>
      <c r="Y13" s="3339"/>
      <c r="Z13" s="1144" t="str">
        <f t="shared" si="7"/>
        <v>容积率</v>
      </c>
      <c r="AA13" s="1555">
        <f t="shared" si="3"/>
        <v>1</v>
      </c>
      <c r="AB13" s="1555">
        <f t="shared" si="4"/>
        <v>1</v>
      </c>
      <c r="AC13" s="1555">
        <f t="shared" si="5"/>
        <v>1</v>
      </c>
    </row>
    <row r="14" spans="1:30" s="1214" customFormat="1" ht="20.25" hidden="1">
      <c r="A14" s="2866"/>
      <c r="B14" s="2875" t="s">
        <v>2753</v>
      </c>
      <c r="C14" s="2862"/>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393"/>
      <c r="Q14" s="1145" t="str">
        <f t="shared" si="6"/>
        <v>配建</v>
      </c>
      <c r="R14" s="1552" t="s">
        <v>8</v>
      </c>
      <c r="S14" s="1553">
        <f t="shared" si="0"/>
        <v>100</v>
      </c>
      <c r="T14" s="1552" t="s">
        <v>8</v>
      </c>
      <c r="U14" s="1553">
        <f t="shared" si="1"/>
        <v>100</v>
      </c>
      <c r="V14" s="1552" t="s">
        <v>8</v>
      </c>
      <c r="W14" s="1553">
        <f t="shared" si="2"/>
        <v>100</v>
      </c>
      <c r="X14" s="1554"/>
      <c r="Y14" s="3339"/>
      <c r="Z14" s="1144" t="str">
        <f t="shared" si="7"/>
        <v>配建</v>
      </c>
      <c r="AA14" s="1555">
        <f>D14/F14</f>
        <v>1</v>
      </c>
      <c r="AB14" s="1555">
        <f>D14/H14</f>
        <v>1</v>
      </c>
      <c r="AC14" s="1555">
        <f>D14/J14</f>
        <v>1</v>
      </c>
    </row>
    <row r="15" spans="1:30" ht="20.25">
      <c r="A15" s="2870"/>
      <c r="B15" s="3188" t="s">
        <v>3110</v>
      </c>
      <c r="C15" s="3191" t="s">
        <v>3109</v>
      </c>
      <c r="D15" s="539">
        <v>100</v>
      </c>
      <c r="E15" s="3192" t="s">
        <v>3108</v>
      </c>
      <c r="F15" s="3201">
        <f>SUMIF(86:86,E15,87:87)-SUMIF(86:86,C15,87:87)+100</f>
        <v>95</v>
      </c>
      <c r="G15" s="3193" t="s">
        <v>3109</v>
      </c>
      <c r="H15" s="539">
        <f>SUMIF(86:86,G15,87:87)-SUMIF(86:86,C15,87:87)+100</f>
        <v>100</v>
      </c>
      <c r="I15" s="3193" t="s">
        <v>3109</v>
      </c>
      <c r="J15" s="539">
        <f>SUMIF(86:86,I15,87:87)-SUMIF(86:86,C15,87:87)+100</f>
        <v>100</v>
      </c>
      <c r="K15" s="530"/>
      <c r="L15" s="2125"/>
      <c r="M15" s="2115"/>
      <c r="N15" s="2115"/>
      <c r="O15" s="2124"/>
      <c r="P15" s="3393"/>
      <c r="Q15" s="1145" t="str">
        <f t="shared" si="6"/>
        <v>是否有自持</v>
      </c>
      <c r="R15" s="1552" t="s">
        <v>8</v>
      </c>
      <c r="S15" s="1553">
        <f t="shared" si="0"/>
        <v>95</v>
      </c>
      <c r="T15" s="1552" t="s">
        <v>8</v>
      </c>
      <c r="U15" s="1553">
        <f t="shared" si="1"/>
        <v>100</v>
      </c>
      <c r="V15" s="1552" t="s">
        <v>8</v>
      </c>
      <c r="W15" s="1553">
        <f t="shared" si="2"/>
        <v>100</v>
      </c>
      <c r="X15" s="1554"/>
      <c r="Y15" s="3339"/>
      <c r="Z15" s="1144" t="str">
        <f t="shared" si="7"/>
        <v>是否有自持</v>
      </c>
      <c r="AA15" s="1555">
        <f>D15/F15</f>
        <v>1.0526315789473684</v>
      </c>
      <c r="AB15" s="1555">
        <f>D15/H15</f>
        <v>1</v>
      </c>
      <c r="AC15" s="1555">
        <f>D15/J15</f>
        <v>1</v>
      </c>
    </row>
    <row r="16" spans="1:30" ht="29.25" thickBot="1">
      <c r="A16" s="2871"/>
      <c r="B16" s="3189" t="s">
        <v>3107</v>
      </c>
      <c r="C16" s="913" t="s">
        <v>3114</v>
      </c>
      <c r="D16" s="545">
        <v>100</v>
      </c>
      <c r="E16" s="3194" t="s">
        <v>3113</v>
      </c>
      <c r="F16" s="545">
        <f>SUMIF(88:88,E16,89:89)-SUMIF(88:88,C16,89:89)+100</f>
        <v>108</v>
      </c>
      <c r="G16" s="3194" t="s">
        <v>3113</v>
      </c>
      <c r="H16" s="545">
        <f>SUMIF(88:88,G16,89:89)-SUMIF(88:88,C16,89:89)+100</f>
        <v>108</v>
      </c>
      <c r="I16" s="913" t="s">
        <v>3115</v>
      </c>
      <c r="J16" s="545">
        <f>SUMIF(88:88,I16,89:89)-SUMIF(88:88,C16,89:89)+100</f>
        <v>104</v>
      </c>
      <c r="K16" s="530"/>
      <c r="L16" s="2125"/>
      <c r="M16" s="2115"/>
      <c r="N16" s="2115"/>
      <c r="O16" s="2124"/>
      <c r="P16" s="3393"/>
      <c r="Q16" s="1145" t="str">
        <f t="shared" si="6"/>
        <v>限价</v>
      </c>
      <c r="R16" s="1552" t="s">
        <v>8</v>
      </c>
      <c r="S16" s="1553">
        <f t="shared" si="0"/>
        <v>108</v>
      </c>
      <c r="T16" s="1552" t="s">
        <v>8</v>
      </c>
      <c r="U16" s="1553">
        <f t="shared" si="1"/>
        <v>108</v>
      </c>
      <c r="V16" s="1552" t="s">
        <v>8</v>
      </c>
      <c r="W16" s="1553">
        <f t="shared" si="2"/>
        <v>104</v>
      </c>
      <c r="X16" s="1554"/>
      <c r="Y16" s="3339"/>
      <c r="Z16" s="1144" t="str">
        <f t="shared" si="7"/>
        <v>限价</v>
      </c>
      <c r="AA16" s="1555">
        <f>D16/F16</f>
        <v>0.92592592592592593</v>
      </c>
      <c r="AB16" s="1555">
        <f>D16/H16</f>
        <v>0.92592592592592593</v>
      </c>
      <c r="AC16" s="1555">
        <f>D16/J16</f>
        <v>0.96153846153846156</v>
      </c>
    </row>
    <row r="17" spans="1:29" ht="99.75">
      <c r="A17" s="2863" t="s">
        <v>2748</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102</v>
      </c>
      <c r="G17" s="549"/>
      <c r="H17" s="548">
        <f>SUMIF(90:90,G18,91:91)-SUMIF(90:90,C18,91:91)+100</f>
        <v>102</v>
      </c>
      <c r="I17" s="551"/>
      <c r="J17" s="548">
        <f>SUMIF(90:90,I18,91:91)-SUMIF(90:90,C18,91:91)+100</f>
        <v>102</v>
      </c>
      <c r="K17" s="534">
        <v>2</v>
      </c>
      <c r="L17" s="2125"/>
      <c r="M17" s="2115"/>
      <c r="N17" s="2115"/>
      <c r="O17" s="2124"/>
      <c r="P17" s="3427" t="s">
        <v>540</v>
      </c>
      <c r="Q17" s="1556" t="str">
        <f t="shared" si="6"/>
        <v>居住社区成熟度</v>
      </c>
      <c r="R17" s="1557" t="s">
        <v>8</v>
      </c>
      <c r="S17" s="1558">
        <f t="shared" si="0"/>
        <v>102</v>
      </c>
      <c r="T17" s="1557" t="s">
        <v>8</v>
      </c>
      <c r="U17" s="1558">
        <f t="shared" si="1"/>
        <v>102</v>
      </c>
      <c r="V17" s="1557" t="s">
        <v>8</v>
      </c>
      <c r="W17" s="1558">
        <f t="shared" si="2"/>
        <v>102</v>
      </c>
      <c r="X17" s="1551"/>
      <c r="Y17" s="3427" t="s">
        <v>540</v>
      </c>
      <c r="Z17" s="1559" t="str">
        <f t="shared" si="7"/>
        <v>居住社区成熟度</v>
      </c>
      <c r="AA17" s="1560">
        <f t="shared" si="3"/>
        <v>0.98039215686274506</v>
      </c>
      <c r="AB17" s="1560">
        <f t="shared" si="4"/>
        <v>0.98039215686274506</v>
      </c>
      <c r="AC17" s="1560">
        <f t="shared" si="5"/>
        <v>0.98039215686274506</v>
      </c>
    </row>
    <row r="18" spans="1:29" ht="20.25">
      <c r="A18" s="531"/>
      <c r="B18" s="552"/>
      <c r="C18" s="553" t="s">
        <v>3125</v>
      </c>
      <c r="D18" s="556"/>
      <c r="E18" s="557" t="s">
        <v>3123</v>
      </c>
      <c r="F18" s="554"/>
      <c r="G18" s="555" t="s">
        <v>3123</v>
      </c>
      <c r="H18" s="558"/>
      <c r="I18" s="557" t="s">
        <v>3123</v>
      </c>
      <c r="J18" s="554"/>
      <c r="K18" s="530"/>
      <c r="L18" s="2125"/>
      <c r="M18" s="2115"/>
      <c r="N18" s="2115"/>
      <c r="O18" s="2124"/>
      <c r="P18" s="3428"/>
      <c r="Q18" s="1556"/>
      <c r="R18" s="1557"/>
      <c r="S18" s="1558"/>
      <c r="T18" s="1557"/>
      <c r="U18" s="1558"/>
      <c r="V18" s="1557"/>
      <c r="W18" s="1558"/>
      <c r="X18" s="1551"/>
      <c r="Y18" s="3428"/>
      <c r="Z18" s="1559"/>
      <c r="AA18" s="1560">
        <v>1</v>
      </c>
      <c r="AB18" s="1560">
        <v>1</v>
      </c>
      <c r="AC18" s="1560">
        <v>1</v>
      </c>
    </row>
    <row r="19" spans="1:29" ht="71.25"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5"/>
      <c r="M19" s="2115"/>
      <c r="N19" s="2115"/>
      <c r="O19" s="2124"/>
      <c r="P19" s="3428"/>
      <c r="Q19" s="1556" t="str">
        <f>B19</f>
        <v>商业繁华度</v>
      </c>
      <c r="R19" s="1557" t="s">
        <v>8</v>
      </c>
      <c r="S19" s="1558">
        <f>F19</f>
        <v>100</v>
      </c>
      <c r="T19" s="1557" t="s">
        <v>8</v>
      </c>
      <c r="U19" s="1558">
        <f>H19</f>
        <v>100</v>
      </c>
      <c r="V19" s="1557" t="s">
        <v>8</v>
      </c>
      <c r="W19" s="1558">
        <f>J19</f>
        <v>100</v>
      </c>
      <c r="X19" s="1551"/>
      <c r="Y19" s="3428"/>
      <c r="Z19" s="1559" t="str">
        <f>Q19</f>
        <v>商业繁华度</v>
      </c>
      <c r="AA19" s="1560">
        <f t="shared" si="3"/>
        <v>1</v>
      </c>
      <c r="AB19" s="1560">
        <f t="shared" si="4"/>
        <v>1</v>
      </c>
      <c r="AC19" s="1560">
        <f t="shared" si="5"/>
        <v>1</v>
      </c>
    </row>
    <row r="20" spans="1:29" ht="20.25" hidden="1">
      <c r="A20" s="531"/>
      <c r="B20" s="565"/>
      <c r="C20" s="566"/>
      <c r="D20" s="562"/>
      <c r="E20" s="568"/>
      <c r="F20" s="558"/>
      <c r="G20" s="567"/>
      <c r="H20" s="554"/>
      <c r="I20" s="568"/>
      <c r="J20" s="554"/>
      <c r="K20" s="530"/>
      <c r="L20" s="2125"/>
      <c r="M20" s="2115"/>
      <c r="N20" s="2115"/>
      <c r="O20" s="2124"/>
      <c r="P20" s="3428"/>
      <c r="Q20" s="1556"/>
      <c r="R20" s="1557"/>
      <c r="S20" s="1558"/>
      <c r="T20" s="1557"/>
      <c r="U20" s="1558"/>
      <c r="V20" s="1557"/>
      <c r="W20" s="1558"/>
      <c r="X20" s="1551"/>
      <c r="Y20" s="3428"/>
      <c r="Z20" s="1559"/>
      <c r="AA20" s="1560">
        <v>1</v>
      </c>
      <c r="AB20" s="1560">
        <v>1</v>
      </c>
      <c r="AC20" s="1560">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428"/>
      <c r="Q21" s="1556" t="str">
        <f>B21</f>
        <v>办公集聚程度</v>
      </c>
      <c r="R21" s="1557" t="s">
        <v>8</v>
      </c>
      <c r="S21" s="1558">
        <f>F21</f>
        <v>100</v>
      </c>
      <c r="T21" s="1557" t="s">
        <v>8</v>
      </c>
      <c r="U21" s="1558">
        <f>H21</f>
        <v>100</v>
      </c>
      <c r="V21" s="1557" t="s">
        <v>8</v>
      </c>
      <c r="W21" s="1558">
        <f>J21</f>
        <v>100</v>
      </c>
      <c r="X21" s="1551"/>
      <c r="Y21" s="3428"/>
      <c r="Z21" s="1559" t="str">
        <f>Q21</f>
        <v>办公集聚程度</v>
      </c>
      <c r="AA21" s="1560">
        <f t="shared" si="3"/>
        <v>1</v>
      </c>
      <c r="AB21" s="1560">
        <f t="shared" si="4"/>
        <v>1</v>
      </c>
      <c r="AC21" s="1560">
        <f t="shared" si="5"/>
        <v>1</v>
      </c>
    </row>
    <row r="22" spans="1:29" ht="20.25" hidden="1">
      <c r="A22" s="531"/>
      <c r="B22" s="565"/>
      <c r="C22" s="553"/>
      <c r="D22" s="556"/>
      <c r="E22" s="557"/>
      <c r="F22" s="554"/>
      <c r="G22" s="555"/>
      <c r="H22" s="554"/>
      <c r="I22" s="557"/>
      <c r="J22" s="554"/>
      <c r="K22" s="530"/>
      <c r="L22" s="2125"/>
      <c r="M22" s="2115"/>
      <c r="N22" s="2115"/>
      <c r="O22" s="2124"/>
      <c r="P22" s="3428"/>
      <c r="Q22" s="1556"/>
      <c r="R22" s="1557"/>
      <c r="S22" s="1558"/>
      <c r="T22" s="1557"/>
      <c r="U22" s="1558"/>
      <c r="V22" s="1557"/>
      <c r="W22" s="1558"/>
      <c r="X22" s="1551"/>
      <c r="Y22" s="3428"/>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103</v>
      </c>
      <c r="G23" s="561"/>
      <c r="H23" s="558">
        <f>SUMIF(96:96,G24,97:97)-SUMIF(96:96,C24,97:97)+100</f>
        <v>97</v>
      </c>
      <c r="I23" s="563"/>
      <c r="J23" s="558">
        <f>SUMIF(96:96,I24,97:97)-SUMIF(96:96,C24,97:97)+100</f>
        <v>100</v>
      </c>
      <c r="K23" s="534">
        <v>3</v>
      </c>
      <c r="L23" s="2125"/>
      <c r="M23" s="2115"/>
      <c r="N23" s="2115"/>
      <c r="O23" s="2124"/>
      <c r="P23" s="3428"/>
      <c r="Q23" s="1556" t="str">
        <f>B23</f>
        <v>交通便捷度</v>
      </c>
      <c r="R23" s="1557" t="s">
        <v>8</v>
      </c>
      <c r="S23" s="1558">
        <f>F23</f>
        <v>103</v>
      </c>
      <c r="T23" s="1557" t="s">
        <v>8</v>
      </c>
      <c r="U23" s="1558">
        <f>H23</f>
        <v>97</v>
      </c>
      <c r="V23" s="1557" t="s">
        <v>8</v>
      </c>
      <c r="W23" s="1558">
        <f>J23</f>
        <v>100</v>
      </c>
      <c r="X23" s="1551"/>
      <c r="Y23" s="3428"/>
      <c r="Z23" s="1559" t="str">
        <f>Q23</f>
        <v>交通便捷度</v>
      </c>
      <c r="AA23" s="1560">
        <f t="shared" si="3"/>
        <v>0.970873786407767</v>
      </c>
      <c r="AB23" s="1560">
        <f t="shared" si="4"/>
        <v>1.0309278350515463</v>
      </c>
      <c r="AC23" s="1560">
        <f t="shared" si="5"/>
        <v>1</v>
      </c>
    </row>
    <row r="24" spans="1:29" ht="20.25">
      <c r="A24" s="531"/>
      <c r="B24" s="577"/>
      <c r="C24" s="553" t="s">
        <v>3123</v>
      </c>
      <c r="D24" s="556"/>
      <c r="E24" s="557" t="s">
        <v>3124</v>
      </c>
      <c r="F24" s="554"/>
      <c r="G24" s="555" t="s">
        <v>3125</v>
      </c>
      <c r="H24" s="554"/>
      <c r="I24" s="557" t="s">
        <v>3123</v>
      </c>
      <c r="J24" s="554"/>
      <c r="K24" s="530"/>
      <c r="L24" s="2125"/>
      <c r="M24" s="2115"/>
      <c r="N24" s="2115"/>
      <c r="O24" s="2124"/>
      <c r="P24" s="3428"/>
      <c r="Q24" s="1556"/>
      <c r="R24" s="1557"/>
      <c r="S24" s="1558"/>
      <c r="T24" s="1557"/>
      <c r="U24" s="1558"/>
      <c r="V24" s="1557"/>
      <c r="W24" s="1558"/>
      <c r="X24" s="1551"/>
      <c r="Y24" s="3428"/>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5"/>
      <c r="M25" s="2115"/>
      <c r="N25" s="2115"/>
      <c r="O25" s="2124"/>
      <c r="P25" s="3428"/>
      <c r="Q25" s="1556" t="str">
        <f t="shared" ref="Q25:Q39" si="8">B25</f>
        <v>区域土地利用方向</v>
      </c>
      <c r="R25" s="1557" t="s">
        <v>8</v>
      </c>
      <c r="S25" s="1558">
        <f>F25</f>
        <v>100</v>
      </c>
      <c r="T25" s="1557" t="s">
        <v>8</v>
      </c>
      <c r="U25" s="1558">
        <f>H25</f>
        <v>100</v>
      </c>
      <c r="V25" s="1557" t="s">
        <v>8</v>
      </c>
      <c r="W25" s="1558">
        <f>J25</f>
        <v>100</v>
      </c>
      <c r="X25" s="1551"/>
      <c r="Y25" s="3428"/>
      <c r="Z25" s="1559" t="str">
        <f>Q25</f>
        <v>区域土地利用方向</v>
      </c>
      <c r="AA25" s="1560">
        <f t="shared" si="3"/>
        <v>1</v>
      </c>
      <c r="AB25" s="1560">
        <f t="shared" si="4"/>
        <v>1</v>
      </c>
      <c r="AC25" s="1560">
        <f t="shared" si="5"/>
        <v>1</v>
      </c>
    </row>
    <row r="26" spans="1:29" ht="20.25">
      <c r="A26" s="514"/>
      <c r="B26" s="1005"/>
      <c r="C26" s="553" t="s">
        <v>3123</v>
      </c>
      <c r="D26" s="556"/>
      <c r="E26" s="553" t="s">
        <v>3123</v>
      </c>
      <c r="F26" s="554"/>
      <c r="G26" s="553" t="s">
        <v>3123</v>
      </c>
      <c r="H26" s="554"/>
      <c r="I26" s="553" t="s">
        <v>3123</v>
      </c>
      <c r="J26" s="554"/>
      <c r="K26" s="530"/>
      <c r="L26" s="2125"/>
      <c r="M26" s="2115"/>
      <c r="N26" s="2115"/>
      <c r="O26" s="2124"/>
      <c r="P26" s="3428"/>
      <c r="Q26" s="1556"/>
      <c r="R26" s="1557"/>
      <c r="S26" s="1558"/>
      <c r="T26" s="1557"/>
      <c r="U26" s="1558"/>
      <c r="V26" s="1557"/>
      <c r="W26" s="1558"/>
      <c r="X26" s="1551"/>
      <c r="Y26" s="3428"/>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102</v>
      </c>
      <c r="G27" s="561"/>
      <c r="H27" s="558">
        <f>SUMIF(100:100,G28,101:101)-SUMIF(100:100,C28,101:101)+100</f>
        <v>100</v>
      </c>
      <c r="I27" s="563"/>
      <c r="J27" s="558">
        <f>SUMIF(100:100,I28,101:101)-SUMIF(100:100,C28,101:101)+100</f>
        <v>100</v>
      </c>
      <c r="K27" s="534">
        <v>2</v>
      </c>
      <c r="L27" s="2125"/>
      <c r="M27" s="2115"/>
      <c r="N27" s="2115"/>
      <c r="O27" s="2124"/>
      <c r="P27" s="3428"/>
      <c r="Q27" s="1556" t="str">
        <f t="shared" si="8"/>
        <v>自然及人文环境状况</v>
      </c>
      <c r="R27" s="1557" t="s">
        <v>8</v>
      </c>
      <c r="S27" s="1558">
        <f>F27</f>
        <v>102</v>
      </c>
      <c r="T27" s="1557" t="s">
        <v>8</v>
      </c>
      <c r="U27" s="1558">
        <f>H27</f>
        <v>100</v>
      </c>
      <c r="V27" s="1557" t="s">
        <v>8</v>
      </c>
      <c r="W27" s="1558">
        <f>J27</f>
        <v>100</v>
      </c>
      <c r="X27" s="1551"/>
      <c r="Y27" s="3428"/>
      <c r="Z27" s="1559" t="str">
        <f>Q27</f>
        <v>自然及人文环境状况</v>
      </c>
      <c r="AA27" s="1560">
        <f t="shared" si="3"/>
        <v>0.98039215686274506</v>
      </c>
      <c r="AB27" s="1560">
        <f t="shared" si="4"/>
        <v>1</v>
      </c>
      <c r="AC27" s="1560">
        <f t="shared" si="5"/>
        <v>1</v>
      </c>
    </row>
    <row r="28" spans="1:29" ht="20.25">
      <c r="A28" s="514"/>
      <c r="B28" s="565"/>
      <c r="C28" s="553" t="s">
        <v>3125</v>
      </c>
      <c r="D28" s="556"/>
      <c r="E28" s="575" t="s">
        <v>3123</v>
      </c>
      <c r="F28" s="554"/>
      <c r="G28" s="553" t="s">
        <v>3125</v>
      </c>
      <c r="H28" s="554"/>
      <c r="I28" s="575" t="s">
        <v>3125</v>
      </c>
      <c r="J28" s="554"/>
      <c r="K28" s="530"/>
      <c r="L28" s="2125"/>
      <c r="M28" s="2115"/>
      <c r="N28" s="2115"/>
      <c r="O28" s="2124"/>
      <c r="P28" s="3428"/>
      <c r="Q28" s="1556"/>
      <c r="R28" s="1557"/>
      <c r="S28" s="1558"/>
      <c r="T28" s="1557"/>
      <c r="U28" s="1558"/>
      <c r="V28" s="1557"/>
      <c r="W28" s="1558"/>
      <c r="X28" s="1551"/>
      <c r="Y28" s="3428"/>
      <c r="Z28" s="1559"/>
      <c r="AA28" s="1560">
        <v>1</v>
      </c>
      <c r="AB28" s="1560">
        <v>1</v>
      </c>
      <c r="AC28" s="1560">
        <v>1</v>
      </c>
    </row>
    <row r="29" spans="1:29" s="1214" customFormat="1" ht="42.75">
      <c r="A29" s="576"/>
      <c r="B29" s="2553" t="s">
        <v>2544</v>
      </c>
      <c r="C29" s="572" t="str">
        <f>估价对象房地状况!C21</f>
        <v>估价对象所在区域公共配套设施齐备情况</v>
      </c>
      <c r="D29" s="562">
        <v>100</v>
      </c>
      <c r="E29" s="563"/>
      <c r="F29" s="558">
        <f>SUMIF(102:102,E30,103:103)-SUMIF(102:102,C30,103:103)+100</f>
        <v>102</v>
      </c>
      <c r="G29" s="561"/>
      <c r="H29" s="558">
        <f>SUMIF(102:102,G30,103:103)-SUMIF(102:102,C30,103:103)+100</f>
        <v>102</v>
      </c>
      <c r="I29" s="563"/>
      <c r="J29" s="558">
        <f>SUMIF(102:102,I30,103:103)-SUMIF(102:102,C30,103:103)+100</f>
        <v>100</v>
      </c>
      <c r="K29" s="534">
        <v>2</v>
      </c>
      <c r="L29" s="2118"/>
      <c r="M29" s="2115"/>
      <c r="N29" s="2115"/>
      <c r="O29" s="2120"/>
      <c r="P29" s="3428"/>
      <c r="Q29" s="1145" t="str">
        <f t="shared" si="8"/>
        <v>公共配套设施</v>
      </c>
      <c r="R29" s="1552" t="s">
        <v>8</v>
      </c>
      <c r="S29" s="1553">
        <f>F29</f>
        <v>102</v>
      </c>
      <c r="T29" s="1552" t="s">
        <v>8</v>
      </c>
      <c r="U29" s="1553">
        <f>H29</f>
        <v>102</v>
      </c>
      <c r="V29" s="1552" t="s">
        <v>8</v>
      </c>
      <c r="W29" s="1553">
        <f>J29</f>
        <v>100</v>
      </c>
      <c r="X29" s="1554"/>
      <c r="Y29" s="3428"/>
      <c r="Z29" s="1144" t="str">
        <f>Q29</f>
        <v>公共配套设施</v>
      </c>
      <c r="AA29" s="1560">
        <f>D29/F29</f>
        <v>0.98039215686274506</v>
      </c>
      <c r="AB29" s="1560">
        <f>D29/H29</f>
        <v>0.98039215686274506</v>
      </c>
      <c r="AC29" s="1560">
        <f>D29/J29</f>
        <v>1</v>
      </c>
    </row>
    <row r="30" spans="1:29" s="1214" customFormat="1" ht="20.25">
      <c r="A30" s="576"/>
      <c r="B30" s="565"/>
      <c r="C30" s="578" t="s">
        <v>3125</v>
      </c>
      <c r="D30" s="556"/>
      <c r="E30" s="575" t="s">
        <v>3123</v>
      </c>
      <c r="F30" s="554"/>
      <c r="G30" s="553" t="s">
        <v>3123</v>
      </c>
      <c r="H30" s="554"/>
      <c r="I30" s="575" t="s">
        <v>3125</v>
      </c>
      <c r="J30" s="554"/>
      <c r="K30" s="530"/>
      <c r="L30" s="2118"/>
      <c r="M30" s="2115"/>
      <c r="N30" s="2115"/>
      <c r="O30" s="2120"/>
      <c r="P30" s="3428"/>
      <c r="Q30" s="1145"/>
      <c r="R30" s="1552"/>
      <c r="S30" s="1553"/>
      <c r="T30" s="1552"/>
      <c r="U30" s="1553"/>
      <c r="V30" s="1552"/>
      <c r="W30" s="1553"/>
      <c r="X30" s="1554"/>
      <c r="Y30" s="3428"/>
      <c r="Z30" s="1144"/>
      <c r="AA30" s="1560">
        <v>1</v>
      </c>
      <c r="AB30" s="1560">
        <v>1</v>
      </c>
      <c r="AC30" s="1560">
        <v>1</v>
      </c>
    </row>
    <row r="31" spans="1:29" s="1214" customFormat="1" ht="28.5">
      <c r="A31" s="576"/>
      <c r="B31" s="2553"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428"/>
      <c r="Q31" s="2540" t="str">
        <f t="shared" ref="Q31" si="9">B31</f>
        <v>基础设施水平</v>
      </c>
      <c r="R31" s="1552" t="s">
        <v>8</v>
      </c>
      <c r="S31" s="1553">
        <f>F31</f>
        <v>100</v>
      </c>
      <c r="T31" s="1552" t="s">
        <v>8</v>
      </c>
      <c r="U31" s="1553">
        <f>H31</f>
        <v>100</v>
      </c>
      <c r="V31" s="1552" t="s">
        <v>8</v>
      </c>
      <c r="W31" s="1553">
        <f>J31</f>
        <v>100</v>
      </c>
      <c r="X31" s="1554"/>
      <c r="Y31" s="3428"/>
      <c r="Z31" s="2537" t="str">
        <f>Q31</f>
        <v>基础设施水平</v>
      </c>
      <c r="AA31" s="1560">
        <f>D31/F31</f>
        <v>1</v>
      </c>
      <c r="AB31" s="1560">
        <f>D31/H31</f>
        <v>1</v>
      </c>
      <c r="AC31" s="1560">
        <f>D31/J31</f>
        <v>1</v>
      </c>
    </row>
    <row r="32" spans="1:29" s="1214" customFormat="1" ht="21" thickBot="1">
      <c r="A32" s="576"/>
      <c r="B32" s="565"/>
      <c r="C32" s="578" t="s">
        <v>3126</v>
      </c>
      <c r="D32" s="556"/>
      <c r="E32" s="2554" t="s">
        <v>3126</v>
      </c>
      <c r="F32" s="554"/>
      <c r="G32" s="578" t="s">
        <v>3126</v>
      </c>
      <c r="H32" s="554"/>
      <c r="I32" s="578" t="s">
        <v>3126</v>
      </c>
      <c r="J32" s="554"/>
      <c r="K32" s="530"/>
      <c r="L32" s="2118"/>
      <c r="M32" s="2115"/>
      <c r="N32" s="2115"/>
      <c r="O32" s="2120"/>
      <c r="P32" s="3428"/>
      <c r="Q32" s="2540"/>
      <c r="R32" s="1552"/>
      <c r="S32" s="1553"/>
      <c r="T32" s="1552"/>
      <c r="U32" s="1553"/>
      <c r="V32" s="1552"/>
      <c r="W32" s="1553"/>
      <c r="X32" s="1554"/>
      <c r="Y32" s="3428"/>
      <c r="Z32" s="2537"/>
      <c r="AA32" s="1560">
        <v>1</v>
      </c>
      <c r="AB32" s="1560">
        <v>1</v>
      </c>
      <c r="AC32" s="1560">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28"/>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28"/>
      <c r="Z33" s="1559" t="str">
        <f t="shared" ref="Z33:Z47" si="13">Q33</f>
        <v>临街状况</v>
      </c>
      <c r="AA33" s="1560">
        <f t="shared" si="3"/>
        <v>1</v>
      </c>
      <c r="AB33" s="1560">
        <f t="shared" si="4"/>
        <v>1</v>
      </c>
      <c r="AC33" s="1560">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428"/>
      <c r="Q34" s="1556" t="str">
        <f t="shared" si="8"/>
        <v>毗邻道路的类型与等级</v>
      </c>
      <c r="R34" s="1557" t="s">
        <v>8</v>
      </c>
      <c r="S34" s="1558">
        <f t="shared" si="10"/>
        <v>100</v>
      </c>
      <c r="T34" s="1557" t="s">
        <v>8</v>
      </c>
      <c r="U34" s="1558">
        <f t="shared" si="11"/>
        <v>100</v>
      </c>
      <c r="V34" s="1557" t="s">
        <v>8</v>
      </c>
      <c r="W34" s="1558">
        <f t="shared" si="12"/>
        <v>100</v>
      </c>
      <c r="X34" s="1551"/>
      <c r="Y34" s="3428"/>
      <c r="Z34" s="1559" t="str">
        <f t="shared" si="13"/>
        <v>毗邻道路的类型与等级</v>
      </c>
      <c r="AA34" s="1560">
        <f t="shared" si="3"/>
        <v>1</v>
      </c>
      <c r="AB34" s="1560">
        <f t="shared" si="4"/>
        <v>1</v>
      </c>
      <c r="AC34" s="1560">
        <f t="shared" si="5"/>
        <v>1</v>
      </c>
    </row>
    <row r="35" spans="1:29" ht="21" hidden="1" thickBot="1">
      <c r="A35" s="531"/>
      <c r="B35" s="565"/>
      <c r="C35" s="553"/>
      <c r="D35" s="556"/>
      <c r="E35" s="575"/>
      <c r="F35" s="554"/>
      <c r="G35" s="553"/>
      <c r="H35" s="554"/>
      <c r="I35" s="575"/>
      <c r="J35" s="554"/>
      <c r="K35" s="580"/>
      <c r="L35" s="2125"/>
      <c r="M35" s="2115"/>
      <c r="N35" s="2115"/>
      <c r="O35" s="2124"/>
      <c r="P35" s="3428"/>
      <c r="Q35" s="1556"/>
      <c r="R35" s="1557"/>
      <c r="S35" s="1558"/>
      <c r="T35" s="1557"/>
      <c r="U35" s="1558"/>
      <c r="V35" s="1557"/>
      <c r="W35" s="1558"/>
      <c r="X35" s="1551"/>
      <c r="Y35" s="3428"/>
      <c r="Z35" s="1559"/>
      <c r="AA35" s="1560">
        <v>1</v>
      </c>
      <c r="AB35" s="1560">
        <v>1</v>
      </c>
      <c r="AC35" s="1560">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28"/>
      <c r="Q36" s="1556" t="str">
        <f t="shared" si="8"/>
        <v>土地级别</v>
      </c>
      <c r="R36" s="1557" t="s">
        <v>8</v>
      </c>
      <c r="S36" s="1558">
        <f t="shared" si="10"/>
        <v>100</v>
      </c>
      <c r="T36" s="1557" t="s">
        <v>8</v>
      </c>
      <c r="U36" s="1558">
        <f t="shared" si="11"/>
        <v>100</v>
      </c>
      <c r="V36" s="1557" t="s">
        <v>8</v>
      </c>
      <c r="W36" s="1558">
        <f t="shared" si="12"/>
        <v>100</v>
      </c>
      <c r="X36" s="1551"/>
      <c r="Y36" s="3428"/>
      <c r="Z36" s="1559" t="str">
        <f t="shared" si="13"/>
        <v>土地级别</v>
      </c>
      <c r="AA36" s="1560">
        <f t="shared" si="3"/>
        <v>1</v>
      </c>
      <c r="AB36" s="1560">
        <f t="shared" si="4"/>
        <v>1</v>
      </c>
      <c r="AC36" s="156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28"/>
      <c r="Q37" s="1556">
        <f t="shared" si="8"/>
        <v>111</v>
      </c>
      <c r="R37" s="1557" t="s">
        <v>8</v>
      </c>
      <c r="S37" s="1558">
        <f t="shared" si="10"/>
        <v>100</v>
      </c>
      <c r="T37" s="1557" t="s">
        <v>8</v>
      </c>
      <c r="U37" s="1558">
        <f t="shared" si="11"/>
        <v>100</v>
      </c>
      <c r="V37" s="1557" t="s">
        <v>8</v>
      </c>
      <c r="W37" s="1558">
        <f t="shared" si="12"/>
        <v>100</v>
      </c>
      <c r="X37" s="1551"/>
      <c r="Y37" s="3428"/>
      <c r="Z37" s="1559">
        <f t="shared" si="13"/>
        <v>111</v>
      </c>
      <c r="AA37" s="1560">
        <f t="shared" si="3"/>
        <v>1</v>
      </c>
      <c r="AB37" s="1560">
        <f t="shared" si="4"/>
        <v>1</v>
      </c>
      <c r="AC37" s="156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29" t="s">
        <v>550</v>
      </c>
      <c r="Q38" s="1556">
        <f t="shared" si="8"/>
        <v>111</v>
      </c>
      <c r="R38" s="1557" t="s">
        <v>8</v>
      </c>
      <c r="S38" s="1558">
        <f t="shared" si="10"/>
        <v>100</v>
      </c>
      <c r="T38" s="1557" t="s">
        <v>8</v>
      </c>
      <c r="U38" s="1558">
        <f t="shared" si="11"/>
        <v>100</v>
      </c>
      <c r="V38" s="1557" t="s">
        <v>8</v>
      </c>
      <c r="W38" s="1558">
        <f t="shared" si="12"/>
        <v>100</v>
      </c>
      <c r="X38" s="1551"/>
      <c r="Y38" s="3430" t="s">
        <v>550</v>
      </c>
      <c r="Z38" s="1559">
        <f t="shared" si="13"/>
        <v>111</v>
      </c>
      <c r="AA38" s="1560">
        <f t="shared" si="3"/>
        <v>1</v>
      </c>
      <c r="AB38" s="1560">
        <f t="shared" si="4"/>
        <v>1</v>
      </c>
      <c r="AC38" s="1560">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30"/>
      <c r="Q39" s="1556">
        <f t="shared" si="8"/>
        <v>111</v>
      </c>
      <c r="R39" s="1561" t="s">
        <v>8</v>
      </c>
      <c r="S39" s="1562">
        <f t="shared" si="10"/>
        <v>100</v>
      </c>
      <c r="T39" s="1561" t="s">
        <v>8</v>
      </c>
      <c r="U39" s="1562">
        <f t="shared" si="11"/>
        <v>100</v>
      </c>
      <c r="V39" s="1561" t="s">
        <v>8</v>
      </c>
      <c r="W39" s="1562">
        <f t="shared" si="12"/>
        <v>100</v>
      </c>
      <c r="X39" s="1563"/>
      <c r="Y39" s="3430"/>
      <c r="Z39" s="1564">
        <f t="shared" si="13"/>
        <v>111</v>
      </c>
      <c r="AA39" s="1560">
        <f t="shared" si="3"/>
        <v>1</v>
      </c>
      <c r="AB39" s="1560">
        <f t="shared" si="4"/>
        <v>1</v>
      </c>
      <c r="AC39" s="1560">
        <f t="shared" si="5"/>
        <v>1</v>
      </c>
    </row>
    <row r="40" spans="1:29" ht="20.25">
      <c r="A40" s="2860" t="s">
        <v>2749</v>
      </c>
      <c r="B40" s="594" t="s">
        <v>552</v>
      </c>
      <c r="C40" s="595">
        <f>'数据-基础表'!A3</f>
        <v>35973.68</v>
      </c>
      <c r="D40" s="596">
        <v>100</v>
      </c>
      <c r="E40" s="595">
        <f>Sheet2!D2</f>
        <v>27525.64</v>
      </c>
      <c r="F40" s="596">
        <f>LOOKUP(E40,119:119,120:120)-LOOKUP(C40,119:119,120:120)+100</f>
        <v>99</v>
      </c>
      <c r="G40" s="595">
        <f>Sheet2!D3</f>
        <v>99023.27</v>
      </c>
      <c r="H40" s="596">
        <f>LOOKUP(G40,119:119,120:120)-LOOKUP(C40,119:119,120:120)+100</f>
        <v>100</v>
      </c>
      <c r="I40" s="597">
        <f>Sheet2!D8</f>
        <v>115506.3</v>
      </c>
      <c r="J40" s="596">
        <f>LOOKUP(I40,119:119,120:120)-LOOKUP(C40,119:119,120:120)+100</f>
        <v>100</v>
      </c>
      <c r="K40" s="580"/>
      <c r="L40" s="2125"/>
      <c r="M40" s="2115"/>
      <c r="N40" s="2115"/>
      <c r="O40" s="2124"/>
      <c r="P40" s="3430"/>
      <c r="Q40" s="1556" t="str">
        <f>B40</f>
        <v>宗地面积</v>
      </c>
      <c r="R40" s="1557" t="s">
        <v>8</v>
      </c>
      <c r="S40" s="1558">
        <f t="shared" si="10"/>
        <v>99</v>
      </c>
      <c r="T40" s="1557" t="s">
        <v>8</v>
      </c>
      <c r="U40" s="1558">
        <f t="shared" si="11"/>
        <v>100</v>
      </c>
      <c r="V40" s="1557" t="s">
        <v>8</v>
      </c>
      <c r="W40" s="1558">
        <f t="shared" si="12"/>
        <v>100</v>
      </c>
      <c r="X40" s="1551"/>
      <c r="Y40" s="3430"/>
      <c r="Z40" s="1559" t="str">
        <f t="shared" si="13"/>
        <v>宗地面积</v>
      </c>
      <c r="AA40" s="1560">
        <f t="shared" si="3"/>
        <v>1.0101010101010102</v>
      </c>
      <c r="AB40" s="1560">
        <f t="shared" si="4"/>
        <v>1</v>
      </c>
      <c r="AC40" s="1560">
        <f t="shared" si="5"/>
        <v>1</v>
      </c>
    </row>
    <row r="41" spans="1:29" ht="20.25">
      <c r="A41" s="593"/>
      <c r="B41" s="526" t="s">
        <v>553</v>
      </c>
      <c r="C41" s="598" t="s">
        <v>3128</v>
      </c>
      <c r="D41" s="539">
        <v>100</v>
      </c>
      <c r="E41" s="598" t="s">
        <v>3130</v>
      </c>
      <c r="F41" s="539">
        <f>SUMIF(121:121,E41,122:122)-SUMIF(121:121,C41,122:122)+100</f>
        <v>99.5</v>
      </c>
      <c r="G41" s="598" t="s">
        <v>3128</v>
      </c>
      <c r="H41" s="539">
        <f>SUMIF(121:121,G41,122:122)-SUMIF(121:121,C41,122:122)+100</f>
        <v>100</v>
      </c>
      <c r="I41" s="598" t="s">
        <v>3130</v>
      </c>
      <c r="J41" s="539">
        <f>SUMIF(121:121,I41,122:122)-SUMIF(121:121,C41,122:122)+100</f>
        <v>99.5</v>
      </c>
      <c r="K41" s="583">
        <v>0.5</v>
      </c>
      <c r="L41" s="2125"/>
      <c r="M41" s="2115"/>
      <c r="N41" s="2115"/>
      <c r="O41" s="2124"/>
      <c r="P41" s="3430"/>
      <c r="Q41" s="1556" t="str">
        <f t="shared" ref="Q41:Q47" si="14">B41</f>
        <v>宗地形状</v>
      </c>
      <c r="R41" s="1557" t="s">
        <v>8</v>
      </c>
      <c r="S41" s="1558">
        <f t="shared" si="10"/>
        <v>99.5</v>
      </c>
      <c r="T41" s="1557" t="s">
        <v>8</v>
      </c>
      <c r="U41" s="1558">
        <f t="shared" si="11"/>
        <v>100</v>
      </c>
      <c r="V41" s="1557" t="s">
        <v>8</v>
      </c>
      <c r="W41" s="1558">
        <f t="shared" si="12"/>
        <v>99.5</v>
      </c>
      <c r="X41" s="1551"/>
      <c r="Y41" s="3430"/>
      <c r="Z41" s="1559" t="str">
        <f t="shared" si="13"/>
        <v>宗地形状</v>
      </c>
      <c r="AA41" s="1560">
        <f t="shared" si="3"/>
        <v>1.0050251256281406</v>
      </c>
      <c r="AB41" s="1560">
        <f t="shared" si="4"/>
        <v>1</v>
      </c>
      <c r="AC41" s="1560">
        <f t="shared" si="5"/>
        <v>1.0050251256281406</v>
      </c>
    </row>
    <row r="42" spans="1:29" ht="20.25">
      <c r="A42" s="593"/>
      <c r="B42" s="526" t="s">
        <v>554</v>
      </c>
      <c r="C42" s="598" t="s">
        <v>3134</v>
      </c>
      <c r="D42" s="539">
        <v>100</v>
      </c>
      <c r="E42" s="598" t="s">
        <v>3134</v>
      </c>
      <c r="F42" s="539">
        <f>SUMIF(123:123,E42,124:124)-SUMIF(123:123,C42,124:124)+100</f>
        <v>100</v>
      </c>
      <c r="G42" s="598" t="s">
        <v>3134</v>
      </c>
      <c r="H42" s="539">
        <f>SUMIF(123:123,G42,124:124)-SUMIF(123:123,C42,124:124)+100</f>
        <v>100</v>
      </c>
      <c r="I42" s="598" t="s">
        <v>3134</v>
      </c>
      <c r="J42" s="539">
        <f>SUMIF(123:123,I42,124:124)-SUMIF(123:123,C42,124:124)+100</f>
        <v>100</v>
      </c>
      <c r="K42" s="583">
        <v>2</v>
      </c>
      <c r="L42" s="2125"/>
      <c r="M42" s="2115"/>
      <c r="N42" s="2115"/>
      <c r="O42" s="2124"/>
      <c r="P42" s="3430"/>
      <c r="Q42" s="1556" t="str">
        <f t="shared" si="14"/>
        <v>临街宽度及深度</v>
      </c>
      <c r="R42" s="1557" t="s">
        <v>8</v>
      </c>
      <c r="S42" s="1558">
        <f t="shared" si="10"/>
        <v>100</v>
      </c>
      <c r="T42" s="1557" t="s">
        <v>8</v>
      </c>
      <c r="U42" s="1558">
        <f t="shared" si="11"/>
        <v>100</v>
      </c>
      <c r="V42" s="1557" t="s">
        <v>8</v>
      </c>
      <c r="W42" s="1558">
        <f t="shared" si="12"/>
        <v>100</v>
      </c>
      <c r="X42" s="1551"/>
      <c r="Y42" s="3430"/>
      <c r="Z42" s="1559" t="str">
        <f t="shared" si="13"/>
        <v>临街宽度及深度</v>
      </c>
      <c r="AA42" s="1560">
        <f t="shared" si="3"/>
        <v>1</v>
      </c>
      <c r="AB42" s="1560">
        <f t="shared" si="4"/>
        <v>1</v>
      </c>
      <c r="AC42" s="1560">
        <f t="shared" si="5"/>
        <v>1</v>
      </c>
    </row>
    <row r="43" spans="1:29" s="1214" customFormat="1" ht="20.25">
      <c r="A43" s="599"/>
      <c r="B43" s="1878" t="s">
        <v>2420</v>
      </c>
      <c r="C43" s="600" t="s">
        <v>3140</v>
      </c>
      <c r="D43" s="254">
        <v>100</v>
      </c>
      <c r="E43" s="600" t="s">
        <v>3142</v>
      </c>
      <c r="F43" s="539">
        <f>SUMIF(125:125,E43,126:126)-SUMIF(125:125,C43,126:126)+100</f>
        <v>98</v>
      </c>
      <c r="G43" s="600" t="s">
        <v>3142</v>
      </c>
      <c r="H43" s="539">
        <f>SUMIF(125:125,G43,126:126)-SUMIF(125:125,C43,126:126)+100</f>
        <v>98</v>
      </c>
      <c r="I43" s="600" t="s">
        <v>3142</v>
      </c>
      <c r="J43" s="539">
        <f>SUMIF(125:125,I43,126:126)-SUMIF(125:125,C43,126:126)+100</f>
        <v>98</v>
      </c>
      <c r="K43" s="583">
        <v>2</v>
      </c>
      <c r="L43" s="2118"/>
      <c r="M43" s="2115"/>
      <c r="N43" s="2115"/>
      <c r="O43" s="2120"/>
      <c r="P43" s="3430"/>
      <c r="Q43" s="1556" t="str">
        <f t="shared" si="14"/>
        <v>宗地开发程度</v>
      </c>
      <c r="R43" s="1552" t="s">
        <v>8</v>
      </c>
      <c r="S43" s="1553">
        <f t="shared" si="10"/>
        <v>98</v>
      </c>
      <c r="T43" s="1552" t="s">
        <v>8</v>
      </c>
      <c r="U43" s="1553">
        <f t="shared" si="11"/>
        <v>98</v>
      </c>
      <c r="V43" s="1552" t="s">
        <v>8</v>
      </c>
      <c r="W43" s="1553">
        <f t="shared" si="12"/>
        <v>98</v>
      </c>
      <c r="X43" s="1554"/>
      <c r="Y43" s="3430"/>
      <c r="Z43" s="1144" t="str">
        <f t="shared" si="13"/>
        <v>宗地开发程度</v>
      </c>
      <c r="AA43" s="1555">
        <f t="shared" si="3"/>
        <v>1.0204081632653061</v>
      </c>
      <c r="AB43" s="1555">
        <f t="shared" si="4"/>
        <v>1.0204081632653061</v>
      </c>
      <c r="AC43" s="1555">
        <f t="shared" si="5"/>
        <v>1.0204081632653061</v>
      </c>
    </row>
    <row r="44" spans="1:29" ht="21" thickBot="1">
      <c r="A44" s="593"/>
      <c r="B44" s="526" t="s">
        <v>555</v>
      </c>
      <c r="C44" s="598" t="s">
        <v>3123</v>
      </c>
      <c r="D44" s="539">
        <v>100</v>
      </c>
      <c r="E44" s="598" t="s">
        <v>3123</v>
      </c>
      <c r="F44" s="539">
        <f>SUMIF(127:127,E44,128:128)-SUMIF(127:127,C44,128:128)+100</f>
        <v>100</v>
      </c>
      <c r="G44" s="598" t="s">
        <v>3123</v>
      </c>
      <c r="H44" s="539">
        <f>SUMIF(127:127,G44,128:128)-SUMIF(127:127,C44,128:128)+100</f>
        <v>100</v>
      </c>
      <c r="I44" s="598" t="s">
        <v>3123</v>
      </c>
      <c r="J44" s="539">
        <f>SUMIF(127:127,I44,128:128)-SUMIF(127:127,C44,128:128)+100</f>
        <v>100</v>
      </c>
      <c r="K44" s="583">
        <v>2</v>
      </c>
      <c r="L44" s="2125"/>
      <c r="M44" s="2115"/>
      <c r="N44" s="2115"/>
      <c r="O44" s="2124"/>
      <c r="P44" s="3430" t="s">
        <v>550</v>
      </c>
      <c r="Q44" s="1556" t="str">
        <f t="shared" si="14"/>
        <v>工程地质条件</v>
      </c>
      <c r="R44" s="1557" t="s">
        <v>8</v>
      </c>
      <c r="S44" s="1558">
        <f t="shared" si="10"/>
        <v>100</v>
      </c>
      <c r="T44" s="1557" t="s">
        <v>8</v>
      </c>
      <c r="U44" s="1558">
        <f t="shared" si="11"/>
        <v>100</v>
      </c>
      <c r="V44" s="1557" t="s">
        <v>8</v>
      </c>
      <c r="W44" s="1558">
        <f t="shared" si="12"/>
        <v>100</v>
      </c>
      <c r="X44" s="1551"/>
      <c r="Y44" s="3430" t="s">
        <v>550</v>
      </c>
      <c r="Z44" s="1559" t="str">
        <f t="shared" si="13"/>
        <v>工程地质条件</v>
      </c>
      <c r="AA44" s="1560">
        <f t="shared" si="3"/>
        <v>1</v>
      </c>
      <c r="AB44" s="1560">
        <f t="shared" si="4"/>
        <v>1</v>
      </c>
      <c r="AC44" s="156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30"/>
      <c r="Q45" s="1556">
        <f t="shared" si="14"/>
        <v>111</v>
      </c>
      <c r="R45" s="1557" t="s">
        <v>8</v>
      </c>
      <c r="S45" s="1558">
        <f t="shared" si="10"/>
        <v>100</v>
      </c>
      <c r="T45" s="1557" t="s">
        <v>8</v>
      </c>
      <c r="U45" s="1558">
        <f t="shared" si="11"/>
        <v>100</v>
      </c>
      <c r="V45" s="1557" t="s">
        <v>8</v>
      </c>
      <c r="W45" s="1558">
        <f t="shared" si="12"/>
        <v>100</v>
      </c>
      <c r="X45" s="1551"/>
      <c r="Y45" s="3430"/>
      <c r="Z45" s="1559">
        <f t="shared" si="13"/>
        <v>111</v>
      </c>
      <c r="AA45" s="1560">
        <f t="shared" si="3"/>
        <v>1</v>
      </c>
      <c r="AB45" s="1560">
        <f t="shared" si="4"/>
        <v>1</v>
      </c>
      <c r="AC45" s="156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30"/>
      <c r="Q46" s="1556">
        <f t="shared" si="14"/>
        <v>111</v>
      </c>
      <c r="R46" s="1557" t="s">
        <v>8</v>
      </c>
      <c r="S46" s="1558">
        <f t="shared" si="10"/>
        <v>100</v>
      </c>
      <c r="T46" s="1557" t="s">
        <v>8</v>
      </c>
      <c r="U46" s="1558">
        <f t="shared" si="11"/>
        <v>100</v>
      </c>
      <c r="V46" s="1557" t="s">
        <v>8</v>
      </c>
      <c r="W46" s="1558">
        <f t="shared" si="12"/>
        <v>100</v>
      </c>
      <c r="X46" s="1551"/>
      <c r="Y46" s="3430"/>
      <c r="Z46" s="1559">
        <f t="shared" si="13"/>
        <v>111</v>
      </c>
      <c r="AA46" s="1560">
        <f t="shared" si="3"/>
        <v>1</v>
      </c>
      <c r="AB46" s="1560">
        <f t="shared" si="4"/>
        <v>1</v>
      </c>
      <c r="AC46" s="1560">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30"/>
      <c r="Q47" s="1556">
        <f t="shared" si="14"/>
        <v>111</v>
      </c>
      <c r="R47" s="1561" t="s">
        <v>8</v>
      </c>
      <c r="S47" s="1562">
        <f t="shared" si="10"/>
        <v>100</v>
      </c>
      <c r="T47" s="1561" t="s">
        <v>8</v>
      </c>
      <c r="U47" s="1562">
        <f t="shared" si="11"/>
        <v>100</v>
      </c>
      <c r="V47" s="1561" t="s">
        <v>8</v>
      </c>
      <c r="W47" s="1562">
        <f t="shared" si="12"/>
        <v>100</v>
      </c>
      <c r="X47" s="1563"/>
      <c r="Y47" s="3430"/>
      <c r="Z47" s="1564">
        <f t="shared" si="13"/>
        <v>111</v>
      </c>
      <c r="AA47" s="1560">
        <f t="shared" si="3"/>
        <v>1</v>
      </c>
      <c r="AB47" s="1560">
        <f t="shared" si="4"/>
        <v>1</v>
      </c>
      <c r="AC47" s="1560">
        <f t="shared" si="5"/>
        <v>1</v>
      </c>
    </row>
    <row r="48" spans="1:29" ht="20.25">
      <c r="A48" s="606" t="s">
        <v>556</v>
      </c>
      <c r="B48" s="607" t="s">
        <v>3116</v>
      </c>
      <c r="C48" s="608" t="s">
        <v>1</v>
      </c>
      <c r="D48" s="609"/>
      <c r="E48" s="610">
        <f>ROUND(Sheet2!K2,0)</f>
        <v>26825</v>
      </c>
      <c r="F48" s="611"/>
      <c r="G48" s="612">
        <f>ROUND(Sheet2!K3,0)</f>
        <v>21209</v>
      </c>
      <c r="H48" s="613"/>
      <c r="I48" s="610">
        <f>ROUND(Sheet2!K8,0)</f>
        <v>23765</v>
      </c>
      <c r="J48" s="613"/>
      <c r="K48" s="1334"/>
      <c r="L48" s="2127"/>
      <c r="M48" s="2115"/>
      <c r="N48" s="2115"/>
      <c r="O48" s="2128"/>
      <c r="P48" s="3393" t="str">
        <f>A48</f>
        <v>成交单价</v>
      </c>
      <c r="Q48" s="3393"/>
      <c r="R48" s="3394">
        <f>E48</f>
        <v>26825</v>
      </c>
      <c r="S48" s="3394"/>
      <c r="T48" s="3394">
        <f>G48</f>
        <v>21209</v>
      </c>
      <c r="U48" s="3394"/>
      <c r="V48" s="3394">
        <f>I48</f>
        <v>23765</v>
      </c>
      <c r="W48" s="3394"/>
      <c r="X48" s="1543"/>
      <c r="Y48" s="1565"/>
      <c r="Z48" s="1543"/>
      <c r="AA48" s="1543"/>
      <c r="AB48" s="1543"/>
      <c r="AC48" s="1543"/>
    </row>
    <row r="49" spans="1:29" ht="21" thickBot="1">
      <c r="A49" s="614" t="s">
        <v>2687</v>
      </c>
      <c r="B49" s="615"/>
      <c r="C49" s="616">
        <f>R50</f>
        <v>22808</v>
      </c>
      <c r="D49" s="617"/>
      <c r="E49" s="616">
        <f>R49</f>
        <v>24903</v>
      </c>
      <c r="F49" s="618"/>
      <c r="G49" s="619">
        <f>T49</f>
        <v>19956</v>
      </c>
      <c r="H49" s="617"/>
      <c r="I49" s="616">
        <f>V49</f>
        <v>23564</v>
      </c>
      <c r="J49" s="617"/>
      <c r="K49" s="1335"/>
      <c r="L49" s="2127"/>
      <c r="M49" s="2115"/>
      <c r="N49" s="2115"/>
      <c r="O49" s="2128"/>
      <c r="P49" s="3393" t="str">
        <f>A49</f>
        <v>比较价格（元/平方米）</v>
      </c>
      <c r="Q49" s="3393"/>
      <c r="R49" s="3395">
        <f>ROUND(PRODUCT(R48,AA9:AA47),0)</f>
        <v>24903</v>
      </c>
      <c r="S49" s="3395"/>
      <c r="T49" s="3395">
        <f>ROUND(PRODUCT(T48,AB9:AB47),0)</f>
        <v>19956</v>
      </c>
      <c r="U49" s="3395"/>
      <c r="V49" s="3395">
        <f>ROUND(PRODUCT(V48,AC9:AC47),0)</f>
        <v>23564</v>
      </c>
      <c r="W49" s="3395"/>
      <c r="X49" s="1543"/>
      <c r="Y49" s="1543"/>
      <c r="Z49" s="1543"/>
      <c r="AA49" s="1543"/>
      <c r="AB49" s="1543"/>
      <c r="AC49" s="1543"/>
    </row>
    <row r="50" spans="1:29" ht="21" thickBot="1">
      <c r="A50" s="620" t="s">
        <v>2928</v>
      </c>
      <c r="B50" s="621"/>
      <c r="C50" s="622">
        <f>R50</f>
        <v>22808</v>
      </c>
      <c r="D50" s="622"/>
      <c r="E50" s="622"/>
      <c r="F50" s="622"/>
      <c r="G50" s="622"/>
      <c r="H50" s="622"/>
      <c r="I50" s="622"/>
      <c r="J50" s="622"/>
      <c r="K50" s="1336"/>
      <c r="L50" s="2127"/>
      <c r="M50" s="2115"/>
      <c r="N50" s="2115"/>
      <c r="O50" s="2128"/>
      <c r="P50" s="3390" t="str">
        <f>A50</f>
        <v>估价对象XX用房的比较价格（楼面单价，元/平方米）</v>
      </c>
      <c r="Q50" s="3391"/>
      <c r="R50" s="3392">
        <f>ROUND(AVERAGE(R49:V49),0)</f>
        <v>22808</v>
      </c>
      <c r="S50" s="3392"/>
      <c r="T50" s="3392"/>
      <c r="U50" s="3392"/>
      <c r="V50" s="3392"/>
      <c r="W50" s="3392"/>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7.7179456290406678E-2</v>
      </c>
      <c r="F53" s="626" t="str">
        <f>IF(OR(E53&gt;=0.3,E53&lt;=-0.3),"超过30%","")</f>
        <v/>
      </c>
      <c r="G53" s="625">
        <f>IF(G48&lt;G49,G49/G48-1,G48/G49-1)</f>
        <v>6.2788133894567943E-2</v>
      </c>
      <c r="H53" s="626" t="str">
        <f>IF(OR(G53&gt;=0.3,G53&lt;=-0.3),"超过30%","")</f>
        <v/>
      </c>
      <c r="I53" s="625">
        <f>IF(I48&lt;I49,I49/I48-1,I48/I49-1)</f>
        <v>8.5299609573925572E-3</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0.24789536981358995</v>
      </c>
      <c r="F54" s="626" t="str">
        <f>IF(OR(E54&gt;=0.2,E54&lt;=-0.2),"超过20%","")</f>
        <v>超过20%</v>
      </c>
      <c r="G54" s="625">
        <f>IF(G49&lt;I49,I49/G49-1,G49/I49-1)</f>
        <v>0.1807977550611346</v>
      </c>
      <c r="H54" s="626" t="str">
        <f>IF(OR(G54&gt;=0.2,G54&lt;=-0.2),"超过20%","")</f>
        <v/>
      </c>
      <c r="I54" s="625">
        <f>IF(I49&lt;E49,E49/I49-1,I49/E49-1)</f>
        <v>5.6823968765914001E-2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f>IF(E48&lt;G48,G48/E48-1,E48/G48-1)</f>
        <v>0.26479324814937044</v>
      </c>
      <c r="F55" s="626" t="str">
        <f>IF(OR(E55&gt;=0.3,E55&lt;=-0.3),"超过30%","")</f>
        <v/>
      </c>
      <c r="G55" s="625">
        <f>IF(G48&lt;I48,I48/G48-1,G48/I48-1)</f>
        <v>0.12051487576029052</v>
      </c>
      <c r="H55" s="626" t="str">
        <f>IF(OR(G55&gt;=0.3,G55&lt;=-0.3),"超过30%","")</f>
        <v/>
      </c>
      <c r="I55" s="625">
        <f>IF(I48&lt;E48,E48/I48-1,I48/E48-1)</f>
        <v>0.12876078266358082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1724</v>
      </c>
      <c r="D57" s="2210" t="s">
        <v>2290</v>
      </c>
      <c r="E57" s="630" t="s">
        <v>562</v>
      </c>
      <c r="F57" s="631" t="s">
        <v>563</v>
      </c>
      <c r="G57" s="3419" t="s">
        <v>2278</v>
      </c>
      <c r="H57" s="3420"/>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2" t="s">
        <v>564</v>
      </c>
      <c r="B58" s="633">
        <f>C50</f>
        <v>22808</v>
      </c>
      <c r="C58" s="634">
        <v>1</v>
      </c>
      <c r="D58" s="2211">
        <v>1</v>
      </c>
      <c r="E58" s="634">
        <f>'数据-汇总表'!E8+'数据-汇总表'!E9</f>
        <v>83230.11</v>
      </c>
      <c r="F58" s="635">
        <f t="shared" ref="F58:F67" si="15">ROUND(B58*E58/10000,0)</f>
        <v>189831</v>
      </c>
      <c r="G58" s="3421"/>
      <c r="H58" s="3422"/>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565</v>
      </c>
      <c r="B59" s="637">
        <f>ROUND($C$50*C59*D59,0)</f>
        <v>0</v>
      </c>
      <c r="C59" s="377">
        <f t="shared" ref="C59:C67" si="16">IF($C$57="北京市系数",I59,J59)</f>
        <v>0</v>
      </c>
      <c r="D59" s="2212">
        <v>0.25</v>
      </c>
      <c r="E59" s="638">
        <v>0</v>
      </c>
      <c r="F59" s="635">
        <f t="shared" si="15"/>
        <v>0</v>
      </c>
      <c r="G59" s="3423" t="s">
        <v>2279</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566</v>
      </c>
      <c r="B60" s="637">
        <f t="shared" ref="B60:B67" si="17">ROUND($C$50*C60*D60,0)</f>
        <v>0</v>
      </c>
      <c r="C60" s="377">
        <f t="shared" si="16"/>
        <v>0</v>
      </c>
      <c r="D60" s="2212">
        <v>0.25</v>
      </c>
      <c r="E60" s="638">
        <v>0</v>
      </c>
      <c r="F60" s="635">
        <f t="shared" si="15"/>
        <v>0</v>
      </c>
      <c r="G60" s="3423"/>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567</v>
      </c>
      <c r="B61" s="637">
        <f t="shared" si="17"/>
        <v>0</v>
      </c>
      <c r="C61" s="377">
        <f t="shared" si="16"/>
        <v>0</v>
      </c>
      <c r="D61" s="2212">
        <v>0.25</v>
      </c>
      <c r="E61" s="638">
        <v>0</v>
      </c>
      <c r="F61" s="635">
        <f t="shared" si="15"/>
        <v>0</v>
      </c>
      <c r="G61" s="3423"/>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6" t="s">
        <v>568</v>
      </c>
      <c r="B62" s="637">
        <f t="shared" si="17"/>
        <v>0</v>
      </c>
      <c r="C62" s="377">
        <f t="shared" si="16"/>
        <v>0</v>
      </c>
      <c r="D62" s="2212">
        <v>0.25</v>
      </c>
      <c r="E62" s="638">
        <v>0</v>
      </c>
      <c r="F62" s="635">
        <f t="shared" si="15"/>
        <v>0</v>
      </c>
      <c r="G62" s="3423"/>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2324</v>
      </c>
      <c r="B63" s="637">
        <f t="shared" si="17"/>
        <v>0</v>
      </c>
      <c r="C63" s="377">
        <f t="shared" si="16"/>
        <v>0</v>
      </c>
      <c r="D63" s="2212">
        <v>0.25</v>
      </c>
      <c r="E63" s="640">
        <f>'数据-汇总表'!E11</f>
        <v>0</v>
      </c>
      <c r="F63" s="635">
        <f t="shared" si="15"/>
        <v>0</v>
      </c>
      <c r="G63" s="1928" t="s">
        <v>2280</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6" t="s">
        <v>569</v>
      </c>
      <c r="B64" s="637">
        <f t="shared" si="17"/>
        <v>1140</v>
      </c>
      <c r="C64" s="377">
        <f t="shared" si="16"/>
        <v>0.2</v>
      </c>
      <c r="D64" s="2212">
        <v>0.25</v>
      </c>
      <c r="E64" s="640">
        <f>'数据-汇总表'!E12</f>
        <v>5572.52</v>
      </c>
      <c r="F64" s="635">
        <f t="shared" si="15"/>
        <v>635</v>
      </c>
      <c r="G64" s="1929" t="s">
        <v>923</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6" t="s">
        <v>570</v>
      </c>
      <c r="B65" s="637">
        <f t="shared" si="17"/>
        <v>855</v>
      </c>
      <c r="C65" s="377">
        <f t="shared" si="16"/>
        <v>0.15</v>
      </c>
      <c r="D65" s="2212">
        <v>0.25</v>
      </c>
      <c r="E65" s="640">
        <f>'数据-汇总表'!E13</f>
        <v>33195.879999999997</v>
      </c>
      <c r="F65" s="635">
        <f t="shared" si="15"/>
        <v>2838</v>
      </c>
      <c r="G65" s="1929" t="s">
        <v>923</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6" t="s">
        <v>571</v>
      </c>
      <c r="B66" s="637">
        <f t="shared" si="17"/>
        <v>0</v>
      </c>
      <c r="C66" s="377">
        <f t="shared" si="16"/>
        <v>0</v>
      </c>
      <c r="D66" s="2212">
        <v>0.25</v>
      </c>
      <c r="E66" s="640">
        <f>'数据-汇总表'!E14</f>
        <v>0</v>
      </c>
      <c r="F66" s="635">
        <f t="shared" si="15"/>
        <v>0</v>
      </c>
      <c r="G66" s="1928" t="s">
        <v>2279</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6" t="s">
        <v>572</v>
      </c>
      <c r="B67" s="637">
        <f t="shared" si="17"/>
        <v>0</v>
      </c>
      <c r="C67" s="377">
        <f t="shared" si="16"/>
        <v>0</v>
      </c>
      <c r="D67" s="2212">
        <v>0.25</v>
      </c>
      <c r="E67" s="640">
        <f>'数据-汇总表'!E15</f>
        <v>0</v>
      </c>
      <c r="F67" s="635">
        <f t="shared" si="15"/>
        <v>0</v>
      </c>
      <c r="G67" s="1930" t="s">
        <v>2280</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1" t="s">
        <v>573</v>
      </c>
      <c r="B68" s="642" t="s">
        <v>17</v>
      </c>
      <c r="C68" s="642" t="s">
        <v>18</v>
      </c>
      <c r="D68" s="642" t="s">
        <v>2291</v>
      </c>
      <c r="E68" s="642">
        <f>IF(B48="楼面地价",SUM(E58:E67),'数据-汇总表'!D3)</f>
        <v>121998.51000000001</v>
      </c>
      <c r="F68" s="643">
        <f>IF(B48="楼面地价",SUM(F58:F67),ROUND(C50*E68/10000,0))</f>
        <v>193304</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2020-4-1</v>
      </c>
      <c r="D70" s="2752">
        <f>EDATE(C70,-3)</f>
        <v>43831</v>
      </c>
      <c r="E70" s="2752">
        <f t="shared" ref="E70:N70" si="18">EDATE(D70,-3)</f>
        <v>43739</v>
      </c>
      <c r="F70" s="2752">
        <f t="shared" si="18"/>
        <v>43647</v>
      </c>
      <c r="G70" s="2752">
        <f t="shared" si="18"/>
        <v>43556</v>
      </c>
      <c r="H70" s="2752">
        <f t="shared" si="18"/>
        <v>43466</v>
      </c>
      <c r="I70" s="2752">
        <f t="shared" si="18"/>
        <v>43374</v>
      </c>
      <c r="J70" s="2752">
        <f t="shared" si="18"/>
        <v>43282</v>
      </c>
      <c r="K70" s="2752">
        <f t="shared" si="18"/>
        <v>43191</v>
      </c>
      <c r="L70" s="2752">
        <f t="shared" si="18"/>
        <v>43101</v>
      </c>
      <c r="M70" s="2752">
        <f t="shared" si="18"/>
        <v>43009</v>
      </c>
      <c r="N70" s="2752">
        <f t="shared" si="18"/>
        <v>42917</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2528</v>
      </c>
      <c r="B72" s="2531"/>
      <c r="C72" s="2748" t="str">
        <f>YEAR(C70)&amp;"-"&amp;ROUNDUP(MONTH(C70)/3,0)</f>
        <v>2020-2</v>
      </c>
      <c r="D72" s="2754" t="str">
        <f>YEAR(D70)&amp;"-"&amp;ROUNDUP(MONTH(D70)/3,0)</f>
        <v>2020-1</v>
      </c>
      <c r="E72" s="2754" t="str">
        <f t="shared" ref="E72:N72" si="19">YEAR(E70)&amp;"-"&amp;ROUNDUP(MONTH(E70)/3,0)</f>
        <v>2019-4</v>
      </c>
      <c r="F72" s="2754" t="str">
        <f t="shared" si="19"/>
        <v>2019-3</v>
      </c>
      <c r="G72" s="2754" t="str">
        <f t="shared" si="19"/>
        <v>2019-2</v>
      </c>
      <c r="H72" s="2754" t="str">
        <f t="shared" si="19"/>
        <v>2019-1</v>
      </c>
      <c r="I72" s="2754" t="str">
        <f t="shared" si="19"/>
        <v>2018-4</v>
      </c>
      <c r="J72" s="2754" t="str">
        <f t="shared" si="19"/>
        <v>2018-3</v>
      </c>
      <c r="K72" s="2754" t="str">
        <f t="shared" si="19"/>
        <v>2018-2</v>
      </c>
      <c r="L72" s="2754" t="str">
        <f t="shared" si="19"/>
        <v>2018-1</v>
      </c>
      <c r="M72" s="2754" t="str">
        <f t="shared" si="19"/>
        <v>2017-4</v>
      </c>
      <c r="N72" s="2754" t="str">
        <f t="shared" si="19"/>
        <v>2017-3</v>
      </c>
      <c r="O72" s="2142"/>
      <c r="P72" s="2143"/>
      <c r="Q72" s="2144"/>
      <c r="R72" s="2144"/>
      <c r="S72" s="2144"/>
      <c r="T72" s="2144"/>
      <c r="U72" s="2144"/>
      <c r="V72" s="2144"/>
      <c r="W72" s="2144"/>
      <c r="X72" s="2144"/>
      <c r="Y72" s="2144"/>
      <c r="Z72" s="2144"/>
      <c r="AA72" s="2144"/>
      <c r="AB72" s="2144"/>
      <c r="AC72" s="2144"/>
    </row>
    <row r="73" spans="1:29" s="1214" customFormat="1" ht="27" customHeight="1">
      <c r="A73" s="2759" t="s">
        <v>923</v>
      </c>
      <c r="B73" s="478" t="str">
        <f>"北京市平均增长率"&amp;TEXT(SUMIF(基准地价!N21:N25,A73,基准地价!P21:P25),"0.00%")</f>
        <v>北京市平均增长率2.03%</v>
      </c>
      <c r="C73" s="892">
        <v>100</v>
      </c>
      <c r="D73" s="729">
        <f>C73-0.5</f>
        <v>99.5</v>
      </c>
      <c r="E73" s="729">
        <f t="shared" ref="E73:H73" si="20">D73-0.5</f>
        <v>99</v>
      </c>
      <c r="F73" s="729">
        <f t="shared" si="20"/>
        <v>98.5</v>
      </c>
      <c r="G73" s="729">
        <f t="shared" si="20"/>
        <v>98</v>
      </c>
      <c r="H73" s="729">
        <f t="shared" si="20"/>
        <v>97.5</v>
      </c>
      <c r="I73" s="729"/>
      <c r="J73" s="729"/>
      <c r="K73" s="729"/>
      <c r="L73" s="729"/>
      <c r="M73" s="2746"/>
      <c r="N73" s="2747"/>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2641</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577</v>
      </c>
      <c r="B77" s="664" t="s">
        <v>534</v>
      </c>
      <c r="C77" s="3187" t="s">
        <v>3106</v>
      </c>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c r="H82" s="540"/>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98</v>
      </c>
      <c r="E83" s="678">
        <f t="shared" ref="E83:M83" si="22">IF($B$48="单位面积地价",D83+$K13,D83-$K13)</f>
        <v>96</v>
      </c>
      <c r="F83" s="678">
        <f t="shared" si="22"/>
        <v>94</v>
      </c>
      <c r="G83" s="678">
        <f t="shared" si="22"/>
        <v>92</v>
      </c>
      <c r="H83" s="678">
        <f t="shared" si="22"/>
        <v>90</v>
      </c>
      <c r="I83" s="678">
        <f t="shared" si="22"/>
        <v>88</v>
      </c>
      <c r="J83" s="678">
        <f t="shared" si="22"/>
        <v>86</v>
      </c>
      <c r="K83" s="678">
        <f t="shared" si="22"/>
        <v>84</v>
      </c>
      <c r="L83" s="678">
        <f t="shared" si="22"/>
        <v>82</v>
      </c>
      <c r="M83" s="678">
        <f t="shared" si="22"/>
        <v>80</v>
      </c>
      <c r="N83" s="2149"/>
      <c r="O83" s="2149"/>
      <c r="P83" s="2148"/>
      <c r="Q83" s="2141"/>
      <c r="R83" s="2128"/>
      <c r="S83" s="2128"/>
      <c r="T83" s="2128"/>
      <c r="U83" s="2128"/>
      <c r="V83" s="2128"/>
      <c r="W83" s="2128"/>
      <c r="X83" s="2128"/>
      <c r="Y83" s="2128"/>
      <c r="Z83" s="2128"/>
      <c r="AA83" s="2128"/>
      <c r="AB83" s="2128"/>
      <c r="AC83" s="2128"/>
    </row>
    <row r="84" spans="1:29" s="1333" customFormat="1" ht="15.75" hidden="1"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3" customFormat="1" ht="15.75" hidden="1"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3" customFormat="1" ht="15.75" thickTop="1">
      <c r="A86" s="686"/>
      <c r="B86" s="672" t="str">
        <f>B15</f>
        <v>是否有自持</v>
      </c>
      <c r="C86" s="3190" t="s">
        <v>3109</v>
      </c>
      <c r="D86" s="3190" t="s">
        <v>3108</v>
      </c>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6"/>
      <c r="B87" s="677"/>
      <c r="C87" s="691">
        <v>100</v>
      </c>
      <c r="D87" s="691">
        <v>95</v>
      </c>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3" customFormat="1" ht="29.25" thickTop="1">
      <c r="A88" s="686"/>
      <c r="B88" s="680" t="str">
        <f>B16</f>
        <v>限价</v>
      </c>
      <c r="C88" s="660" t="s">
        <v>3111</v>
      </c>
      <c r="D88" s="660" t="s">
        <v>3112</v>
      </c>
      <c r="E88" s="3194" t="s">
        <v>3113</v>
      </c>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3" customFormat="1" ht="15.75" thickBot="1">
      <c r="A89" s="697"/>
      <c r="B89" s="698"/>
      <c r="C89" s="699">
        <v>100</v>
      </c>
      <c r="D89" s="699">
        <v>104</v>
      </c>
      <c r="E89" s="699">
        <v>108</v>
      </c>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98</v>
      </c>
      <c r="E91" s="678">
        <f>D91-$K17</f>
        <v>96</v>
      </c>
      <c r="F91" s="678">
        <f>E91-$K17</f>
        <v>94</v>
      </c>
      <c r="G91" s="678">
        <f>F91-$K17</f>
        <v>92</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97</v>
      </c>
      <c r="E97" s="678">
        <f>D97-$K23</f>
        <v>94</v>
      </c>
      <c r="F97" s="678">
        <f>E97-$K23</f>
        <v>91</v>
      </c>
      <c r="G97" s="678">
        <f>F97-$K23</f>
        <v>88</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6"/>
      <c r="B102" s="1879" t="s">
        <v>2544</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6"/>
      <c r="B104" s="2559" t="s">
        <v>2546</v>
      </c>
      <c r="C104" s="2560" t="s">
        <v>2547</v>
      </c>
      <c r="D104" s="2560" t="s">
        <v>2548</v>
      </c>
      <c r="E104" s="2560" t="s">
        <v>2549</v>
      </c>
      <c r="F104" s="2560" t="s">
        <v>2550</v>
      </c>
      <c r="G104" s="2560" t="s">
        <v>2551</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548</v>
      </c>
      <c r="C108" s="3190" t="s">
        <v>3118</v>
      </c>
      <c r="D108" s="3190" t="s">
        <v>3119</v>
      </c>
      <c r="E108" s="3190" t="s">
        <v>3120</v>
      </c>
      <c r="F108" s="3190" t="s">
        <v>3121</v>
      </c>
      <c r="G108" s="3190" t="s">
        <v>3122</v>
      </c>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3"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3"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551</v>
      </c>
      <c r="B118" s="664" t="s">
        <v>593</v>
      </c>
      <c r="C118" s="703" t="str">
        <f t="shared" ref="C118:L118" si="26">C119&amp;"(含)"&amp;"-"&amp;D119</f>
        <v>0(含)-30000</v>
      </c>
      <c r="D118" s="703" t="str">
        <f t="shared" si="26"/>
        <v>30000(含)-60000</v>
      </c>
      <c r="E118" s="703" t="str">
        <f t="shared" si="26"/>
        <v>60000(含)-90000</v>
      </c>
      <c r="F118" s="703" t="str">
        <f t="shared" si="26"/>
        <v>90000(含)-120000</v>
      </c>
      <c r="G118" s="703" t="str">
        <f t="shared" si="26"/>
        <v>120000(含)-</v>
      </c>
      <c r="H118" s="703" t="str">
        <f t="shared" si="26"/>
        <v>(含)-</v>
      </c>
      <c r="I118" s="703" t="str">
        <f t="shared" si="26"/>
        <v>(含)-</v>
      </c>
      <c r="J118" s="3040" t="str">
        <f t="shared" si="26"/>
        <v>(含)-</v>
      </c>
      <c r="K118" s="3040" t="str">
        <f t="shared" si="26"/>
        <v>(含)-</v>
      </c>
      <c r="L118" s="3041" t="str">
        <f t="shared" si="26"/>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f>C119+30000</f>
        <v>30000</v>
      </c>
      <c r="E119" s="729">
        <f t="shared" ref="E119:G119" si="27">D119+30000</f>
        <v>60000</v>
      </c>
      <c r="F119" s="729">
        <f t="shared" si="27"/>
        <v>90000</v>
      </c>
      <c r="G119" s="729">
        <f t="shared" si="27"/>
        <v>120000</v>
      </c>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101</v>
      </c>
      <c r="E120" s="725">
        <v>102</v>
      </c>
      <c r="F120" s="725">
        <v>101</v>
      </c>
      <c r="G120" s="725">
        <v>100</v>
      </c>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195" t="s">
        <v>3127</v>
      </c>
      <c r="D121" s="3195" t="s">
        <v>3129</v>
      </c>
      <c r="E121" s="3195" t="s">
        <v>3131</v>
      </c>
      <c r="F121" s="3195" t="s">
        <v>3132</v>
      </c>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8">C122-$K41</f>
        <v>99.5</v>
      </c>
      <c r="E122" s="678">
        <f t="shared" si="28"/>
        <v>99</v>
      </c>
      <c r="F122" s="678">
        <f t="shared" si="28"/>
        <v>98.5</v>
      </c>
      <c r="G122" s="678">
        <f t="shared" si="28"/>
        <v>98</v>
      </c>
      <c r="H122" s="678">
        <f t="shared" si="28"/>
        <v>97.5</v>
      </c>
      <c r="I122" s="678">
        <f t="shared" si="28"/>
        <v>97</v>
      </c>
      <c r="J122" s="678">
        <f t="shared" si="28"/>
        <v>96.5</v>
      </c>
      <c r="K122" s="678">
        <f t="shared" si="28"/>
        <v>96</v>
      </c>
      <c r="L122" s="678">
        <f t="shared" si="28"/>
        <v>95.5</v>
      </c>
      <c r="M122" s="679">
        <f t="shared" si="28"/>
        <v>95</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190" t="s">
        <v>3133</v>
      </c>
      <c r="D123" s="3190" t="s">
        <v>3135</v>
      </c>
      <c r="E123" s="3190" t="s">
        <v>3136</v>
      </c>
      <c r="F123" s="3195" t="s">
        <v>3137</v>
      </c>
      <c r="G123" s="3195" t="s">
        <v>3138</v>
      </c>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7"/>
      <c r="B125" s="1879" t="s">
        <v>2421</v>
      </c>
      <c r="C125" s="1369" t="s">
        <v>3139</v>
      </c>
      <c r="D125" s="1369" t="s">
        <v>3141</v>
      </c>
      <c r="E125" s="1369" t="s">
        <v>3143</v>
      </c>
      <c r="F125" s="1369" t="s">
        <v>3144</v>
      </c>
      <c r="G125" s="1369" t="s">
        <v>3145</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6"/>
      <c r="B126" s="677"/>
      <c r="C126" s="678">
        <v>100</v>
      </c>
      <c r="D126" s="678">
        <f>C126-$K43</f>
        <v>98</v>
      </c>
      <c r="E126" s="678">
        <f t="shared" ref="E126:M126" si="30">D126-$K43</f>
        <v>96</v>
      </c>
      <c r="F126" s="678">
        <f t="shared" si="30"/>
        <v>94</v>
      </c>
      <c r="G126" s="678">
        <f t="shared" si="30"/>
        <v>92</v>
      </c>
      <c r="H126" s="678">
        <f t="shared" si="30"/>
        <v>90</v>
      </c>
      <c r="I126" s="678">
        <f t="shared" si="30"/>
        <v>88</v>
      </c>
      <c r="J126" s="678">
        <f t="shared" si="30"/>
        <v>86</v>
      </c>
      <c r="K126" s="678">
        <f t="shared" si="30"/>
        <v>84</v>
      </c>
      <c r="L126" s="678">
        <f t="shared" si="30"/>
        <v>82</v>
      </c>
      <c r="M126" s="679">
        <f t="shared" si="30"/>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190" t="s">
        <v>3146</v>
      </c>
      <c r="D127" s="3190" t="s">
        <v>3147</v>
      </c>
      <c r="E127" s="3195" t="s">
        <v>3148</v>
      </c>
      <c r="F127" s="3195" t="s">
        <v>3149</v>
      </c>
      <c r="G127" s="3195" t="s">
        <v>3150</v>
      </c>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A4" sqref="A4"/>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1685</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30"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30"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399" t="s">
        <v>522</v>
      </c>
      <c r="D6" s="3400"/>
      <c r="E6" s="3433" t="s">
        <v>523</v>
      </c>
      <c r="F6" s="3434"/>
      <c r="G6" s="3399" t="s">
        <v>524</v>
      </c>
      <c r="H6" s="3400"/>
      <c r="I6" s="3399" t="s">
        <v>525</v>
      </c>
      <c r="J6" s="3400"/>
      <c r="K6" s="513" t="s">
        <v>526</v>
      </c>
      <c r="L6" s="2116"/>
      <c r="M6" s="2117"/>
      <c r="N6" s="2117"/>
      <c r="O6" s="2117"/>
      <c r="P6" s="3401" t="s">
        <v>527</v>
      </c>
      <c r="Q6" s="3402"/>
      <c r="R6" s="3407" t="s">
        <v>523</v>
      </c>
      <c r="S6" s="3408"/>
      <c r="T6" s="3407" t="s">
        <v>524</v>
      </c>
      <c r="U6" s="3408"/>
      <c r="V6" s="3394" t="s">
        <v>525</v>
      </c>
      <c r="W6" s="3394"/>
      <c r="X6" s="1551"/>
      <c r="Y6" s="3407" t="s">
        <v>527</v>
      </c>
      <c r="Z6" s="3408"/>
      <c r="AA6" s="3396" t="s">
        <v>523</v>
      </c>
      <c r="AB6" s="3397" t="s">
        <v>524</v>
      </c>
      <c r="AC6" s="3396" t="s">
        <v>525</v>
      </c>
    </row>
    <row r="7" spans="1:29" ht="15">
      <c r="A7" s="514"/>
      <c r="B7" s="515"/>
      <c r="C7" s="3415" t="s">
        <v>2922</v>
      </c>
      <c r="D7" s="3416"/>
      <c r="E7" s="3435" t="s">
        <v>2923</v>
      </c>
      <c r="F7" s="3436"/>
      <c r="G7" s="3415" t="s">
        <v>2924</v>
      </c>
      <c r="H7" s="3416"/>
      <c r="I7" s="3415" t="s">
        <v>2925</v>
      </c>
      <c r="J7" s="3416"/>
      <c r="K7" s="513"/>
      <c r="L7" s="2116"/>
      <c r="M7" s="2117"/>
      <c r="N7" s="2117"/>
      <c r="O7" s="2117"/>
      <c r="P7" s="3403"/>
      <c r="Q7" s="3404"/>
      <c r="R7" s="3409"/>
      <c r="S7" s="3410"/>
      <c r="T7" s="3409"/>
      <c r="U7" s="3410"/>
      <c r="V7" s="3394"/>
      <c r="W7" s="3394"/>
      <c r="X7" s="1551"/>
      <c r="Y7" s="3409"/>
      <c r="Z7" s="3410"/>
      <c r="AA7" s="3397"/>
      <c r="AB7" s="3397"/>
      <c r="AC7" s="3397"/>
    </row>
    <row r="8" spans="1:29" ht="15.75" thickBot="1">
      <c r="A8" s="516"/>
      <c r="B8" s="517"/>
      <c r="C8" s="3413" t="s">
        <v>2926</v>
      </c>
      <c r="D8" s="3414"/>
      <c r="E8" s="3431" t="s">
        <v>2926</v>
      </c>
      <c r="F8" s="3432"/>
      <c r="G8" s="3413" t="s">
        <v>2926</v>
      </c>
      <c r="H8" s="3414"/>
      <c r="I8" s="3413" t="s">
        <v>2926</v>
      </c>
      <c r="J8" s="3414"/>
      <c r="K8" s="513" t="s">
        <v>528</v>
      </c>
      <c r="L8" s="2116"/>
      <c r="M8" s="2117"/>
      <c r="N8" s="2117"/>
      <c r="O8" s="2117"/>
      <c r="P8" s="3405"/>
      <c r="Q8" s="3406"/>
      <c r="R8" s="3409"/>
      <c r="S8" s="3410"/>
      <c r="T8" s="3411"/>
      <c r="U8" s="3412"/>
      <c r="V8" s="3394"/>
      <c r="W8" s="3394"/>
      <c r="X8" s="1551"/>
      <c r="Y8" s="3411"/>
      <c r="Z8" s="3412"/>
      <c r="AA8" s="3398"/>
      <c r="AB8" s="3398"/>
      <c r="AC8" s="3398"/>
    </row>
    <row r="9" spans="1:29" s="1214" customFormat="1" ht="15.75" thickBot="1">
      <c r="A9" s="2865"/>
      <c r="B9" s="2872" t="s">
        <v>529</v>
      </c>
      <c r="C9" s="518">
        <f>'数据-取费表'!B2</f>
        <v>43942</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24" t="s">
        <v>530</v>
      </c>
      <c r="Q9" s="3426"/>
      <c r="R9" s="1552" t="s">
        <v>8</v>
      </c>
      <c r="S9" s="1553">
        <f t="shared" ref="S9:S17" si="0">F9</f>
        <v>0</v>
      </c>
      <c r="T9" s="1552" t="s">
        <v>8</v>
      </c>
      <c r="U9" s="1553">
        <f t="shared" ref="U9:U17" si="1">H9</f>
        <v>0</v>
      </c>
      <c r="V9" s="1552" t="s">
        <v>8</v>
      </c>
      <c r="W9" s="1553">
        <f t="shared" ref="W9:W17" si="2">J9</f>
        <v>0</v>
      </c>
      <c r="X9" s="1554"/>
      <c r="Y9" s="3424" t="s">
        <v>530</v>
      </c>
      <c r="Z9" s="3425"/>
      <c r="AA9" s="1555" t="e">
        <f>D9/F9</f>
        <v>#DIV/0!</v>
      </c>
      <c r="AB9" s="1555" t="e">
        <f>D9/H9</f>
        <v>#DIV/0!</v>
      </c>
      <c r="AC9" s="1555" t="e">
        <f>D9/J9</f>
        <v>#DIV/0!</v>
      </c>
    </row>
    <row r="10" spans="1:29" s="1214"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24" t="s">
        <v>533</v>
      </c>
      <c r="Q10" s="3425"/>
      <c r="R10" s="1552" t="s">
        <v>8</v>
      </c>
      <c r="S10" s="1553">
        <f t="shared" si="0"/>
        <v>0</v>
      </c>
      <c r="T10" s="1552" t="s">
        <v>8</v>
      </c>
      <c r="U10" s="1553">
        <f t="shared" si="1"/>
        <v>0</v>
      </c>
      <c r="V10" s="1552" t="s">
        <v>8</v>
      </c>
      <c r="W10" s="1553">
        <f t="shared" si="2"/>
        <v>0</v>
      </c>
      <c r="X10" s="1554"/>
      <c r="Y10" s="3424" t="s">
        <v>533</v>
      </c>
      <c r="Z10" s="3425"/>
      <c r="AA10" s="1555" t="e">
        <f t="shared" ref="AA10:AA42" si="3">D10/F10</f>
        <v>#DIV/0!</v>
      </c>
      <c r="AB10" s="1555" t="e">
        <f t="shared" ref="AB10:AB42" si="4">D10/H10</f>
        <v>#DIV/0!</v>
      </c>
      <c r="AC10" s="1555" t="e">
        <f t="shared" ref="AC10:AC42" si="5">D10/J10</f>
        <v>#DIV/0!</v>
      </c>
    </row>
    <row r="11" spans="1:29" s="1214" customFormat="1" ht="15">
      <c r="A11" s="2867"/>
      <c r="B11" s="2874" t="s">
        <v>2750</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393" t="s">
        <v>535</v>
      </c>
      <c r="Q11" s="1145" t="str">
        <f t="shared" ref="Q11:Q17" si="6">B11</f>
        <v>用途</v>
      </c>
      <c r="R11" s="1552" t="s">
        <v>8</v>
      </c>
      <c r="S11" s="1553">
        <f t="shared" si="0"/>
        <v>100</v>
      </c>
      <c r="T11" s="1552" t="s">
        <v>8</v>
      </c>
      <c r="U11" s="1553">
        <f t="shared" si="1"/>
        <v>100</v>
      </c>
      <c r="V11" s="1552" t="s">
        <v>8</v>
      </c>
      <c r="W11" s="1553">
        <f t="shared" si="2"/>
        <v>100</v>
      </c>
      <c r="X11" s="1554"/>
      <c r="Y11" s="3339" t="s">
        <v>536</v>
      </c>
      <c r="Z11" s="1144" t="str">
        <f t="shared" ref="Z11:Z17" si="7">Q11</f>
        <v>用途</v>
      </c>
      <c r="AA11" s="1555">
        <f t="shared" si="3"/>
        <v>1</v>
      </c>
      <c r="AB11" s="1555">
        <f t="shared" si="4"/>
        <v>1</v>
      </c>
      <c r="AC11" s="1555">
        <f t="shared" si="5"/>
        <v>1</v>
      </c>
    </row>
    <row r="12" spans="1:29" s="1332" customFormat="1" ht="27">
      <c r="A12" s="2868"/>
      <c r="B12" s="2873" t="s">
        <v>2751</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393"/>
      <c r="Q12" s="1145" t="str">
        <f t="shared" si="6"/>
        <v>土地使用年限（年）</v>
      </c>
      <c r="R12" s="1552" t="s">
        <v>8</v>
      </c>
      <c r="S12" s="1553">
        <f t="shared" si="0"/>
        <v>100</v>
      </c>
      <c r="T12" s="1552" t="s">
        <v>8</v>
      </c>
      <c r="U12" s="1553">
        <f t="shared" si="1"/>
        <v>100</v>
      </c>
      <c r="V12" s="1552" t="s">
        <v>8</v>
      </c>
      <c r="W12" s="1553">
        <f t="shared" si="2"/>
        <v>100</v>
      </c>
      <c r="X12" s="1554"/>
      <c r="Y12" s="3339"/>
      <c r="Z12" s="1144" t="str">
        <f t="shared" si="7"/>
        <v>土地使用年限（年）</v>
      </c>
      <c r="AA12" s="1555">
        <f t="shared" si="3"/>
        <v>1</v>
      </c>
      <c r="AB12" s="1555">
        <f t="shared" si="4"/>
        <v>1</v>
      </c>
      <c r="AC12" s="1555">
        <f t="shared" si="5"/>
        <v>1</v>
      </c>
    </row>
    <row r="13" spans="1:29" ht="15">
      <c r="A13" s="2869"/>
      <c r="B13" s="2873" t="s">
        <v>2752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393"/>
      <c r="Q13" s="1145" t="str">
        <f t="shared" si="6"/>
        <v>容积率</v>
      </c>
      <c r="R13" s="1552" t="s">
        <v>8</v>
      </c>
      <c r="S13" s="1553" t="e">
        <f t="shared" si="0"/>
        <v>#N/A</v>
      </c>
      <c r="T13" s="1552" t="s">
        <v>8</v>
      </c>
      <c r="U13" s="1553" t="e">
        <f t="shared" si="1"/>
        <v>#N/A</v>
      </c>
      <c r="V13" s="1552" t="s">
        <v>8</v>
      </c>
      <c r="W13" s="1553" t="e">
        <f t="shared" si="2"/>
        <v>#N/A</v>
      </c>
      <c r="X13" s="1554"/>
      <c r="Y13" s="3339"/>
      <c r="Z13" s="1144" t="str">
        <f t="shared" si="7"/>
        <v>容积率</v>
      </c>
      <c r="AA13" s="1555" t="e">
        <f t="shared" si="3"/>
        <v>#N/A</v>
      </c>
      <c r="AB13" s="1555" t="e">
        <f t="shared" si="4"/>
        <v>#N/A</v>
      </c>
      <c r="AC13" s="1555" t="e">
        <f t="shared" si="5"/>
        <v>#N/A</v>
      </c>
    </row>
    <row r="14" spans="1:29" s="1214"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393"/>
      <c r="Q14" s="1145">
        <f t="shared" si="6"/>
        <v>111</v>
      </c>
      <c r="R14" s="1552" t="s">
        <v>8</v>
      </c>
      <c r="S14" s="1553">
        <f t="shared" si="0"/>
        <v>100</v>
      </c>
      <c r="T14" s="1552" t="s">
        <v>8</v>
      </c>
      <c r="U14" s="1553">
        <f t="shared" si="1"/>
        <v>100</v>
      </c>
      <c r="V14" s="1552" t="s">
        <v>8</v>
      </c>
      <c r="W14" s="1553">
        <f t="shared" si="2"/>
        <v>100</v>
      </c>
      <c r="X14" s="1554"/>
      <c r="Y14" s="3339"/>
      <c r="Z14" s="1144">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393"/>
      <c r="Q15" s="1145">
        <f t="shared" si="6"/>
        <v>111</v>
      </c>
      <c r="R15" s="1552" t="s">
        <v>8</v>
      </c>
      <c r="S15" s="1553">
        <f t="shared" si="0"/>
        <v>100</v>
      </c>
      <c r="T15" s="1552" t="s">
        <v>8</v>
      </c>
      <c r="U15" s="1553">
        <f t="shared" si="1"/>
        <v>100</v>
      </c>
      <c r="V15" s="1552" t="s">
        <v>8</v>
      </c>
      <c r="W15" s="1553">
        <f t="shared" si="2"/>
        <v>100</v>
      </c>
      <c r="X15" s="1554"/>
      <c r="Y15" s="3339"/>
      <c r="Z15" s="1144">
        <f t="shared" si="7"/>
        <v>111</v>
      </c>
      <c r="AA15" s="1555">
        <f t="shared" si="3"/>
        <v>1</v>
      </c>
      <c r="AB15" s="1555">
        <f t="shared" si="4"/>
        <v>1</v>
      </c>
      <c r="AC15" s="1555">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393"/>
      <c r="Q16" s="1145">
        <f t="shared" si="6"/>
        <v>111</v>
      </c>
      <c r="R16" s="1552" t="s">
        <v>8</v>
      </c>
      <c r="S16" s="1553">
        <f t="shared" si="0"/>
        <v>100</v>
      </c>
      <c r="T16" s="1552" t="s">
        <v>8</v>
      </c>
      <c r="U16" s="1553">
        <f t="shared" si="1"/>
        <v>100</v>
      </c>
      <c r="V16" s="1552" t="s">
        <v>8</v>
      </c>
      <c r="W16" s="1553">
        <f t="shared" si="2"/>
        <v>100</v>
      </c>
      <c r="X16" s="1554"/>
      <c r="Y16" s="3339"/>
      <c r="Z16" s="1144">
        <f t="shared" si="7"/>
        <v>111</v>
      </c>
      <c r="AA16" s="1555">
        <f t="shared" si="3"/>
        <v>1</v>
      </c>
      <c r="AB16" s="1555">
        <f t="shared" si="4"/>
        <v>1</v>
      </c>
      <c r="AC16" s="1555">
        <f t="shared" si="5"/>
        <v>1</v>
      </c>
    </row>
    <row r="17" spans="1:29" ht="57">
      <c r="A17" s="2863" t="s">
        <v>2748</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27" t="s">
        <v>540</v>
      </c>
      <c r="Q17" s="1556" t="str">
        <f t="shared" si="6"/>
        <v>产业集聚程度</v>
      </c>
      <c r="R17" s="1557" t="s">
        <v>8</v>
      </c>
      <c r="S17" s="1558">
        <f t="shared" si="0"/>
        <v>100</v>
      </c>
      <c r="T17" s="1557" t="s">
        <v>8</v>
      </c>
      <c r="U17" s="1558">
        <f t="shared" si="1"/>
        <v>100</v>
      </c>
      <c r="V17" s="1557" t="s">
        <v>8</v>
      </c>
      <c r="W17" s="1558">
        <f t="shared" si="2"/>
        <v>100</v>
      </c>
      <c r="X17" s="1551"/>
      <c r="Y17" s="3427"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428"/>
      <c r="Q18" s="1556"/>
      <c r="R18" s="1557"/>
      <c r="S18" s="1558"/>
      <c r="T18" s="1557"/>
      <c r="U18" s="1558"/>
      <c r="V18" s="1557"/>
      <c r="W18" s="1558"/>
      <c r="X18" s="1551"/>
      <c r="Y18" s="3428"/>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28"/>
      <c r="Q19" s="1556" t="str">
        <f>B19</f>
        <v>交通便捷度</v>
      </c>
      <c r="R19" s="1557" t="s">
        <v>8</v>
      </c>
      <c r="S19" s="1558">
        <f>F19</f>
        <v>100</v>
      </c>
      <c r="T19" s="1557" t="s">
        <v>8</v>
      </c>
      <c r="U19" s="1558">
        <f>H19</f>
        <v>100</v>
      </c>
      <c r="V19" s="1557" t="s">
        <v>8</v>
      </c>
      <c r="W19" s="1558">
        <f>J19</f>
        <v>100</v>
      </c>
      <c r="X19" s="1551"/>
      <c r="Y19" s="3428"/>
      <c r="Z19" s="1559" t="str">
        <f>Q19</f>
        <v>交通便捷度</v>
      </c>
      <c r="AA19" s="1560">
        <f t="shared" si="3"/>
        <v>1</v>
      </c>
      <c r="AB19" s="1560">
        <f t="shared" si="4"/>
        <v>1</v>
      </c>
      <c r="AC19" s="1560">
        <f t="shared" si="5"/>
        <v>1</v>
      </c>
    </row>
    <row r="20" spans="1:29" ht="15">
      <c r="A20" s="531"/>
      <c r="B20" s="920"/>
      <c r="C20" s="575"/>
      <c r="D20" s="554"/>
      <c r="E20" s="555"/>
      <c r="F20" s="554"/>
      <c r="G20" s="555"/>
      <c r="H20" s="554"/>
      <c r="I20" s="557"/>
      <c r="J20" s="554"/>
      <c r="K20" s="530"/>
      <c r="L20" s="2125"/>
      <c r="M20" s="2117"/>
      <c r="N20" s="2117"/>
      <c r="O20" s="2124"/>
      <c r="P20" s="3428"/>
      <c r="Q20" s="1556"/>
      <c r="R20" s="1557"/>
      <c r="S20" s="1558"/>
      <c r="T20" s="1557"/>
      <c r="U20" s="1558"/>
      <c r="V20" s="1557"/>
      <c r="W20" s="1558"/>
      <c r="X20" s="1551"/>
      <c r="Y20" s="3428"/>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5"/>
      <c r="M21" s="2117"/>
      <c r="N21" s="2117"/>
      <c r="O21" s="2124"/>
      <c r="P21" s="3428"/>
      <c r="Q21" s="1556" t="str">
        <f t="shared" ref="Q21:Q35" si="8">B21</f>
        <v>区域土地利用方向</v>
      </c>
      <c r="R21" s="1557" t="s">
        <v>8</v>
      </c>
      <c r="S21" s="1558">
        <f>F21</f>
        <v>100</v>
      </c>
      <c r="T21" s="1557" t="s">
        <v>8</v>
      </c>
      <c r="U21" s="1558">
        <f>H21</f>
        <v>100</v>
      </c>
      <c r="V21" s="1557" t="s">
        <v>8</v>
      </c>
      <c r="W21" s="1558">
        <f>J21</f>
        <v>100</v>
      </c>
      <c r="X21" s="1551"/>
      <c r="Y21" s="3428"/>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2"/>
      <c r="L22" s="2125"/>
      <c r="M22" s="2117"/>
      <c r="N22" s="2117"/>
      <c r="O22" s="2124"/>
      <c r="P22" s="3428"/>
      <c r="Q22" s="1556"/>
      <c r="R22" s="1557"/>
      <c r="S22" s="1558"/>
      <c r="T22" s="1557"/>
      <c r="U22" s="1558"/>
      <c r="V22" s="1557"/>
      <c r="W22" s="1558"/>
      <c r="X22" s="1551"/>
      <c r="Y22" s="3428"/>
      <c r="Z22" s="1559"/>
      <c r="AA22" s="1560"/>
      <c r="AB22" s="1560"/>
      <c r="AC22" s="1560"/>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28"/>
      <c r="Q23" s="1556" t="str">
        <f t="shared" si="8"/>
        <v>环境状况</v>
      </c>
      <c r="R23" s="1557" t="s">
        <v>8</v>
      </c>
      <c r="S23" s="1558">
        <f>F23</f>
        <v>100</v>
      </c>
      <c r="T23" s="1557" t="s">
        <v>8</v>
      </c>
      <c r="U23" s="1558">
        <f>H23</f>
        <v>100</v>
      </c>
      <c r="V23" s="1557" t="s">
        <v>8</v>
      </c>
      <c r="W23" s="1558">
        <f>J23</f>
        <v>100</v>
      </c>
      <c r="X23" s="1551"/>
      <c r="Y23" s="3428"/>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428"/>
      <c r="Q24" s="1556"/>
      <c r="R24" s="1557"/>
      <c r="S24" s="1558"/>
      <c r="T24" s="1557"/>
      <c r="U24" s="1558"/>
      <c r="V24" s="1557"/>
      <c r="W24" s="1558"/>
      <c r="X24" s="1551"/>
      <c r="Y24" s="3428"/>
      <c r="Z24" s="1559"/>
      <c r="AA24" s="1560">
        <v>1</v>
      </c>
      <c r="AB24" s="1560">
        <v>1</v>
      </c>
      <c r="AC24" s="1560">
        <v>1</v>
      </c>
    </row>
    <row r="25" spans="1:29" s="1214" customFormat="1" ht="42.75">
      <c r="A25" s="576"/>
      <c r="B25" s="2555"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28"/>
      <c r="Q25" s="1145" t="str">
        <f t="shared" si="8"/>
        <v>公共配套设施</v>
      </c>
      <c r="R25" s="1552" t="s">
        <v>8</v>
      </c>
      <c r="S25" s="1553">
        <f>F25</f>
        <v>100</v>
      </c>
      <c r="T25" s="1552" t="s">
        <v>8</v>
      </c>
      <c r="U25" s="1553">
        <f>H25</f>
        <v>100</v>
      </c>
      <c r="V25" s="1552" t="s">
        <v>8</v>
      </c>
      <c r="W25" s="1553">
        <f>J25</f>
        <v>100</v>
      </c>
      <c r="X25" s="1554"/>
      <c r="Y25" s="3428"/>
      <c r="Z25" s="1144" t="str">
        <f>Q25</f>
        <v>公共配套设施</v>
      </c>
      <c r="AA25" s="1560">
        <f>D25/F25</f>
        <v>1</v>
      </c>
      <c r="AB25" s="1560">
        <f>D25/H25</f>
        <v>1</v>
      </c>
      <c r="AC25" s="1560">
        <f>D25/J25</f>
        <v>1</v>
      </c>
    </row>
    <row r="26" spans="1:29" s="1214" customFormat="1" ht="15">
      <c r="A26" s="576"/>
      <c r="B26" s="594"/>
      <c r="C26" s="2554"/>
      <c r="D26" s="554"/>
      <c r="E26" s="553"/>
      <c r="F26" s="554"/>
      <c r="G26" s="553"/>
      <c r="H26" s="554"/>
      <c r="I26" s="575"/>
      <c r="J26" s="554"/>
      <c r="K26" s="530"/>
      <c r="L26" s="2118"/>
      <c r="M26" s="2119"/>
      <c r="N26" s="2119"/>
      <c r="O26" s="2120"/>
      <c r="P26" s="3428"/>
      <c r="Q26" s="1145"/>
      <c r="R26" s="1552"/>
      <c r="S26" s="1553"/>
      <c r="T26" s="1552"/>
      <c r="U26" s="1553"/>
      <c r="V26" s="1552"/>
      <c r="W26" s="1553"/>
      <c r="X26" s="1554"/>
      <c r="Y26" s="3428"/>
      <c r="Z26" s="1144"/>
      <c r="AA26" s="1555">
        <v>1</v>
      </c>
      <c r="AB26" s="1555">
        <v>1</v>
      </c>
      <c r="AC26" s="1555">
        <v>1</v>
      </c>
    </row>
    <row r="27" spans="1:29" s="1214" customFormat="1" ht="28.5">
      <c r="A27" s="576"/>
      <c r="B27" s="2555"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28"/>
      <c r="Q27" s="2540" t="str">
        <f t="shared" ref="Q27" si="9">B27</f>
        <v>基础设施水平</v>
      </c>
      <c r="R27" s="1552" t="s">
        <v>8</v>
      </c>
      <c r="S27" s="1553">
        <f>F27</f>
        <v>100</v>
      </c>
      <c r="T27" s="1552" t="s">
        <v>8</v>
      </c>
      <c r="U27" s="1553">
        <f>H27</f>
        <v>100</v>
      </c>
      <c r="V27" s="1552" t="s">
        <v>8</v>
      </c>
      <c r="W27" s="1553">
        <f>J27</f>
        <v>100</v>
      </c>
      <c r="X27" s="1554"/>
      <c r="Y27" s="3428"/>
      <c r="Z27" s="2537" t="str">
        <f>Q27</f>
        <v>基础设施水平</v>
      </c>
      <c r="AA27" s="1560">
        <f>D27/F27</f>
        <v>1</v>
      </c>
      <c r="AB27" s="1560">
        <f>D27/H27</f>
        <v>1</v>
      </c>
      <c r="AC27" s="1560">
        <f>D27/J27</f>
        <v>1</v>
      </c>
    </row>
    <row r="28" spans="1:29" s="1214" customFormat="1" ht="15">
      <c r="A28" s="576"/>
      <c r="B28" s="594"/>
      <c r="C28" s="2554"/>
      <c r="D28" s="554"/>
      <c r="E28" s="578"/>
      <c r="F28" s="554"/>
      <c r="G28" s="578"/>
      <c r="H28" s="554"/>
      <c r="I28" s="578"/>
      <c r="J28" s="554"/>
      <c r="K28" s="530"/>
      <c r="L28" s="2118"/>
      <c r="M28" s="2119"/>
      <c r="N28" s="2119"/>
      <c r="O28" s="2120"/>
      <c r="P28" s="3428"/>
      <c r="Q28" s="2540"/>
      <c r="R28" s="1552"/>
      <c r="S28" s="1553"/>
      <c r="T28" s="1552"/>
      <c r="U28" s="1553"/>
      <c r="V28" s="1552"/>
      <c r="W28" s="1553"/>
      <c r="X28" s="1554"/>
      <c r="Y28" s="3428"/>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28"/>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28"/>
      <c r="Z29" s="1559" t="str">
        <f t="shared" ref="Z29:Z42" si="13">Q29</f>
        <v>临街状况</v>
      </c>
      <c r="AA29" s="1560">
        <f t="shared" si="3"/>
        <v>1</v>
      </c>
      <c r="AB29" s="1560">
        <f t="shared" si="4"/>
        <v>1</v>
      </c>
      <c r="AC29" s="1560">
        <f t="shared" si="5"/>
        <v>1</v>
      </c>
    </row>
    <row r="30" spans="1:29" ht="27">
      <c r="A30" s="531"/>
      <c r="B30" s="920"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28"/>
      <c r="Q30" s="1556" t="str">
        <f t="shared" si="8"/>
        <v>毗邻道路的类型与等级</v>
      </c>
      <c r="R30" s="1557" t="s">
        <v>8</v>
      </c>
      <c r="S30" s="1558">
        <f t="shared" si="10"/>
        <v>100</v>
      </c>
      <c r="T30" s="1557" t="s">
        <v>8</v>
      </c>
      <c r="U30" s="1558">
        <f t="shared" si="11"/>
        <v>100</v>
      </c>
      <c r="V30" s="1557" t="s">
        <v>8</v>
      </c>
      <c r="W30" s="1558">
        <f t="shared" si="12"/>
        <v>100</v>
      </c>
      <c r="X30" s="1551"/>
      <c r="Y30" s="3428"/>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428"/>
      <c r="Q31" s="1556"/>
      <c r="R31" s="1557"/>
      <c r="S31" s="1558"/>
      <c r="T31" s="1557"/>
      <c r="U31" s="1558"/>
      <c r="V31" s="1557"/>
      <c r="W31" s="1558"/>
      <c r="X31" s="1551"/>
      <c r="Y31" s="3428"/>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28"/>
      <c r="Q32" s="1556" t="str">
        <f t="shared" si="8"/>
        <v>土地级别</v>
      </c>
      <c r="R32" s="1557" t="s">
        <v>8</v>
      </c>
      <c r="S32" s="1558">
        <f t="shared" si="10"/>
        <v>100</v>
      </c>
      <c r="T32" s="1557" t="s">
        <v>8</v>
      </c>
      <c r="U32" s="1558">
        <f t="shared" si="11"/>
        <v>100</v>
      </c>
      <c r="V32" s="1557" t="s">
        <v>8</v>
      </c>
      <c r="W32" s="1558">
        <f t="shared" si="12"/>
        <v>100</v>
      </c>
      <c r="X32" s="1551"/>
      <c r="Y32" s="3428"/>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28"/>
      <c r="Q33" s="1556">
        <f t="shared" si="8"/>
        <v>111</v>
      </c>
      <c r="R33" s="1557" t="s">
        <v>8</v>
      </c>
      <c r="S33" s="1558">
        <f t="shared" si="10"/>
        <v>100</v>
      </c>
      <c r="T33" s="1557" t="s">
        <v>8</v>
      </c>
      <c r="U33" s="1558">
        <f t="shared" si="11"/>
        <v>100</v>
      </c>
      <c r="V33" s="1557" t="s">
        <v>8</v>
      </c>
      <c r="W33" s="1558">
        <f t="shared" si="12"/>
        <v>100</v>
      </c>
      <c r="X33" s="1551"/>
      <c r="Y33" s="3428"/>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29" t="s">
        <v>550</v>
      </c>
      <c r="Q34" s="1556">
        <f t="shared" si="8"/>
        <v>111</v>
      </c>
      <c r="R34" s="1557" t="s">
        <v>8</v>
      </c>
      <c r="S34" s="1558">
        <f t="shared" si="10"/>
        <v>100</v>
      </c>
      <c r="T34" s="1557" t="s">
        <v>8</v>
      </c>
      <c r="U34" s="1558">
        <f t="shared" si="11"/>
        <v>100</v>
      </c>
      <c r="V34" s="1557" t="s">
        <v>8</v>
      </c>
      <c r="W34" s="1558">
        <f t="shared" si="12"/>
        <v>100</v>
      </c>
      <c r="X34" s="1551"/>
      <c r="Y34" s="3430" t="s">
        <v>550</v>
      </c>
      <c r="Z34" s="1559">
        <f t="shared" si="13"/>
        <v>111</v>
      </c>
      <c r="AA34" s="1560">
        <f t="shared" si="3"/>
        <v>1</v>
      </c>
      <c r="AB34" s="1560">
        <f t="shared" si="4"/>
        <v>1</v>
      </c>
      <c r="AC34" s="1560">
        <f t="shared" si="5"/>
        <v>1</v>
      </c>
    </row>
    <row r="35" spans="1:29" s="1333"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30"/>
      <c r="Q35" s="1556">
        <f t="shared" si="8"/>
        <v>111</v>
      </c>
      <c r="R35" s="1561" t="s">
        <v>8</v>
      </c>
      <c r="S35" s="1562">
        <f t="shared" si="10"/>
        <v>100</v>
      </c>
      <c r="T35" s="1561" t="s">
        <v>8</v>
      </c>
      <c r="U35" s="1562">
        <f t="shared" si="11"/>
        <v>100</v>
      </c>
      <c r="V35" s="1561" t="s">
        <v>8</v>
      </c>
      <c r="W35" s="1562">
        <f t="shared" si="12"/>
        <v>100</v>
      </c>
      <c r="X35" s="1563"/>
      <c r="Y35" s="3430"/>
      <c r="Z35" s="1564">
        <f t="shared" si="13"/>
        <v>111</v>
      </c>
      <c r="AA35" s="1560">
        <f t="shared" si="3"/>
        <v>1</v>
      </c>
      <c r="AB35" s="1560">
        <f t="shared" si="4"/>
        <v>1</v>
      </c>
      <c r="AC35" s="1560">
        <f t="shared" si="5"/>
        <v>1</v>
      </c>
    </row>
    <row r="36" spans="1:29" ht="15">
      <c r="A36" s="2860" t="s">
        <v>2749</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30"/>
      <c r="Q36" s="1556" t="str">
        <f>B36</f>
        <v>宗地面积</v>
      </c>
      <c r="R36" s="1557" t="s">
        <v>8</v>
      </c>
      <c r="S36" s="1558" t="e">
        <f t="shared" si="10"/>
        <v>#N/A</v>
      </c>
      <c r="T36" s="1557" t="s">
        <v>8</v>
      </c>
      <c r="U36" s="1558" t="e">
        <f t="shared" si="11"/>
        <v>#N/A</v>
      </c>
      <c r="V36" s="1557" t="s">
        <v>8</v>
      </c>
      <c r="W36" s="1558" t="e">
        <f t="shared" si="12"/>
        <v>#N/A</v>
      </c>
      <c r="X36" s="1551"/>
      <c r="Y36" s="3430"/>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30"/>
      <c r="Q37" s="1556" t="str">
        <f t="shared" ref="Q37:Q42" si="14">B37</f>
        <v>宗地形状</v>
      </c>
      <c r="R37" s="1557" t="s">
        <v>8</v>
      </c>
      <c r="S37" s="1558">
        <f t="shared" si="10"/>
        <v>100</v>
      </c>
      <c r="T37" s="1557" t="s">
        <v>8</v>
      </c>
      <c r="U37" s="1558">
        <f t="shared" si="11"/>
        <v>100</v>
      </c>
      <c r="V37" s="1557" t="s">
        <v>8</v>
      </c>
      <c r="W37" s="1558">
        <f t="shared" si="12"/>
        <v>100</v>
      </c>
      <c r="X37" s="1551"/>
      <c r="Y37" s="3430"/>
      <c r="Z37" s="1559" t="str">
        <f t="shared" si="13"/>
        <v>宗地形状</v>
      </c>
      <c r="AA37" s="1560">
        <f t="shared" si="3"/>
        <v>1</v>
      </c>
      <c r="AB37" s="1560">
        <f t="shared" si="4"/>
        <v>1</v>
      </c>
      <c r="AC37" s="1560">
        <f t="shared" si="5"/>
        <v>1</v>
      </c>
    </row>
    <row r="38" spans="1:29" s="1214" customFormat="1" ht="15">
      <c r="A38" s="599"/>
      <c r="B38" s="1878"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30"/>
      <c r="Q38" s="1556" t="str">
        <f t="shared" si="14"/>
        <v>宗地开发程度</v>
      </c>
      <c r="R38" s="1552" t="s">
        <v>8</v>
      </c>
      <c r="S38" s="1553">
        <f t="shared" si="10"/>
        <v>100</v>
      </c>
      <c r="T38" s="1552" t="s">
        <v>8</v>
      </c>
      <c r="U38" s="1553">
        <f t="shared" si="11"/>
        <v>100</v>
      </c>
      <c r="V38" s="1552" t="s">
        <v>8</v>
      </c>
      <c r="W38" s="1553">
        <f t="shared" si="12"/>
        <v>100</v>
      </c>
      <c r="X38" s="1554"/>
      <c r="Y38" s="3430"/>
      <c r="Z38" s="1144"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30" t="s">
        <v>601</v>
      </c>
      <c r="Q39" s="1556" t="str">
        <f t="shared" si="14"/>
        <v>工程地质条件</v>
      </c>
      <c r="R39" s="1557" t="s">
        <v>8</v>
      </c>
      <c r="S39" s="1558">
        <f t="shared" si="10"/>
        <v>100</v>
      </c>
      <c r="T39" s="1557" t="s">
        <v>8</v>
      </c>
      <c r="U39" s="1558">
        <f t="shared" si="11"/>
        <v>100</v>
      </c>
      <c r="V39" s="1557" t="s">
        <v>8</v>
      </c>
      <c r="W39" s="1558">
        <f t="shared" si="12"/>
        <v>100</v>
      </c>
      <c r="X39" s="1551"/>
      <c r="Y39" s="3430"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30"/>
      <c r="Q40" s="1556">
        <f t="shared" si="14"/>
        <v>111</v>
      </c>
      <c r="R40" s="1557" t="s">
        <v>8</v>
      </c>
      <c r="S40" s="1558">
        <f t="shared" si="10"/>
        <v>100</v>
      </c>
      <c r="T40" s="1557" t="s">
        <v>8</v>
      </c>
      <c r="U40" s="1558">
        <f t="shared" si="11"/>
        <v>100</v>
      </c>
      <c r="V40" s="1557" t="s">
        <v>8</v>
      </c>
      <c r="W40" s="1558">
        <f t="shared" si="12"/>
        <v>100</v>
      </c>
      <c r="X40" s="1551"/>
      <c r="Y40" s="3430"/>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30"/>
      <c r="Q41" s="1556">
        <f t="shared" si="14"/>
        <v>111</v>
      </c>
      <c r="R41" s="1557" t="s">
        <v>8</v>
      </c>
      <c r="S41" s="1558">
        <f t="shared" si="10"/>
        <v>100</v>
      </c>
      <c r="T41" s="1557" t="s">
        <v>8</v>
      </c>
      <c r="U41" s="1558">
        <f t="shared" si="11"/>
        <v>100</v>
      </c>
      <c r="V41" s="1557" t="s">
        <v>8</v>
      </c>
      <c r="W41" s="1558">
        <f t="shared" si="12"/>
        <v>100</v>
      </c>
      <c r="X41" s="1551"/>
      <c r="Y41" s="3430"/>
      <c r="Z41" s="1559">
        <f t="shared" si="13"/>
        <v>111</v>
      </c>
      <c r="AA41" s="1560">
        <f t="shared" si="3"/>
        <v>1</v>
      </c>
      <c r="AB41" s="1560">
        <f t="shared" si="4"/>
        <v>1</v>
      </c>
      <c r="AC41" s="1560">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30"/>
      <c r="Q42" s="1556">
        <f t="shared" si="14"/>
        <v>111</v>
      </c>
      <c r="R42" s="1561" t="s">
        <v>8</v>
      </c>
      <c r="S42" s="1562">
        <f t="shared" si="10"/>
        <v>100</v>
      </c>
      <c r="T42" s="1561" t="s">
        <v>8</v>
      </c>
      <c r="U42" s="1562">
        <f t="shared" si="11"/>
        <v>100</v>
      </c>
      <c r="V42" s="1561" t="s">
        <v>8</v>
      </c>
      <c r="W42" s="1562">
        <f t="shared" si="12"/>
        <v>100</v>
      </c>
      <c r="X42" s="1563"/>
      <c r="Y42" s="3430"/>
      <c r="Z42" s="1564">
        <f t="shared" si="13"/>
        <v>111</v>
      </c>
      <c r="AA42" s="1560">
        <f t="shared" si="3"/>
        <v>1</v>
      </c>
      <c r="AB42" s="1560">
        <f t="shared" si="4"/>
        <v>1</v>
      </c>
      <c r="AC42" s="1560">
        <f t="shared" si="5"/>
        <v>1</v>
      </c>
    </row>
    <row r="43" spans="1:29" ht="15">
      <c r="A43" s="606" t="s">
        <v>556</v>
      </c>
      <c r="B43" s="607" t="s">
        <v>2927</v>
      </c>
      <c r="C43" s="608" t="s">
        <v>1</v>
      </c>
      <c r="D43" s="609"/>
      <c r="E43" s="610"/>
      <c r="F43" s="611"/>
      <c r="G43" s="612"/>
      <c r="H43" s="613"/>
      <c r="I43" s="610"/>
      <c r="J43" s="613"/>
      <c r="K43" s="1334"/>
      <c r="L43" s="2127"/>
      <c r="M43" s="2117"/>
      <c r="N43" s="2117"/>
      <c r="O43" s="2128"/>
      <c r="P43" s="3393" t="str">
        <f>A43</f>
        <v>成交单价</v>
      </c>
      <c r="Q43" s="3393"/>
      <c r="R43" s="3394">
        <f>E43</f>
        <v>0</v>
      </c>
      <c r="S43" s="3394"/>
      <c r="T43" s="3394">
        <f>G43</f>
        <v>0</v>
      </c>
      <c r="U43" s="3394"/>
      <c r="V43" s="3394">
        <f>I43</f>
        <v>0</v>
      </c>
      <c r="W43" s="3394"/>
      <c r="X43" s="1543"/>
      <c r="Y43" s="1565"/>
      <c r="Z43" s="1543"/>
      <c r="AA43" s="1543"/>
      <c r="AB43" s="1543"/>
      <c r="AC43" s="1543"/>
    </row>
    <row r="44" spans="1:29" ht="15.75" thickBot="1">
      <c r="A44" s="614" t="s">
        <v>2687</v>
      </c>
      <c r="B44" s="615"/>
      <c r="C44" s="616" t="e">
        <f>R45</f>
        <v>#DIV/0!</v>
      </c>
      <c r="D44" s="617"/>
      <c r="E44" s="616" t="e">
        <f>R44</f>
        <v>#DIV/0!</v>
      </c>
      <c r="F44" s="618"/>
      <c r="G44" s="619" t="e">
        <f>T44</f>
        <v>#DIV/0!</v>
      </c>
      <c r="H44" s="617"/>
      <c r="I44" s="616" t="e">
        <f>V44</f>
        <v>#DIV/0!</v>
      </c>
      <c r="J44" s="617"/>
      <c r="K44" s="1335"/>
      <c r="L44" s="2127"/>
      <c r="M44" s="2117"/>
      <c r="N44" s="2117"/>
      <c r="O44" s="2128"/>
      <c r="P44" s="3393" t="str">
        <f>A44</f>
        <v>比较价格（元/平方米）</v>
      </c>
      <c r="Q44" s="3393"/>
      <c r="R44" s="3395" t="e">
        <f>ROUND(PRODUCT(R43,AA9:AA42),0)</f>
        <v>#DIV/0!</v>
      </c>
      <c r="S44" s="3395"/>
      <c r="T44" s="3395" t="e">
        <f>ROUND(PRODUCT(T43,AB9:AB42),0)</f>
        <v>#DIV/0!</v>
      </c>
      <c r="U44" s="3395"/>
      <c r="V44" s="3395" t="e">
        <f>ROUND(PRODUCT(V43,AC9:AC42),0)</f>
        <v>#DIV/0!</v>
      </c>
      <c r="W44" s="3395"/>
      <c r="X44" s="1543"/>
      <c r="Y44" s="1543"/>
      <c r="Z44" s="1543"/>
      <c r="AA44" s="1543"/>
      <c r="AB44" s="1543"/>
      <c r="AC44" s="1543"/>
    </row>
    <row r="45" spans="1:29" ht="15.75" thickBot="1">
      <c r="A45" s="620" t="s">
        <v>2928</v>
      </c>
      <c r="B45" s="621"/>
      <c r="C45" s="622" t="e">
        <f>R45</f>
        <v>#DIV/0!</v>
      </c>
      <c r="D45" s="622"/>
      <c r="E45" s="622"/>
      <c r="F45" s="622"/>
      <c r="G45" s="622"/>
      <c r="H45" s="622"/>
      <c r="I45" s="622"/>
      <c r="J45" s="622"/>
      <c r="K45" s="1336"/>
      <c r="L45" s="2127"/>
      <c r="M45" s="2117"/>
      <c r="N45" s="2117"/>
      <c r="O45" s="2128"/>
      <c r="P45" s="3390" t="str">
        <f>A45</f>
        <v>估价对象XX用房的比较价格（楼面单价，元/平方米）</v>
      </c>
      <c r="Q45" s="3391"/>
      <c r="R45" s="3392" t="e">
        <f>ROUND(AVERAGE(R44:V44),0)</f>
        <v>#DIV/0!</v>
      </c>
      <c r="S45" s="3392"/>
      <c r="T45" s="3392"/>
      <c r="U45" s="3392"/>
      <c r="V45" s="3392"/>
      <c r="W45" s="3392"/>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1724</v>
      </c>
      <c r="D52" s="2210" t="s">
        <v>2290</v>
      </c>
      <c r="E52" s="630" t="s">
        <v>562</v>
      </c>
      <c r="F52" s="1934" t="s">
        <v>563</v>
      </c>
      <c r="G52" s="3437" t="s">
        <v>2281</v>
      </c>
      <c r="H52" s="3438"/>
      <c r="I52" s="1935" t="s">
        <v>1943</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2" t="s">
        <v>564</v>
      </c>
      <c r="B53" s="633" t="e">
        <f>C45</f>
        <v>#DIV/0!</v>
      </c>
      <c r="C53" s="634">
        <v>1</v>
      </c>
      <c r="D53" s="2211">
        <v>1</v>
      </c>
      <c r="E53" s="634">
        <f>'数据-汇总表'!E8+'数据-汇总表'!E9</f>
        <v>83230.11</v>
      </c>
      <c r="F53" s="1933" t="e">
        <f t="shared" ref="F53:F62" si="15">ROUND(B53*E53/10000,0)</f>
        <v>#DIV/0!</v>
      </c>
      <c r="G53" s="3439"/>
      <c r="H53" s="3440"/>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6" t="s">
        <v>565</v>
      </c>
      <c r="B54" s="637" t="e">
        <f>ROUND($C$45*C54*D54,0)</f>
        <v>#DIV/0!</v>
      </c>
      <c r="C54" s="377">
        <f t="shared" ref="C54:C62" si="16">IF($C$52="北京市系数",I54,J54)</f>
        <v>0</v>
      </c>
      <c r="D54" s="2212">
        <v>0.25</v>
      </c>
      <c r="E54" s="638"/>
      <c r="F54" s="1933" t="e">
        <f t="shared" si="15"/>
        <v>#DIV/0!</v>
      </c>
      <c r="G54" s="3441" t="s">
        <v>2282</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6" t="s">
        <v>566</v>
      </c>
      <c r="B55" s="637" t="e">
        <f t="shared" ref="B55:B62" si="17">ROUND($C$45*C55*D55,0)</f>
        <v>#DIV/0!</v>
      </c>
      <c r="C55" s="377">
        <f t="shared" si="16"/>
        <v>0</v>
      </c>
      <c r="D55" s="2212">
        <v>0.25</v>
      </c>
      <c r="E55" s="638"/>
      <c r="F55" s="1933" t="e">
        <f t="shared" si="15"/>
        <v>#DIV/0!</v>
      </c>
      <c r="G55" s="3441"/>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6" t="s">
        <v>567</v>
      </c>
      <c r="B56" s="637" t="e">
        <f t="shared" si="17"/>
        <v>#DIV/0!</v>
      </c>
      <c r="C56" s="377">
        <f t="shared" si="16"/>
        <v>0</v>
      </c>
      <c r="D56" s="2212">
        <v>0.25</v>
      </c>
      <c r="E56" s="638"/>
      <c r="F56" s="1933" t="e">
        <f t="shared" si="15"/>
        <v>#DIV/0!</v>
      </c>
      <c r="G56" s="3441"/>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6" t="s">
        <v>568</v>
      </c>
      <c r="B57" s="637" t="e">
        <f t="shared" si="17"/>
        <v>#DIV/0!</v>
      </c>
      <c r="C57" s="377">
        <f t="shared" si="16"/>
        <v>0</v>
      </c>
      <c r="D57" s="2212">
        <v>0.25</v>
      </c>
      <c r="E57" s="638"/>
      <c r="F57" s="1933" t="e">
        <f t="shared" si="15"/>
        <v>#DIV/0!</v>
      </c>
      <c r="G57" s="3441"/>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2324</v>
      </c>
      <c r="B58" s="637" t="e">
        <f t="shared" si="17"/>
        <v>#DIV/0!</v>
      </c>
      <c r="C58" s="377">
        <f t="shared" si="16"/>
        <v>0</v>
      </c>
      <c r="D58" s="2212">
        <v>0.25</v>
      </c>
      <c r="E58" s="640">
        <f>'数据-汇总表'!E11</f>
        <v>0</v>
      </c>
      <c r="F58" s="1933" t="e">
        <f t="shared" si="15"/>
        <v>#DIV/0!</v>
      </c>
      <c r="G58" s="1939" t="s">
        <v>2283</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569</v>
      </c>
      <c r="B59" s="637" t="e">
        <f t="shared" si="17"/>
        <v>#DIV/0!</v>
      </c>
      <c r="C59" s="377">
        <f t="shared" si="16"/>
        <v>0</v>
      </c>
      <c r="D59" s="2212">
        <v>0.25</v>
      </c>
      <c r="E59" s="640">
        <f>'数据-汇总表'!E12</f>
        <v>5572.52</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570</v>
      </c>
      <c r="B60" s="637" t="e">
        <f t="shared" si="17"/>
        <v>#DIV/0!</v>
      </c>
      <c r="C60" s="377">
        <f t="shared" si="16"/>
        <v>0.15</v>
      </c>
      <c r="D60" s="2212">
        <v>0.25</v>
      </c>
      <c r="E60" s="640">
        <f>'数据-汇总表'!E13</f>
        <v>33195.879999999997</v>
      </c>
      <c r="F60" s="1933" t="e">
        <f t="shared" si="15"/>
        <v>#DIV/0!</v>
      </c>
      <c r="G60" s="1929" t="s">
        <v>923</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571</v>
      </c>
      <c r="B61" s="637" t="e">
        <f t="shared" si="17"/>
        <v>#DIV/0!</v>
      </c>
      <c r="C61" s="377">
        <f t="shared" si="16"/>
        <v>0</v>
      </c>
      <c r="D61" s="2212">
        <v>0.25</v>
      </c>
      <c r="E61" s="640">
        <f>'数据-汇总表'!E14</f>
        <v>0</v>
      </c>
      <c r="F61" s="1933" t="e">
        <f t="shared" si="15"/>
        <v>#DIV/0!</v>
      </c>
      <c r="G61" s="1939" t="s">
        <v>2282</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6" t="s">
        <v>572</v>
      </c>
      <c r="B62" s="637" t="e">
        <f t="shared" si="17"/>
        <v>#DIV/0!</v>
      </c>
      <c r="C62" s="377">
        <f t="shared" si="16"/>
        <v>0</v>
      </c>
      <c r="D62" s="2212">
        <v>0.25</v>
      </c>
      <c r="E62" s="640">
        <f>'数据-汇总表'!E15</f>
        <v>0</v>
      </c>
      <c r="F62" s="1933" t="e">
        <f t="shared" si="15"/>
        <v>#DIV/0!</v>
      </c>
      <c r="G62" s="1940" t="s">
        <v>2283</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1" t="s">
        <v>573</v>
      </c>
      <c r="B63" s="642" t="s">
        <v>17</v>
      </c>
      <c r="C63" s="642" t="s">
        <v>18</v>
      </c>
      <c r="D63" s="642" t="s">
        <v>2291</v>
      </c>
      <c r="E63" s="642">
        <f>IF(B43="楼面地价",SUM(E53:E62),'数据-汇总表'!D3)</f>
        <v>35973.68</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2020-4-1</v>
      </c>
      <c r="D65" s="2752">
        <f>EDATE(C65,-3)</f>
        <v>43831</v>
      </c>
      <c r="E65" s="2752">
        <f t="shared" ref="E65:N65" si="18">EDATE(D65,-3)</f>
        <v>43739</v>
      </c>
      <c r="F65" s="2752">
        <f t="shared" si="18"/>
        <v>43647</v>
      </c>
      <c r="G65" s="2752">
        <f t="shared" si="18"/>
        <v>43556</v>
      </c>
      <c r="H65" s="2752">
        <f t="shared" si="18"/>
        <v>43466</v>
      </c>
      <c r="I65" s="2752">
        <f t="shared" si="18"/>
        <v>43374</v>
      </c>
      <c r="J65" s="2752">
        <f t="shared" si="18"/>
        <v>43282</v>
      </c>
      <c r="K65" s="2752">
        <f t="shared" si="18"/>
        <v>43191</v>
      </c>
      <c r="L65" s="2752">
        <f t="shared" si="18"/>
        <v>43101</v>
      </c>
      <c r="M65" s="2752">
        <f t="shared" si="18"/>
        <v>43009</v>
      </c>
      <c r="N65" s="2752">
        <f t="shared" si="18"/>
        <v>42917</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2529</v>
      </c>
      <c r="B67" s="645"/>
      <c r="C67" s="2748" t="str">
        <f>YEAR(C65)&amp;"-"&amp;ROUNDUP(MONTH(C65)/3,0)</f>
        <v>2020-2</v>
      </c>
      <c r="D67" s="2754" t="str">
        <f t="shared" ref="D67:N67" si="19">YEAR(D65)&amp;"-"&amp;ROUNDUP(MONTH(D65)/3,0)</f>
        <v>2020-1</v>
      </c>
      <c r="E67" s="2754" t="str">
        <f t="shared" si="19"/>
        <v>2019-4</v>
      </c>
      <c r="F67" s="2754" t="str">
        <f t="shared" si="19"/>
        <v>2019-3</v>
      </c>
      <c r="G67" s="2754" t="str">
        <f t="shared" si="19"/>
        <v>2019-2</v>
      </c>
      <c r="H67" s="2754" t="str">
        <f t="shared" si="19"/>
        <v>2019-1</v>
      </c>
      <c r="I67" s="2754" t="str">
        <f t="shared" si="19"/>
        <v>2018-4</v>
      </c>
      <c r="J67" s="2754" t="str">
        <f t="shared" si="19"/>
        <v>2018-3</v>
      </c>
      <c r="K67" s="2754" t="str">
        <f t="shared" si="19"/>
        <v>2018-2</v>
      </c>
      <c r="L67" s="2754" t="str">
        <f t="shared" si="19"/>
        <v>2018-1</v>
      </c>
      <c r="M67" s="2754" t="str">
        <f t="shared" si="19"/>
        <v>2017-4</v>
      </c>
      <c r="N67" s="2754" t="str">
        <f t="shared" si="19"/>
        <v>2017-3</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2643</v>
      </c>
      <c r="B68" s="478" t="str">
        <f>"北京市平均增长率"&amp;TEXT(基准地价!P24,"0.00%")</f>
        <v>北京市平均增长率1.31%</v>
      </c>
      <c r="C68" s="892">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6"/>
      <c r="B93" s="1879" t="s">
        <v>2544</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6"/>
      <c r="B95" s="2559" t="s">
        <v>2546</v>
      </c>
      <c r="C95" s="2560" t="s">
        <v>2547</v>
      </c>
      <c r="D95" s="2560" t="s">
        <v>2548</v>
      </c>
      <c r="E95" s="2560" t="s">
        <v>2549</v>
      </c>
      <c r="F95" s="2560" t="s">
        <v>2550</v>
      </c>
      <c r="G95" s="2560" t="s">
        <v>2551</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0" t="str">
        <f t="shared" si="25"/>
        <v>(含)-</v>
      </c>
      <c r="L109" s="3041" t="str">
        <f t="shared" si="25"/>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7"/>
      <c r="B114" s="1879" t="s">
        <v>2421</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C17" sqref="C17"/>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2422</v>
      </c>
      <c r="D1" s="1506">
        <f>SUM(D29:D30,D33:D39)</f>
        <v>0</v>
      </c>
      <c r="E1" s="1400" t="s">
        <v>2423</v>
      </c>
      <c r="F1" s="2414"/>
      <c r="G1" s="1395"/>
      <c r="H1" s="1395"/>
      <c r="I1" s="1395"/>
      <c r="J1" s="1395"/>
      <c r="K1" s="1395"/>
      <c r="L1" s="1865" t="s">
        <v>2235</v>
      </c>
      <c r="M1" s="1866">
        <f>SUMPRODUCT((区片价!B5:B9=I2)*(区片价!C3:F3=E2)*(区片价!C5:F9))</f>
        <v>0</v>
      </c>
      <c r="N1" s="1867">
        <f>SUMPRODUCT((因素修正幅度!B5:B9=I2)*(因素修正幅度!C3:F3=E2)*(因素修正幅度!C5:F9))</f>
        <v>0</v>
      </c>
      <c r="O1" s="1395"/>
      <c r="P1" s="1395"/>
      <c r="Q1" s="2172"/>
      <c r="R1" s="2889" t="s">
        <v>2756</v>
      </c>
      <c r="S1" s="2889" t="s">
        <v>2757</v>
      </c>
      <c r="T1" s="2889" t="s">
        <v>2778</v>
      </c>
      <c r="U1" s="2889" t="s">
        <v>2779</v>
      </c>
      <c r="V1" s="2889" t="s">
        <v>2780</v>
      </c>
      <c r="W1" s="2172"/>
      <c r="X1" s="2172"/>
      <c r="Y1" s="2172"/>
      <c r="Z1" s="2172"/>
      <c r="AA1" s="2172"/>
      <c r="AB1" s="2172"/>
      <c r="AC1" s="2173"/>
    </row>
    <row r="2" spans="1:39" ht="15.75">
      <c r="A2" s="1400" t="s">
        <v>920</v>
      </c>
      <c r="B2" s="1036">
        <f ca="1">C26</f>
        <v>0</v>
      </c>
      <c r="C2" s="1401" t="s">
        <v>921</v>
      </c>
      <c r="D2" s="1402" t="s">
        <v>922</v>
      </c>
      <c r="E2" s="1403" t="s">
        <v>923</v>
      </c>
      <c r="F2" s="1402" t="s">
        <v>924</v>
      </c>
      <c r="G2" s="1635" t="str">
        <f>IF(E2="商业",项目基本情况!B43,IF(E2="办公",项目基本情况!C43,IF(E2="住宅",项目基本情况!D43,项目基本情况!E43)))</f>
        <v>九级</v>
      </c>
      <c r="H2" s="1402" t="s">
        <v>926</v>
      </c>
      <c r="I2" s="1636">
        <f>IF(E2="商业",项目基本情况!B44,IF(E2="办公",项目基本情况!C44,IF(E2="住宅",项目基本情况!D44,项目基本情况!E44)))</f>
        <v>0</v>
      </c>
      <c r="J2" s="1404"/>
      <c r="K2" s="1404"/>
      <c r="L2" s="1868" t="s">
        <v>2236</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1.9419999999999999</v>
      </c>
      <c r="T2" s="2890">
        <f ca="1">ROUND($C$5*$C$18*$C$19*$C$20*S2*$C$24,0)</f>
        <v>-325</v>
      </c>
      <c r="U2" s="2879"/>
      <c r="V2" s="2890">
        <f ca="1">ROUND(T2*U2/10000,0)</f>
        <v>0</v>
      </c>
      <c r="W2" s="2172"/>
      <c r="X2" s="2172"/>
      <c r="Y2" s="2172"/>
      <c r="Z2" s="2172"/>
      <c r="AA2" s="2172"/>
      <c r="AB2" s="2172"/>
      <c r="AC2" s="2173"/>
    </row>
    <row r="3" spans="1:39" ht="24">
      <c r="A3" s="1405" t="s">
        <v>1687</v>
      </c>
      <c r="B3" s="1036" t="e">
        <f ca="1">ROUND(B2*10000/D1,0)</f>
        <v>#DIV/0!</v>
      </c>
      <c r="C3" s="1401" t="s">
        <v>927</v>
      </c>
      <c r="D3" s="1402" t="s">
        <v>928</v>
      </c>
      <c r="E3" s="1406" t="s">
        <v>3262</v>
      </c>
      <c r="F3" s="1407" t="s">
        <v>3261</v>
      </c>
      <c r="G3" s="1037">
        <f>IF(F3="宗地容积率",'数据-汇总表'!I4,IF(F3="估价对象容积率",'数据-汇总表'!I6,'数据-汇总表'!I7))</f>
        <v>2.37</v>
      </c>
      <c r="H3" s="1408" t="s">
        <v>929</v>
      </c>
      <c r="I3" s="1038">
        <v>8</v>
      </c>
      <c r="J3" s="1404" t="s">
        <v>930</v>
      </c>
      <c r="K3" s="1404"/>
      <c r="L3" s="1868" t="s">
        <v>2237</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1.2799</v>
      </c>
      <c r="T3" s="2890">
        <f t="shared" ref="T3:T16" ca="1" si="0">ROUND($C$5*$C$18*$C$19*$C$20*S3*$C$24,0)</f>
        <v>-214</v>
      </c>
      <c r="U3" s="2879"/>
      <c r="V3" s="2890">
        <f t="shared" ref="V3:V16" ca="1" si="1">ROUND(T3*U3/10000,0)</f>
        <v>0</v>
      </c>
      <c r="W3" s="2172"/>
      <c r="X3" s="2172"/>
      <c r="Y3" s="2172"/>
      <c r="Z3" s="2172"/>
      <c r="AA3" s="2172"/>
      <c r="AB3" s="2172"/>
      <c r="AC3" s="2173"/>
    </row>
    <row r="4" spans="1:39" ht="28.5">
      <c r="A4" s="1874" t="s">
        <v>2277</v>
      </c>
      <c r="B4" s="2415" t="e">
        <f ca="1">ROUND(B2*10000/F1,0)</f>
        <v>#DIV/0!</v>
      </c>
      <c r="C4" s="1877" t="s">
        <v>2251</v>
      </c>
      <c r="D4" s="1877" t="e">
        <f ca="1">ROUND(B2/(F1/666.67),0)</f>
        <v>#DIV/0!</v>
      </c>
      <c r="E4" s="1877" t="s">
        <v>2252</v>
      </c>
      <c r="F4" s="1875"/>
      <c r="G4" s="1875"/>
      <c r="H4" s="1875"/>
      <c r="I4" s="1875"/>
      <c r="J4" s="1876"/>
      <c r="K4" s="3144"/>
      <c r="L4" s="1868" t="s">
        <v>2238</v>
      </c>
      <c r="M4" s="1869">
        <f>SUMPRODUCT((区片价!B49:B75=I2)*(区片价!C3:F3=E2)*(区片价!C49:F75))</f>
        <v>0</v>
      </c>
      <c r="N4" s="1870">
        <f>SUMPRODUCT((因素修正幅度!B49:B75=I2)*(因素修正幅度!C3:F3=E2)*(因素修正幅度!C49:F75))</f>
        <v>0</v>
      </c>
      <c r="O4" s="3144"/>
      <c r="P4" s="1395"/>
      <c r="Q4" s="2172"/>
      <c r="R4" s="2890">
        <v>3</v>
      </c>
      <c r="S4" s="2890">
        <f>ROUND(IF(G3&gt;1,IF(R4&lt;7,SUMPRODUCT((B93:B98=R4)*(C92:N92=G2)*(C93:N98)),SUMIF(C92:N92,G2,C100:N100)),IF(R4&lt;7,SUMPRODUCT((B102:B107=R4)*(C92:N92=G2)*(C102:N107)),SUMIF(C92:N92,G2,C109:N109))),4)</f>
        <v>1.0072000000000001</v>
      </c>
      <c r="T4" s="2890">
        <f t="shared" ca="1" si="0"/>
        <v>-169</v>
      </c>
      <c r="U4" s="2879"/>
      <c r="V4" s="2890">
        <f t="shared" ca="1" si="1"/>
        <v>0</v>
      </c>
      <c r="W4" s="2172"/>
      <c r="X4" s="2172"/>
      <c r="Y4" s="2172"/>
      <c r="Z4" s="2172"/>
      <c r="AA4" s="2172"/>
      <c r="AB4" s="2172"/>
      <c r="AC4" s="2173"/>
    </row>
    <row r="5" spans="1:39" s="1415" customFormat="1" ht="15.75" thickBot="1">
      <c r="A5" s="1621" t="s">
        <v>1823</v>
      </c>
      <c r="B5" s="1409" t="s">
        <v>931</v>
      </c>
      <c r="C5" s="1039">
        <f>ROUND(IF(E2="商业",C6*C7+C16,(IF(E2="住宅",C6*C12+C16,C6+C16))),0)</f>
        <v>-103</v>
      </c>
      <c r="D5" s="3068">
        <f>ROUND(C6+C16,0)</f>
        <v>-103</v>
      </c>
      <c r="E5" s="3068"/>
      <c r="F5" s="1410"/>
      <c r="G5" s="1411"/>
      <c r="H5" s="1411"/>
      <c r="I5" s="1411"/>
      <c r="J5" s="1412"/>
      <c r="K5" s="3145"/>
      <c r="L5" s="1868" t="s">
        <v>2239</v>
      </c>
      <c r="M5" s="1869">
        <f>SUMPRODUCT((区片价!B76:B109=I2)*(区片价!C3:F3=E2)*(区片价!C76:F109))</f>
        <v>0</v>
      </c>
      <c r="N5" s="1870">
        <f>SUMPRODUCT((因素修正幅度!B76:B109=I2)*(因素修正幅度!C3:F3=E2)*(因素修正幅度!C76:F109))</f>
        <v>0</v>
      </c>
      <c r="O5" s="3145"/>
      <c r="P5" s="1578"/>
      <c r="Q5" s="2172"/>
      <c r="R5" s="2890">
        <v>4</v>
      </c>
      <c r="S5" s="2890">
        <f>ROUND(IF(G3&gt;1,IF(R5&lt;7,SUMPRODUCT((B93:B98=R5)*(C92:N92=G2)*(C93:N98)),SUMIF(C92:N92,G2,C100:N100)),IF(R5&lt;7,SUMPRODUCT((B102:B107=R5)*(C92:N92=G2)*(C102:N107)),SUMIF(C92:N92,G2,C109:N109))),4)</f>
        <v>0.75249999999999995</v>
      </c>
      <c r="T5" s="2890">
        <f t="shared" ca="1" si="0"/>
        <v>-126</v>
      </c>
      <c r="U5" s="2879"/>
      <c r="V5" s="2890">
        <f t="shared" ca="1" si="1"/>
        <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40">
        <f>SUMIF(L1:L12,基准地价!G2,M1:M12)</f>
        <v>0</v>
      </c>
      <c r="D6" s="1417" t="s">
        <v>1695</v>
      </c>
      <c r="E6" s="1418"/>
      <c r="F6" s="1418"/>
      <c r="G6" s="1419"/>
      <c r="H6" s="1419"/>
      <c r="I6" s="1419"/>
      <c r="J6" s="1420"/>
      <c r="K6" s="1450"/>
      <c r="L6" s="1868" t="s">
        <v>2240</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0.56589999999999996</v>
      </c>
      <c r="T6" s="2890">
        <f t="shared" ca="1" si="0"/>
        <v>-95</v>
      </c>
      <c r="U6" s="2879"/>
      <c r="V6" s="2890">
        <f t="shared" ca="1" si="1"/>
        <v>0</v>
      </c>
      <c r="W6" s="2172"/>
      <c r="X6" s="2172"/>
      <c r="Y6" s="2172"/>
      <c r="Z6" s="2172"/>
      <c r="AA6" s="2172"/>
      <c r="AB6" s="2172"/>
      <c r="AC6" s="2174"/>
      <c r="AD6" s="1413"/>
      <c r="AE6" s="1413"/>
      <c r="AF6" s="1413"/>
      <c r="AG6" s="1413"/>
      <c r="AH6" s="1413"/>
      <c r="AI6" s="1413"/>
      <c r="AJ6" s="1414"/>
    </row>
    <row r="7" spans="1:39" ht="24">
      <c r="A7" s="3453" t="str">
        <f>IF(E2="商业",IF(C8="不临58条商业街","",2),"")</f>
        <v/>
      </c>
      <c r="B7" s="1421" t="s">
        <v>932</v>
      </c>
      <c r="C7" s="1041" t="e">
        <f>IF(C8="不临58条商业街",1,ROUND(1+(1.6*E8+1.2*E9+0.8*E10+0.4*E11)*C9,4))</f>
        <v>#DIV/0!</v>
      </c>
      <c r="D7" s="1422" t="s">
        <v>933</v>
      </c>
      <c r="E7" s="1042"/>
      <c r="F7" s="1423"/>
      <c r="G7" s="1424"/>
      <c r="H7" s="1424"/>
      <c r="I7" s="1424"/>
      <c r="J7" s="1425"/>
      <c r="K7" s="1450"/>
      <c r="L7" s="1868" t="s">
        <v>2241</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0.45250000000000001</v>
      </c>
      <c r="T7" s="2890">
        <f t="shared" ca="1" si="0"/>
        <v>-76</v>
      </c>
      <c r="U7" s="2879"/>
      <c r="V7" s="2890">
        <f t="shared" ca="1" si="1"/>
        <v>0</v>
      </c>
      <c r="W7" s="2888" t="s">
        <v>2759</v>
      </c>
      <c r="X7" s="2880" t="str">
        <f>G2</f>
        <v>九级</v>
      </c>
      <c r="Y7" s="2880" t="s">
        <v>2760</v>
      </c>
      <c r="Z7" s="2881">
        <f>G3</f>
        <v>2.37</v>
      </c>
      <c r="AA7" s="2175"/>
      <c r="AB7" s="2175"/>
      <c r="AC7" s="2176"/>
      <c r="AD7" s="2882"/>
      <c r="AE7" s="2882"/>
      <c r="AF7" s="2882"/>
      <c r="AG7" s="2882"/>
      <c r="AH7" s="2882"/>
      <c r="AI7" s="2882"/>
      <c r="AJ7" s="2883"/>
    </row>
    <row r="8" spans="1:39" ht="15">
      <c r="A8" s="3454"/>
      <c r="B8" s="1408" t="s">
        <v>934</v>
      </c>
      <c r="C8" s="1514"/>
      <c r="D8" s="1043" t="s">
        <v>935</v>
      </c>
      <c r="E8" s="1044" t="e">
        <f>ROUND(C11/E7,4)</f>
        <v>#DIV/0!</v>
      </c>
      <c r="F8" s="1426" t="s">
        <v>936</v>
      </c>
      <c r="G8" s="1427"/>
      <c r="H8" s="1427"/>
      <c r="I8" s="1427"/>
      <c r="J8" s="1428"/>
      <c r="K8" s="1450"/>
      <c r="L8" s="1868" t="s">
        <v>2242</v>
      </c>
      <c r="M8" s="1869">
        <f>SUMPRODUCT((区片价!B206:B244=I2)*(区片价!C3:F3=E2)*(区片价!C206:F244))</f>
        <v>0</v>
      </c>
      <c r="N8" s="1870">
        <f>SUMPRODUCT((因素修正幅度!B206:B244=I2)*(因素修正幅度!C3:F3=E2)*(因素修正幅度!C206:F244))</f>
        <v>0</v>
      </c>
      <c r="O8" s="1450"/>
      <c r="P8" s="1395"/>
      <c r="Q8" s="2172"/>
      <c r="R8" s="2890">
        <v>7</v>
      </c>
      <c r="S8" s="2879"/>
      <c r="T8" s="2890">
        <f t="shared" ca="1" si="0"/>
        <v>0</v>
      </c>
      <c r="U8" s="2879"/>
      <c r="V8" s="2890">
        <f t="shared" ca="1" si="1"/>
        <v>0</v>
      </c>
      <c r="W8" s="3443" t="s">
        <v>2777</v>
      </c>
      <c r="X8" s="3444"/>
      <c r="Y8" s="1832" t="s">
        <v>2761</v>
      </c>
      <c r="Z8" s="1832" t="s">
        <v>2762</v>
      </c>
      <c r="AA8" s="1832" t="s">
        <v>2763</v>
      </c>
      <c r="AB8" s="1832" t="s">
        <v>2764</v>
      </c>
      <c r="AC8" s="1832" t="s">
        <v>2765</v>
      </c>
      <c r="AD8" s="1832" t="s">
        <v>2766</v>
      </c>
      <c r="AE8" s="1832" t="s">
        <v>2767</v>
      </c>
      <c r="AF8" s="1832" t="s">
        <v>2768</v>
      </c>
      <c r="AG8" s="1832" t="s">
        <v>2769</v>
      </c>
      <c r="AH8" s="1832" t="s">
        <v>2770</v>
      </c>
      <c r="AI8" s="1832" t="s">
        <v>2771</v>
      </c>
      <c r="AJ8" s="1832" t="s">
        <v>2772</v>
      </c>
    </row>
    <row r="9" spans="1:39" ht="15">
      <c r="A9" s="3454"/>
      <c r="B9" s="1408" t="s">
        <v>937</v>
      </c>
      <c r="C9" s="1045">
        <f>SUMIF(修正!C59:C119,C8,修正!E59:E119)</f>
        <v>0</v>
      </c>
      <c r="D9" s="1046" t="s">
        <v>938</v>
      </c>
      <c r="E9" s="1046" t="e">
        <f>ROUND(C11/E7,4)</f>
        <v>#DIV/0!</v>
      </c>
      <c r="F9" s="1426" t="s">
        <v>939</v>
      </c>
      <c r="G9" s="1427"/>
      <c r="H9" s="1427"/>
      <c r="I9" s="1427"/>
      <c r="J9" s="1428"/>
      <c r="K9" s="1450"/>
      <c r="L9" s="1868" t="s">
        <v>2243</v>
      </c>
      <c r="M9" s="1869">
        <f>SUMPRODUCT((区片价!B245:B289=I2)*(区片价!C3:F3=E2)*(区片价!C245:F289))</f>
        <v>0</v>
      </c>
      <c r="N9" s="1870">
        <f>SUMPRODUCT((因素修正幅度!B245:B289=I2)*(因素修正幅度!C3:F3=E2)*(因素修正幅度!C245:F289))</f>
        <v>0</v>
      </c>
      <c r="O9" s="1450"/>
      <c r="P9" s="1395"/>
      <c r="Q9" s="2172"/>
      <c r="R9" s="2890">
        <v>8</v>
      </c>
      <c r="S9" s="2879"/>
      <c r="T9" s="2890">
        <f t="shared" ca="1" si="0"/>
        <v>0</v>
      </c>
      <c r="U9" s="2879"/>
      <c r="V9" s="2890">
        <f t="shared" ca="1" si="1"/>
        <v>0</v>
      </c>
      <c r="W9" s="3442" t="s">
        <v>2773</v>
      </c>
      <c r="X9" s="2884" t="s">
        <v>2774</v>
      </c>
      <c r="Y9" s="3046"/>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54"/>
      <c r="B10" s="1408" t="s">
        <v>940</v>
      </c>
      <c r="C10" s="1046">
        <f>SUMIF(修正!C59:C119,C8,修正!F59:F119)</f>
        <v>0</v>
      </c>
      <c r="D10" s="1046" t="s">
        <v>941</v>
      </c>
      <c r="E10" s="1046" t="e">
        <f>ROUND(C11/E7,4)</f>
        <v>#DIV/0!</v>
      </c>
      <c r="F10" s="1426" t="s">
        <v>942</v>
      </c>
      <c r="G10" s="1427"/>
      <c r="H10" s="1427"/>
      <c r="I10" s="1427"/>
      <c r="J10" s="1428"/>
      <c r="K10" s="1450"/>
      <c r="L10" s="1868" t="s">
        <v>2244</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f t="shared" ca="1" si="0"/>
        <v>0</v>
      </c>
      <c r="U10" s="2879"/>
      <c r="V10" s="2890">
        <f t="shared" ca="1" si="1"/>
        <v>0</v>
      </c>
      <c r="W10" s="3442"/>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54"/>
      <c r="B11" s="1429" t="s">
        <v>943</v>
      </c>
      <c r="C11" s="1047">
        <f>C10/4</f>
        <v>0</v>
      </c>
      <c r="D11" s="1047" t="s">
        <v>944</v>
      </c>
      <c r="E11" s="1047" t="e">
        <f>ROUND(C11/E7,4)</f>
        <v>#DIV/0!</v>
      </c>
      <c r="F11" s="1430" t="s">
        <v>945</v>
      </c>
      <c r="G11" s="1431"/>
      <c r="H11" s="1431"/>
      <c r="I11" s="1431"/>
      <c r="J11" s="1432"/>
      <c r="K11" s="1450"/>
      <c r="L11" s="1868" t="s">
        <v>2245</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f t="shared" ca="1" si="0"/>
        <v>0</v>
      </c>
      <c r="U11" s="2879"/>
      <c r="V11" s="2890">
        <f t="shared" ca="1" si="1"/>
        <v>0</v>
      </c>
      <c r="W11" s="3442" t="s">
        <v>2775</v>
      </c>
      <c r="X11" s="1046" t="s">
        <v>2760</v>
      </c>
      <c r="Y11" s="1636">
        <f>$G$3</f>
        <v>2.37</v>
      </c>
      <c r="Z11" s="1636">
        <f t="shared" ref="Z11:AJ11" si="3">$G$3</f>
        <v>2.37</v>
      </c>
      <c r="AA11" s="1636">
        <f t="shared" si="3"/>
        <v>2.37</v>
      </c>
      <c r="AB11" s="1636">
        <f t="shared" si="3"/>
        <v>2.37</v>
      </c>
      <c r="AC11" s="1636">
        <f t="shared" si="3"/>
        <v>2.37</v>
      </c>
      <c r="AD11" s="1636">
        <f t="shared" si="3"/>
        <v>2.37</v>
      </c>
      <c r="AE11" s="1636">
        <f t="shared" si="3"/>
        <v>2.37</v>
      </c>
      <c r="AF11" s="1636">
        <f t="shared" si="3"/>
        <v>2.37</v>
      </c>
      <c r="AG11" s="1636">
        <f t="shared" si="3"/>
        <v>2.37</v>
      </c>
      <c r="AH11" s="1636">
        <f t="shared" si="3"/>
        <v>2.37</v>
      </c>
      <c r="AI11" s="1636">
        <f t="shared" si="3"/>
        <v>2.37</v>
      </c>
      <c r="AJ11" s="1636">
        <f t="shared" si="3"/>
        <v>2.37</v>
      </c>
    </row>
    <row r="12" spans="1:39" ht="25.5" thickBot="1">
      <c r="A12" s="3453" t="s">
        <v>1871</v>
      </c>
      <c r="B12" s="1433" t="s">
        <v>946</v>
      </c>
      <c r="C12" s="1041">
        <f>ROUND(C15*D15*E15*F15*G15*H15*I15*J15,4)</f>
        <v>1</v>
      </c>
      <c r="D12" s="1434" t="s">
        <v>947</v>
      </c>
      <c r="E12" s="1435"/>
      <c r="F12" s="1435"/>
      <c r="G12" s="1436"/>
      <c r="H12" s="1436"/>
      <c r="I12" s="1436"/>
      <c r="J12" s="1437"/>
      <c r="K12" s="1450"/>
      <c r="L12" s="1871" t="s">
        <v>2246</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f t="shared" ca="1" si="0"/>
        <v>0</v>
      </c>
      <c r="U12" s="2879"/>
      <c r="V12" s="2890">
        <f t="shared" ca="1" si="1"/>
        <v>0</v>
      </c>
      <c r="W12" s="3442"/>
      <c r="X12" s="2887" t="s">
        <v>2776</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55"/>
      <c r="B13" s="1438" t="s">
        <v>1696</v>
      </c>
      <c r="C13" s="1439" t="s">
        <v>1697</v>
      </c>
      <c r="D13" s="1083" t="s">
        <v>1698</v>
      </c>
      <c r="E13" s="1083" t="s">
        <v>1699</v>
      </c>
      <c r="F13" s="1440" t="s">
        <v>948</v>
      </c>
      <c r="G13" s="1441" t="s">
        <v>1642</v>
      </c>
      <c r="H13" s="1442" t="s">
        <v>1642</v>
      </c>
      <c r="I13" s="1443" t="s">
        <v>1642</v>
      </c>
      <c r="J13" s="1444" t="s">
        <v>1642</v>
      </c>
      <c r="K13" s="3160"/>
      <c r="L13" s="3160"/>
      <c r="M13" s="3160"/>
      <c r="N13" s="3160"/>
      <c r="O13" s="3160"/>
      <c r="P13" s="1395"/>
      <c r="Q13" s="2172"/>
      <c r="R13" s="2890">
        <v>12</v>
      </c>
      <c r="S13" s="2879"/>
      <c r="T13" s="2890">
        <f t="shared" ca="1" si="0"/>
        <v>0</v>
      </c>
      <c r="U13" s="2879"/>
      <c r="V13" s="2890">
        <f t="shared" ca="1" si="1"/>
        <v>0</v>
      </c>
      <c r="W13" s="3442"/>
      <c r="X13" s="2887"/>
      <c r="Y13" s="2886">
        <f>(-0.163*(Y12^2)-0.59*Y12+7617)*(10^(-4))/Y11</f>
        <v>0.32139240506329114</v>
      </c>
      <c r="Z13" s="2886">
        <f t="shared" ref="Z13:AJ13" si="5">(-0.163*(Z12^2)-0.59*Z12+7617)*(10^(-4))/Z11</f>
        <v>0.32139240506329114</v>
      </c>
      <c r="AA13" s="2886">
        <f t="shared" si="5"/>
        <v>0.32139240506329114</v>
      </c>
      <c r="AB13" s="2886">
        <f t="shared" si="5"/>
        <v>0.32139240506329114</v>
      </c>
      <c r="AC13" s="2886">
        <f t="shared" si="5"/>
        <v>0.32139240506329114</v>
      </c>
      <c r="AD13" s="2886">
        <f t="shared" si="5"/>
        <v>0.32139240506329114</v>
      </c>
      <c r="AE13" s="2886">
        <f t="shared" si="5"/>
        <v>0.32139240506329114</v>
      </c>
      <c r="AF13" s="2886">
        <f t="shared" si="5"/>
        <v>0.32139240506329114</v>
      </c>
      <c r="AG13" s="2886">
        <f t="shared" si="5"/>
        <v>0.32139240506329114</v>
      </c>
      <c r="AH13" s="2886">
        <f t="shared" si="5"/>
        <v>0.32139240506329114</v>
      </c>
      <c r="AI13" s="2886">
        <f t="shared" si="5"/>
        <v>0.32139240506329114</v>
      </c>
      <c r="AJ13" s="2886">
        <f t="shared" si="5"/>
        <v>0.32139240506329114</v>
      </c>
    </row>
    <row r="14" spans="1:39" ht="12.75" customHeight="1">
      <c r="A14" s="3455"/>
      <c r="B14" s="1445"/>
      <c r="C14" s="1446"/>
      <c r="D14" s="1447"/>
      <c r="E14" s="1447"/>
      <c r="F14" s="1448"/>
      <c r="G14" s="1449" t="s">
        <v>949</v>
      </c>
      <c r="H14" s="1450"/>
      <c r="I14" s="1451"/>
      <c r="J14" s="1452"/>
      <c r="K14" s="3146"/>
      <c r="L14" s="3146"/>
      <c r="M14" s="3146"/>
      <c r="N14" s="3146"/>
      <c r="O14" s="3146"/>
      <c r="P14" s="1395"/>
      <c r="Q14" s="2172"/>
      <c r="R14" s="2890">
        <v>13</v>
      </c>
      <c r="S14" s="2879"/>
      <c r="T14" s="2890">
        <f t="shared" ca="1" si="0"/>
        <v>0</v>
      </c>
      <c r="U14" s="2879"/>
      <c r="V14" s="2890">
        <f t="shared" ca="1" si="1"/>
        <v>0</v>
      </c>
      <c r="W14" s="2172"/>
      <c r="X14" s="2172"/>
      <c r="Y14" s="2172"/>
      <c r="Z14" s="2172"/>
      <c r="AA14" s="2172"/>
      <c r="AB14" s="2172"/>
      <c r="AC14" s="2173"/>
    </row>
    <row r="15" spans="1:39" ht="13.5" customHeight="1" thickBot="1">
      <c r="A15" s="3456"/>
      <c r="B15" s="3165" t="s">
        <v>1700</v>
      </c>
      <c r="C15" s="1047">
        <f>IF(C14="有",1.1,1)</f>
        <v>1</v>
      </c>
      <c r="D15" s="1047">
        <f>IF(D14="有",1.1,1)</f>
        <v>1</v>
      </c>
      <c r="E15" s="1047">
        <f>IF(E14="有",1.1,1)</f>
        <v>1</v>
      </c>
      <c r="F15" s="1047">
        <f>IF(F14="500米范围内",1.2,IF(F14="500-1000米",1.1,1))</f>
        <v>1</v>
      </c>
      <c r="G15" s="3157">
        <v>1</v>
      </c>
      <c r="H15" s="3157">
        <v>1</v>
      </c>
      <c r="I15" s="3157">
        <v>1</v>
      </c>
      <c r="J15" s="3158">
        <v>1</v>
      </c>
      <c r="K15" s="3161"/>
      <c r="L15" s="3161"/>
      <c r="M15" s="3161"/>
      <c r="N15" s="3161"/>
      <c r="O15" s="3161"/>
      <c r="P15" s="1395"/>
      <c r="Q15" s="2172"/>
      <c r="R15" s="2890">
        <v>14</v>
      </c>
      <c r="S15" s="2879"/>
      <c r="T15" s="2890">
        <f t="shared" ca="1" si="0"/>
        <v>0</v>
      </c>
      <c r="U15" s="2879"/>
      <c r="V15" s="2890">
        <f t="shared" ca="1" si="1"/>
        <v>0</v>
      </c>
      <c r="W15" s="2172"/>
      <c r="X15" s="2172"/>
      <c r="Y15" s="2172"/>
      <c r="Z15" s="2172"/>
      <c r="AA15" s="2172"/>
      <c r="AB15" s="2172"/>
      <c r="AC15" s="2173"/>
    </row>
    <row r="16" spans="1:39" ht="24.6" customHeight="1">
      <c r="A16" s="3453" t="s">
        <v>1838</v>
      </c>
      <c r="B16" s="1421" t="s">
        <v>950</v>
      </c>
      <c r="C16" s="1050">
        <f>ROUND(IF(F17="与级别开发程度一致",0,(G17-E17)/C17),0)</f>
        <v>-103</v>
      </c>
      <c r="D16" s="3450" t="s">
        <v>954</v>
      </c>
      <c r="E16" s="3451"/>
      <c r="F16" s="3450" t="s">
        <v>951</v>
      </c>
      <c r="G16" s="3451"/>
      <c r="H16" s="1453"/>
      <c r="I16" s="1453"/>
      <c r="J16" s="1453"/>
      <c r="K16" s="1453"/>
      <c r="L16" s="1453"/>
      <c r="M16" s="1453"/>
      <c r="N16" s="1453"/>
      <c r="O16" s="3170"/>
      <c r="P16" s="1395"/>
      <c r="Q16" s="2175"/>
      <c r="R16" s="2890">
        <v>15</v>
      </c>
      <c r="S16" s="2879"/>
      <c r="T16" s="2890">
        <f t="shared" ca="1" si="0"/>
        <v>0</v>
      </c>
      <c r="U16" s="2879"/>
      <c r="V16" s="2890">
        <f t="shared" ca="1" si="1"/>
        <v>0</v>
      </c>
      <c r="W16" s="2175"/>
      <c r="X16" s="2175"/>
      <c r="Y16" s="2175"/>
      <c r="Z16" s="2175"/>
      <c r="AA16" s="2175"/>
      <c r="AB16" s="2175"/>
      <c r="AC16" s="2176"/>
    </row>
    <row r="17" spans="1:40" ht="13.5" thickBot="1">
      <c r="A17" s="3457"/>
      <c r="B17" s="3171" t="s">
        <v>953</v>
      </c>
      <c r="C17" s="3172">
        <f>SUMPRODUCT((修正!A2:A5=E2)*(修正!B1:M1=G2)*(修正!B2:M5))</f>
        <v>1.5</v>
      </c>
      <c r="D17" s="3173" t="str">
        <f>IF(OR(G2="八级",G2="九级",G2="十级",G2="十一级",G2="十二级"),"五通一平","七通一平")</f>
        <v>五通一平</v>
      </c>
      <c r="E17" s="3163">
        <f>SUMPRODUCT((修正!B1:M1=G2)*(修正!B15:M15))</f>
        <v>155</v>
      </c>
      <c r="F17" s="3164"/>
      <c r="G17" s="3163">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6" t="s">
        <v>955</v>
      </c>
      <c r="C18" s="3167">
        <f>SUMIF(修正!C18:C39,E3,修正!E18:E39)</f>
        <v>1</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1">
        <f>ROUND(IF(H19="按公示增长率计算",SUMPRODUCT((地价!A3:A30=YEAR(G19)&amp;"-"&amp;ROUNDUP(MONTH(G19)/3,0))*(地价!X2:AB2=E2)*(地价!X3:AB30)),IF(H19="地价指数",M20/M19,(1+I19)^O19)),4)</f>
        <v>1.6254999999999999</v>
      </c>
      <c r="D19" s="1460" t="s">
        <v>957</v>
      </c>
      <c r="E19" s="1052">
        <v>41640</v>
      </c>
      <c r="F19" s="1460" t="s">
        <v>958</v>
      </c>
      <c r="G19" s="1053">
        <f>'数据-取费表'!B2</f>
        <v>43942</v>
      </c>
      <c r="H19" s="1461" t="s">
        <v>2983</v>
      </c>
      <c r="I19" s="2738" t="str">
        <f>IF(H19="季度增幅（自定义）",SUMIF(N21:N24,E2,O21:O24),"")</f>
        <v/>
      </c>
      <c r="J19" s="1457"/>
      <c r="K19" s="3145"/>
      <c r="L19" s="2988" t="s">
        <v>2835</v>
      </c>
      <c r="M19" s="2989">
        <f>ROUND(SUMIF(地价!B2:F2,E2,地价!B30:F30),0)</f>
        <v>423</v>
      </c>
      <c r="N19" s="2740" t="s">
        <v>1676</v>
      </c>
      <c r="O19" s="2739">
        <f>ROUNDDOWN(DATEDIF(E19,G19,"M")/3,0)</f>
        <v>25</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f ca="1">ROUND(POWER(1+G20,J20-I20)*(POWER(1+G20,I20)-1)/(POWER(1+G20,J20)-1),4)</f>
        <v>0.99929999999999997</v>
      </c>
      <c r="D20" s="2735" t="s">
        <v>972</v>
      </c>
      <c r="E20" s="3043">
        <f ca="1">存贷款利率!I4/100</f>
        <v>4.3499999999999997E-2</v>
      </c>
      <c r="F20" s="2735" t="s">
        <v>973</v>
      </c>
      <c r="G20" s="2736">
        <f ca="1">SUMIF(M26:P26,E2,M28:P28)</f>
        <v>0.05</v>
      </c>
      <c r="H20" s="2735" t="s">
        <v>974</v>
      </c>
      <c r="I20" s="2731">
        <f>SUMIF('数据-取费表'!C6:C15,E2,'数据-取费表'!F6:F15)/COUNTIF('数据-取费表'!C6:C15,E2)</f>
        <v>69.569999999999993</v>
      </c>
      <c r="J20" s="2737">
        <f>IF(E2="住宅",70,IF(E2="商业",40,50))</f>
        <v>70</v>
      </c>
      <c r="K20" s="3147"/>
      <c r="L20" s="2990" t="s">
        <v>2836</v>
      </c>
      <c r="M20" s="3154">
        <f>ROUND(SUMPRODUCT((地价!A4:A30=YEAR(G19)&amp;"-"&amp;ROUNDUP(MONTH(G19)/3,0))*(地价!B2:F2=E2)*(地价!B4:F30)),0)</f>
        <v>687</v>
      </c>
      <c r="N20" s="2743" t="s">
        <v>2640</v>
      </c>
      <c r="O20" s="2741" t="s">
        <v>2639</v>
      </c>
      <c r="P20" s="2742" t="s">
        <v>2644</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2755</v>
      </c>
      <c r="C21" s="1152">
        <f>IF(B21="容积率修正",IF(G3&lt;=10,D22,J22),C23)</f>
        <v>0.44750000000000001</v>
      </c>
      <c r="D21" s="1467"/>
      <c r="E21" s="1467"/>
      <c r="F21" s="1467"/>
      <c r="G21" s="1467"/>
      <c r="H21" s="1467"/>
      <c r="I21" s="1467"/>
      <c r="J21" s="1468"/>
      <c r="K21" s="3145"/>
      <c r="L21" s="1467"/>
      <c r="M21" s="1467"/>
      <c r="N21" s="1464" t="s">
        <v>975</v>
      </c>
      <c r="O21" s="1527"/>
      <c r="P21" s="2730">
        <f>SUMPRODUCT((地价!A3:A30=YEAR(G19)&amp;"-"&amp;ROUNDUP(MONTH(G19)/3,0))*(地价!AD2:AH2=N21)*(地价!AD3:AH30))</f>
        <v>1.2800000000000001E-2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4" t="s">
        <v>1702</v>
      </c>
      <c r="D22" s="1054">
        <f>IF(E22=G22,F22,IF(G3&lt;=10,ROUND(F22+(H22-F22)*(G3-E22)/(G22-E22),4),"——"))</f>
        <v>0.87860000000000005</v>
      </c>
      <c r="E22" s="1037">
        <f>ROUNDDOWN(G3,1)</f>
        <v>2.2999999999999998</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0.88619999999999999</v>
      </c>
      <c r="G22" s="1037">
        <f>ROUNDUP(G3,1)</f>
        <v>2.4</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0.87529999999999997</v>
      </c>
      <c r="I22" s="1054" t="s">
        <v>977</v>
      </c>
      <c r="J22" s="1054" t="str">
        <f>IF(G3&gt;10,D113,"——")</f>
        <v>——</v>
      </c>
      <c r="K22" s="3148"/>
      <c r="L22" s="1467"/>
      <c r="M22" s="1467"/>
      <c r="N22" s="1464" t="s">
        <v>978</v>
      </c>
      <c r="O22" s="1527"/>
      <c r="P22" s="2730">
        <f>SUMPRODUCT((地价!A3:A30=YEAR(G19)&amp;"-"&amp;ROUNDUP(MONTH(G19)/3,0))*(地价!AD2:AH2=N22)*(地价!AD3:AH30))</f>
        <v>1.2800000000000001E-2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5">
        <f>ROUND(IF(G3&gt;1,IF(I3&lt;7,SUMPRODUCT((B93:B98=I3)*(C92:N92=G2)*(C93:N98)),SUMIF(C92:N92,G2,C100:N100)),IF(I3&lt;7,SUMPRODUCT((B102:B107=I3)*(C92:N92=G2)*(C102:N107)),SUMIF(C92:N92,G2,C109:N109))),4)</f>
        <v>0.44750000000000001</v>
      </c>
      <c r="D23" s="1515"/>
      <c r="E23" s="1515"/>
      <c r="F23" s="1516"/>
      <c r="G23" s="1517"/>
      <c r="H23" s="1518"/>
      <c r="I23" s="1519"/>
      <c r="J23" s="1519"/>
      <c r="K23" s="3149"/>
      <c r="L23" s="1395"/>
      <c r="M23" s="1395"/>
      <c r="N23" s="1464" t="s">
        <v>923</v>
      </c>
      <c r="O23" s="1527"/>
      <c r="P23" s="2730">
        <f>SUMPRODUCT((地价!A3:A30=YEAR(G19)&amp;"-"&amp;ROUNDUP(MONTH(G19)/3,0))*(地价!AD2:AH2=N23)*(地价!AD3:AH30))</f>
        <v>2.0299999999999999E-2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6">
        <f>SUMIF(A44:A87,E2,B44:B87)</f>
        <v>1</v>
      </c>
      <c r="D24" s="1520"/>
      <c r="E24" s="1521"/>
      <c r="F24" s="1521"/>
      <c r="G24" s="1521"/>
      <c r="H24" s="1521"/>
      <c r="I24" s="1521"/>
      <c r="J24" s="1521"/>
      <c r="K24" s="3149"/>
      <c r="L24" s="1467"/>
      <c r="M24" s="1467"/>
      <c r="N24" s="1464" t="s">
        <v>981</v>
      </c>
      <c r="O24" s="3153"/>
      <c r="P24" s="2730">
        <f>SUMPRODUCT((地价!A3:A30=YEAR(G19)&amp;"-"&amp;ROUNDUP(MONTH(G19)/3,0))*(地价!AD2:AH2=N24)*(地价!AD3:AH30))</f>
        <v>1.3100000000000001E-2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5" t="s">
        <v>2642</v>
      </c>
      <c r="O25" s="3156"/>
      <c r="P25" s="2409">
        <f>SUMPRODUCT((地价!A3:A30=YEAR(G19)&amp;"-"&amp;ROUNDUP(MONTH(G19)/3,0))*(地价!AD2:AH2=N25)*(地价!AD3:AH30))</f>
        <v>1.8499999999999999E-2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7">
        <f ca="1">E29+SUM(E33:E39)</f>
        <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8">
        <f ca="1">E30+SUM(I33:I39)</f>
        <v>0</v>
      </c>
      <c r="D27" s="1479"/>
      <c r="E27" s="1480"/>
      <c r="F27" s="1481"/>
      <c r="G27" s="1480"/>
      <c r="H27" s="1480"/>
      <c r="I27" s="1480"/>
      <c r="J27" s="1482"/>
      <c r="K27" s="1450"/>
      <c r="L27" s="1454" t="s">
        <v>987</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7">
        <f ca="1">ROUND(C5*C18*C19*C20*C21*C24,0)</f>
        <v>-75</v>
      </c>
      <c r="D29" s="1489"/>
      <c r="E29" s="1832">
        <f ca="1">ROUND(C29*D29/10000,0)</f>
        <v>0</v>
      </c>
      <c r="F29" s="1490" t="s">
        <v>1701</v>
      </c>
      <c r="G29" s="1491"/>
      <c r="H29" s="1491"/>
      <c r="I29" s="1491"/>
      <c r="J29" s="1492"/>
      <c r="K29" s="3150"/>
      <c r="L29" s="3150"/>
      <c r="M29" s="3150"/>
      <c r="N29" s="3150"/>
      <c r="O29" s="3150"/>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9">
        <f ca="1">ROUND(IF(E2="工业",C29*M39,C29*M38),0)</f>
        <v>-19</v>
      </c>
      <c r="D30" s="1495"/>
      <c r="E30" s="1832">
        <f ca="1">ROUND(C30*D30/10000,0)</f>
        <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60" t="s">
        <v>2953</v>
      </c>
      <c r="B33" s="1509" t="s">
        <v>999</v>
      </c>
      <c r="C33" s="1057">
        <f ca="1">ROUND(D5*C19*C20*C24*F33,0)</f>
        <v>-100</v>
      </c>
      <c r="D33" s="1522"/>
      <c r="E33" s="1046">
        <f ca="1">ROUND(C33*D33/10000,0)</f>
        <v>0</v>
      </c>
      <c r="F33" s="1046">
        <f>SUMIF(修正!A45:A56,G2,修正!B45:B56)</f>
        <v>0.6</v>
      </c>
      <c r="G33" s="1046">
        <f t="shared" ref="G33" ca="1" si="6">ROUND(IF(E2="工业",C33*$M$39,C33*$M$38),0)</f>
        <v>-25</v>
      </c>
      <c r="H33" s="1046">
        <f>D33</f>
        <v>0</v>
      </c>
      <c r="I33" s="1046">
        <f ca="1">ROUND(G33*H33/10000,0)</f>
        <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61"/>
      <c r="B34" s="1439" t="s">
        <v>1000</v>
      </c>
      <c r="C34" s="1057">
        <f ca="1">ROUND(D5*C19*C20*C24*F34,0)</f>
        <v>-50</v>
      </c>
      <c r="D34" s="1522"/>
      <c r="E34" s="1046">
        <f t="shared" ref="E34:E39" ca="1" si="7">ROUND(C34*D34/10000,0)</f>
        <v>0</v>
      </c>
      <c r="F34" s="1046">
        <f>SUMIF(修正!A45:A56,G2,修正!C45:C56)</f>
        <v>0.3</v>
      </c>
      <c r="G34" s="1046">
        <f ca="1">ROUND(IF(E2="工业",C34*$M$39,C34*$M$38),0)</f>
        <v>-13</v>
      </c>
      <c r="H34" s="1046">
        <f t="shared" ref="H34:H39" si="8">D34</f>
        <v>0</v>
      </c>
      <c r="I34" s="1046">
        <f t="shared" ref="I34:I39" ca="1" si="9">ROUND(G34*H34/10000,0)</f>
        <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61"/>
      <c r="B35" s="1439" t="s">
        <v>1001</v>
      </c>
      <c r="C35" s="1057">
        <f ca="1">ROUND(D5*C19*C20*C24*F35,0)</f>
        <v>-33</v>
      </c>
      <c r="D35" s="1522"/>
      <c r="E35" s="1046">
        <f t="shared" ca="1" si="7"/>
        <v>0</v>
      </c>
      <c r="F35" s="1046">
        <f>SUMIF(修正!A45:A56,G2,修正!D45:D56)</f>
        <v>0.2</v>
      </c>
      <c r="G35" s="1046">
        <f ca="1">ROUND(IF(E2="工业",C35*$M$39,C35*$M$38),0)</f>
        <v>-8</v>
      </c>
      <c r="H35" s="1046">
        <f t="shared" si="8"/>
        <v>0</v>
      </c>
      <c r="I35" s="1046">
        <f t="shared" ca="1" si="9"/>
        <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62"/>
      <c r="B36" s="1439" t="s">
        <v>1002</v>
      </c>
      <c r="C36" s="1057">
        <f ca="1">ROUND(D5*C19*C20*C24*F36,0)</f>
        <v>-33</v>
      </c>
      <c r="D36" s="1522"/>
      <c r="E36" s="1046">
        <f t="shared" ca="1" si="7"/>
        <v>0</v>
      </c>
      <c r="F36" s="1046">
        <f>SUMIF(修正!A45:A56,G2,修正!E45:E56)</f>
        <v>0.2</v>
      </c>
      <c r="G36" s="1046">
        <f ca="1">ROUND(IF(E2="工业",C36*$M$39,C36*$M$38),0)</f>
        <v>-8</v>
      </c>
      <c r="H36" s="1046">
        <f t="shared" si="8"/>
        <v>0</v>
      </c>
      <c r="I36" s="1046">
        <f t="shared" ca="1" si="9"/>
        <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6">
        <f ca="1">ROUND(D5*C19*C20*C24*F37,0)</f>
        <v>-33</v>
      </c>
      <c r="D37" s="1522"/>
      <c r="E37" s="1046">
        <f t="shared" ca="1" si="7"/>
        <v>0</v>
      </c>
      <c r="F37" s="1057">
        <f>SUMIF(修正!A45:A56,G2,修正!F45:F56)</f>
        <v>0.2</v>
      </c>
      <c r="G37" s="1046">
        <f ca="1">ROUND(IF(E2="工业",C37*$M$39,C37*$M$38),0)</f>
        <v>-8</v>
      </c>
      <c r="H37" s="1046">
        <f t="shared" si="8"/>
        <v>0</v>
      </c>
      <c r="I37" s="1046">
        <f t="shared" ca="1" si="9"/>
        <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6">
        <f ca="1">ROUND(D5*C19*C41*C24*F38,0)</f>
        <v>0</v>
      </c>
      <c r="D38" s="1522"/>
      <c r="E38" s="1046">
        <f t="shared" ca="1" si="7"/>
        <v>0</v>
      </c>
      <c r="F38" s="1057">
        <f>SUMIF(修正!A45:A56,G2,修正!G45:G56)</f>
        <v>0.2</v>
      </c>
      <c r="G38" s="1046">
        <f ca="1">ROUND(IF(E2="工业",C38*$M$39,C38*$M$38),0)</f>
        <v>0</v>
      </c>
      <c r="H38" s="1046">
        <f t="shared" si="8"/>
        <v>0</v>
      </c>
      <c r="I38" s="1046">
        <f t="shared" ca="1" si="9"/>
        <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9">
        <f ca="1">ROUND(D5*C19*C41*C24*F39,0)</f>
        <v>0</v>
      </c>
      <c r="D39" s="1523"/>
      <c r="E39" s="1049">
        <f t="shared" ca="1" si="7"/>
        <v>0</v>
      </c>
      <c r="F39" s="1059">
        <f>SUMIF(修正!A45:A56,G2,修正!H45:H56)</f>
        <v>0.15</v>
      </c>
      <c r="G39" s="1049">
        <f ca="1">ROUND(IF(E2="工业",C39*$M$39,C39*$M$38),0)</f>
        <v>0</v>
      </c>
      <c r="H39" s="1049">
        <f t="shared" si="8"/>
        <v>0</v>
      </c>
      <c r="I39" s="1049">
        <f t="shared" ca="1" si="9"/>
        <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3" t="s">
        <v>2977</v>
      </c>
      <c r="C41" s="838">
        <f ca="1">ROUND(POWER(1+E41,H41-G41)*(POWER(1+E41,G41)-1)/(POWER(1+E41,H41)-1),4)</f>
        <v>0</v>
      </c>
      <c r="D41" s="377" t="s">
        <v>2975</v>
      </c>
      <c r="E41" s="3142">
        <f ca="1">G20</f>
        <v>0.05</v>
      </c>
      <c r="F41" s="377" t="s">
        <v>2976</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1008</v>
      </c>
      <c r="B46" s="2370" t="s">
        <v>1009</v>
      </c>
      <c r="C46" s="2392" t="s">
        <v>1010</v>
      </c>
      <c r="D46" s="2393" t="s">
        <v>1011</v>
      </c>
      <c r="E46" s="2394" t="s">
        <v>1013</v>
      </c>
      <c r="F46" s="2395" t="s">
        <v>2247</v>
      </c>
      <c r="G46" s="2393" t="s">
        <v>1014</v>
      </c>
      <c r="H46" s="2376" t="s">
        <v>2414</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1" t="s">
        <v>1020</v>
      </c>
      <c r="B47" s="2373" t="str">
        <f>估价对象房地状况!C16</f>
        <v>估价对象位于XX商圈，周边商业氛围成熟，人流量大，商业繁华度好</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1" t="s">
        <v>1021</v>
      </c>
      <c r="B48" s="2370" t="str">
        <f>估价对象房地状况!C18</f>
        <v>估价对象周边道路状况、公共交通通达情况、停车便捷程度，综合评价交通便捷度较好</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1022</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1023</v>
      </c>
      <c r="B50" s="3045" t="s">
        <v>2930</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1024</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1025</v>
      </c>
      <c r="B52" s="3044" t="s">
        <v>2929</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1026</v>
      </c>
      <c r="B53" s="2371" t="str">
        <f>估价对象房地状况!C21</f>
        <v>估价对象所在区域公共配套设施齐备情况</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1028</v>
      </c>
      <c r="B55" s="2374" t="str">
        <f>估价对象房地状况!C20</f>
        <v>区域自然环境：；人文环境；综合评价环境状况一般</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1008</v>
      </c>
      <c r="B57" s="2370"/>
      <c r="C57" s="2392" t="s">
        <v>1010</v>
      </c>
      <c r="D57" s="2393" t="s">
        <v>1011</v>
      </c>
      <c r="E57" s="2394" t="s">
        <v>1013</v>
      </c>
      <c r="F57" s="2395" t="s">
        <v>2248</v>
      </c>
      <c r="G57" s="2393" t="s">
        <v>1014</v>
      </c>
      <c r="H57" s="2376" t="s">
        <v>2414</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1" t="s">
        <v>1030</v>
      </c>
      <c r="B58" s="2373" t="str">
        <f>估价对象房地状况!C17</f>
        <v>估价对象位于XX商圈，周边办公楼项目较多，入驻率高，办公集聚程度较好</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1" t="s">
        <v>1021</v>
      </c>
      <c r="B59" s="2370" t="str">
        <f>估价对象房地状况!C18</f>
        <v>估价对象周边道路状况、公共交通通达情况、停车便捷程度，综合评价交通便捷度较好</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1022</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1023</v>
      </c>
      <c r="B61" s="3045" t="s">
        <v>2931</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1024</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1025</v>
      </c>
      <c r="B63" s="3044" t="s">
        <v>2929</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1" t="s">
        <v>1026</v>
      </c>
      <c r="B64" s="2371" t="str">
        <f>估价对象房地状况!C21</f>
        <v>估价对象所在区域公共配套设施齐备情况</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1027</v>
      </c>
      <c r="B65" s="2371" t="str">
        <f>估价对象房地状况!C22</f>
        <v>估价对象所在区域基础设施水平</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1028</v>
      </c>
      <c r="B66" s="2375" t="str">
        <f>估价对象房地状况!C20</f>
        <v>区域自然环境：；人文环境；综合评价环境状况一般</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1008</v>
      </c>
      <c r="B68" s="2370"/>
      <c r="C68" s="2392" t="s">
        <v>1010</v>
      </c>
      <c r="D68" s="2393" t="s">
        <v>1011</v>
      </c>
      <c r="E68" s="2394" t="s">
        <v>1013</v>
      </c>
      <c r="F68" s="2395" t="s">
        <v>2249</v>
      </c>
      <c r="G68" s="2393" t="s">
        <v>1014</v>
      </c>
      <c r="H68" s="2376" t="s">
        <v>2414</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1" t="s">
        <v>1032</v>
      </c>
      <c r="B69" s="2373" t="str">
        <f>估价对象房地状况!C15</f>
        <v>估价对象周边居住用地比例、居住小区规模和社区发展完善程度，综合评价居住社区成熟度一般</v>
      </c>
      <c r="C69" s="1153"/>
      <c r="D69" s="2379">
        <f t="shared" ref="D69:D77" si="20">SUMIF($J$68:$N$68,C69,J69:N69)</f>
        <v>0</v>
      </c>
      <c r="E69" s="2398">
        <f>ROUND(SUM(D69:D77),4)</f>
        <v>0</v>
      </c>
      <c r="F69" s="2399">
        <f>IF(E2="住宅",SUMIF(L1:L12,G2,N1:N12),"——")</f>
        <v>0</v>
      </c>
      <c r="G69" s="2380"/>
      <c r="H69" s="2424">
        <f t="shared" ref="H69:H77" si="21">IFERROR(ROUNDDOWN($F$69*I69/2,4),"——")</f>
        <v>0</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1" t="s">
        <v>1033</v>
      </c>
      <c r="B70" s="2370" t="str">
        <f>估价对象房地状况!C18</f>
        <v>估价对象周边道路状况、公共交通通达情况、停车便捷程度，综合评价交通便捷度较好</v>
      </c>
      <c r="C70" s="1153"/>
      <c r="D70" s="2379">
        <f t="shared" si="20"/>
        <v>0</v>
      </c>
      <c r="E70" s="2407"/>
      <c r="F70" s="2408"/>
      <c r="G70" s="2380"/>
      <c r="H70" s="2424">
        <f t="shared" si="21"/>
        <v>0</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1022</v>
      </c>
      <c r="B71" s="2370">
        <f>估价对象房地状况!C19</f>
        <v>0</v>
      </c>
      <c r="C71" s="1153"/>
      <c r="D71" s="2379">
        <f t="shared" si="20"/>
        <v>0</v>
      </c>
      <c r="E71" s="2407"/>
      <c r="F71" s="2408"/>
      <c r="G71" s="2380"/>
      <c r="H71" s="2424">
        <f t="shared" si="21"/>
        <v>0</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1034</v>
      </c>
      <c r="B72" s="2370">
        <f>估价对象房地状况!C24</f>
        <v>0</v>
      </c>
      <c r="C72" s="1153"/>
      <c r="D72" s="2379">
        <f t="shared" si="20"/>
        <v>0</v>
      </c>
      <c r="E72" s="2407"/>
      <c r="F72" s="2408"/>
      <c r="G72" s="2380"/>
      <c r="H72" s="2424">
        <f t="shared" si="21"/>
        <v>0</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1" t="s">
        <v>1026</v>
      </c>
      <c r="B73" s="2371" t="str">
        <f>估价对象房地状况!C21</f>
        <v>估价对象所在区域公共配套设施齐备情况</v>
      </c>
      <c r="C73" s="1153"/>
      <c r="D73" s="2379">
        <f t="shared" si="20"/>
        <v>0</v>
      </c>
      <c r="E73" s="2407"/>
      <c r="F73" s="2408"/>
      <c r="G73" s="2380"/>
      <c r="H73" s="2424">
        <f t="shared" si="21"/>
        <v>0</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1027</v>
      </c>
      <c r="B74" s="2371" t="str">
        <f>估价对象房地状况!C22</f>
        <v>估价对象所在区域基础设施水平</v>
      </c>
      <c r="C74" s="1153"/>
      <c r="D74" s="2379">
        <f t="shared" si="20"/>
        <v>0</v>
      </c>
      <c r="E74" s="2407"/>
      <c r="F74" s="2408"/>
      <c r="G74" s="2380"/>
      <c r="H74" s="2424">
        <f t="shared" si="21"/>
        <v>0</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1025</v>
      </c>
      <c r="B75" s="3044" t="s">
        <v>2929</v>
      </c>
      <c r="C75" s="1153"/>
      <c r="D75" s="2379">
        <f t="shared" si="20"/>
        <v>0</v>
      </c>
      <c r="E75" s="2407"/>
      <c r="F75" s="2408"/>
      <c r="G75" s="2380"/>
      <c r="H75" s="2424">
        <f t="shared" si="21"/>
        <v>0</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1" t="s">
        <v>1028</v>
      </c>
      <c r="B76" s="2373" t="str">
        <f>估价对象房地状况!C20</f>
        <v>区域自然环境：；人文环境；综合评价环境状况一般</v>
      </c>
      <c r="C76" s="1153"/>
      <c r="D76" s="2379">
        <f t="shared" si="20"/>
        <v>0</v>
      </c>
      <c r="E76" s="2407"/>
      <c r="F76" s="2408"/>
      <c r="G76" s="2380"/>
      <c r="H76" s="2424">
        <f t="shared" si="21"/>
        <v>0</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3"/>
      <c r="D77" s="2379">
        <f t="shared" si="20"/>
        <v>0</v>
      </c>
      <c r="E77" s="2409"/>
      <c r="F77" s="2408"/>
      <c r="G77" s="2380"/>
      <c r="H77" s="2424">
        <f t="shared" si="21"/>
        <v>0</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1008</v>
      </c>
      <c r="B79" s="2370"/>
      <c r="C79" s="2392" t="s">
        <v>1010</v>
      </c>
      <c r="D79" s="2393" t="s">
        <v>1011</v>
      </c>
      <c r="E79" s="2394" t="s">
        <v>1013</v>
      </c>
      <c r="F79" s="2395" t="s">
        <v>2250</v>
      </c>
      <c r="G79" s="2393" t="s">
        <v>1014</v>
      </c>
      <c r="H79" s="2376" t="s">
        <v>2414</v>
      </c>
      <c r="I79" s="2393" t="s">
        <v>1012</v>
      </c>
      <c r="J79" s="2396" t="s">
        <v>1015</v>
      </c>
      <c r="K79" s="2396" t="s">
        <v>1016</v>
      </c>
      <c r="L79" s="2396" t="s">
        <v>1017</v>
      </c>
      <c r="M79" s="2396" t="s">
        <v>1018</v>
      </c>
      <c r="N79" s="2396" t="s">
        <v>1019</v>
      </c>
      <c r="AC79" s="1399"/>
      <c r="AD79" s="1398"/>
      <c r="AJ79" s="1397"/>
      <c r="AN79" s="1398"/>
    </row>
    <row r="80" spans="1:40" ht="36">
      <c r="A80" s="1061" t="s">
        <v>1037</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1033</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1022</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1034</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1026</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1027</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1025</v>
      </c>
      <c r="B86" s="3044" t="s">
        <v>2929</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58" t="s">
        <v>1633</v>
      </c>
      <c r="B90" s="3458"/>
      <c r="C90" s="3458"/>
      <c r="D90" s="3458"/>
      <c r="E90" s="3458"/>
      <c r="F90" s="3458"/>
      <c r="G90" s="3458"/>
      <c r="H90" s="3458"/>
      <c r="I90" s="3458"/>
      <c r="J90" s="3458"/>
      <c r="K90" s="2412"/>
      <c r="L90" s="2412"/>
      <c r="M90" s="2412"/>
      <c r="N90" s="2412"/>
    </row>
    <row r="91" spans="1:40">
      <c r="A91" s="3459" t="s">
        <v>1443</v>
      </c>
      <c r="B91" s="3459" t="s">
        <v>1634</v>
      </c>
      <c r="C91" s="1134" t="s">
        <v>1635</v>
      </c>
      <c r="D91" s="1135"/>
      <c r="E91" s="1135"/>
      <c r="F91" s="1135"/>
      <c r="G91" s="1135"/>
      <c r="H91" s="1135"/>
      <c r="I91" s="1135"/>
      <c r="J91" s="1136"/>
      <c r="K91" s="1128"/>
      <c r="L91" s="1128"/>
      <c r="M91" s="1128"/>
      <c r="N91" s="1128"/>
    </row>
    <row r="92" spans="1:40">
      <c r="A92" s="3459"/>
      <c r="B92" s="3459"/>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45"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46"/>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46"/>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46"/>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46"/>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46"/>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46"/>
      <c r="B99" s="1137" t="s">
        <v>1636</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47"/>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45" t="s">
        <v>1637</v>
      </c>
      <c r="B101" s="1141" t="s">
        <v>906</v>
      </c>
      <c r="C101" s="1142">
        <f>$G$3</f>
        <v>2.37</v>
      </c>
      <c r="D101" s="1142">
        <f t="shared" ref="D101:N101" si="31">$G$3</f>
        <v>2.37</v>
      </c>
      <c r="E101" s="1142">
        <f t="shared" si="31"/>
        <v>2.37</v>
      </c>
      <c r="F101" s="1142">
        <f t="shared" si="31"/>
        <v>2.37</v>
      </c>
      <c r="G101" s="1142">
        <f t="shared" si="31"/>
        <v>2.37</v>
      </c>
      <c r="H101" s="1142">
        <f t="shared" si="31"/>
        <v>2.37</v>
      </c>
      <c r="I101" s="1142">
        <f t="shared" si="31"/>
        <v>2.37</v>
      </c>
      <c r="J101" s="1142">
        <f t="shared" si="31"/>
        <v>2.37</v>
      </c>
      <c r="K101" s="1142">
        <f t="shared" si="31"/>
        <v>2.37</v>
      </c>
      <c r="L101" s="1142">
        <f t="shared" si="31"/>
        <v>2.37</v>
      </c>
      <c r="M101" s="1142">
        <f t="shared" si="31"/>
        <v>2.37</v>
      </c>
      <c r="N101" s="1142">
        <f t="shared" si="31"/>
        <v>2.37</v>
      </c>
    </row>
    <row r="102" spans="1:14">
      <c r="A102" s="3446"/>
      <c r="B102" s="1137">
        <v>1</v>
      </c>
      <c r="C102" s="1138">
        <f>1.9362/C101</f>
        <v>0.81696202531645568</v>
      </c>
      <c r="D102" s="1138">
        <f>1.9362/D101</f>
        <v>0.81696202531645568</v>
      </c>
      <c r="E102" s="1138">
        <f>1.8629/E101</f>
        <v>0.78603375527426156</v>
      </c>
      <c r="F102" s="1138">
        <f>1.8629/F101</f>
        <v>0.78603375527426156</v>
      </c>
      <c r="G102" s="1138">
        <f>1.8629/G101</f>
        <v>0.78603375527426156</v>
      </c>
      <c r="H102" s="1138">
        <f>1.8629/H101</f>
        <v>0.78603375527426156</v>
      </c>
      <c r="I102" s="1138">
        <f>1.8629/I101</f>
        <v>0.78603375527426156</v>
      </c>
      <c r="J102" s="1138">
        <f>1.942/J101</f>
        <v>0.8194092827004219</v>
      </c>
      <c r="K102" s="1138">
        <f>1.942/K101</f>
        <v>0.8194092827004219</v>
      </c>
      <c r="L102" s="1138">
        <f>1.942/L101</f>
        <v>0.8194092827004219</v>
      </c>
      <c r="M102" s="1138">
        <f>1.942/M101</f>
        <v>0.8194092827004219</v>
      </c>
      <c r="N102" s="1138">
        <f>1.942/N101</f>
        <v>0.8194092827004219</v>
      </c>
    </row>
    <row r="103" spans="1:14">
      <c r="A103" s="3446"/>
      <c r="B103" s="1137">
        <v>2</v>
      </c>
      <c r="C103" s="1138">
        <f>1.4198/C101</f>
        <v>0.59907172995780589</v>
      </c>
      <c r="D103" s="1138">
        <f>1.4198/D101</f>
        <v>0.59907172995780589</v>
      </c>
      <c r="E103" s="1138">
        <f>1.3372/E101</f>
        <v>0.56421940928270042</v>
      </c>
      <c r="F103" s="1138">
        <f>1.3372/F101</f>
        <v>0.56421940928270042</v>
      </c>
      <c r="G103" s="1138">
        <f>1.3372/G101</f>
        <v>0.56421940928270042</v>
      </c>
      <c r="H103" s="1138">
        <f>1.3372/H101</f>
        <v>0.56421940928270042</v>
      </c>
      <c r="I103" s="1138">
        <f>1.3372/I101</f>
        <v>0.56421940928270042</v>
      </c>
      <c r="J103" s="1138">
        <f>1.2799/J101</f>
        <v>0.54004219409282694</v>
      </c>
      <c r="K103" s="1138">
        <f>1.2799/K101</f>
        <v>0.54004219409282694</v>
      </c>
      <c r="L103" s="1138">
        <f>1.2799/L101</f>
        <v>0.54004219409282694</v>
      </c>
      <c r="M103" s="1138">
        <f>1.2799/M101</f>
        <v>0.54004219409282694</v>
      </c>
      <c r="N103" s="1138">
        <f>1.2799/N101</f>
        <v>0.54004219409282694</v>
      </c>
    </row>
    <row r="104" spans="1:14">
      <c r="A104" s="3446"/>
      <c r="B104" s="1137">
        <v>3</v>
      </c>
      <c r="C104" s="1138">
        <f>1.1594/C101</f>
        <v>0.4891983122362869</v>
      </c>
      <c r="D104" s="1138">
        <f>1.1594/D101</f>
        <v>0.4891983122362869</v>
      </c>
      <c r="E104" s="1138">
        <f>1.0788/E101</f>
        <v>0.45518987341772149</v>
      </c>
      <c r="F104" s="1138">
        <f>1.0788/F101</f>
        <v>0.45518987341772149</v>
      </c>
      <c r="G104" s="1138">
        <f>1.0788/G101</f>
        <v>0.45518987341772149</v>
      </c>
      <c r="H104" s="1138">
        <f>1.0788/H101</f>
        <v>0.45518987341772149</v>
      </c>
      <c r="I104" s="1138">
        <f>1.0788/I101</f>
        <v>0.45518987341772149</v>
      </c>
      <c r="J104" s="1138">
        <f>1.0072/J101</f>
        <v>0.42497890295358653</v>
      </c>
      <c r="K104" s="1138">
        <f>1.0072/K101</f>
        <v>0.42497890295358653</v>
      </c>
      <c r="L104" s="1138">
        <f>1.0072/L101</f>
        <v>0.42497890295358653</v>
      </c>
      <c r="M104" s="1138">
        <f>1.0072/M101</f>
        <v>0.42497890295358653</v>
      </c>
      <c r="N104" s="1138">
        <f>1.0072/N101</f>
        <v>0.42497890295358653</v>
      </c>
    </row>
    <row r="105" spans="1:14">
      <c r="A105" s="3446"/>
      <c r="B105" s="1137">
        <v>4</v>
      </c>
      <c r="C105" s="1138">
        <f>0.9622/C101</f>
        <v>0.40599156118143459</v>
      </c>
      <c r="D105" s="1138">
        <f>0.9622/D101</f>
        <v>0.40599156118143459</v>
      </c>
      <c r="E105" s="1138">
        <f>0.8656/E101</f>
        <v>0.36523206751054854</v>
      </c>
      <c r="F105" s="1138">
        <f>0.8656/F101</f>
        <v>0.36523206751054854</v>
      </c>
      <c r="G105" s="1138">
        <f>0.8656/G101</f>
        <v>0.36523206751054854</v>
      </c>
      <c r="H105" s="1138">
        <f>0.8656/H101</f>
        <v>0.36523206751054854</v>
      </c>
      <c r="I105" s="1138">
        <f>0.8656/I101</f>
        <v>0.36523206751054854</v>
      </c>
      <c r="J105" s="1138">
        <f>0.7525/J101</f>
        <v>0.3175105485232067</v>
      </c>
      <c r="K105" s="1138">
        <f>0.7525/K101</f>
        <v>0.3175105485232067</v>
      </c>
      <c r="L105" s="1138">
        <f>0.7525/L101</f>
        <v>0.3175105485232067</v>
      </c>
      <c r="M105" s="1138">
        <f>0.7525/M101</f>
        <v>0.3175105485232067</v>
      </c>
      <c r="N105" s="1138">
        <f>0.7525/N101</f>
        <v>0.3175105485232067</v>
      </c>
    </row>
    <row r="106" spans="1:14">
      <c r="A106" s="3446"/>
      <c r="B106" s="1137">
        <v>5</v>
      </c>
      <c r="C106" s="1138">
        <f>0.8417/C101</f>
        <v>0.35514767932489449</v>
      </c>
      <c r="D106" s="1138">
        <f>0.8417/D101</f>
        <v>0.35514767932489449</v>
      </c>
      <c r="E106" s="1138">
        <f>0.7371/E101</f>
        <v>0.31101265822784807</v>
      </c>
      <c r="F106" s="1138">
        <f>0.7371/F101</f>
        <v>0.31101265822784807</v>
      </c>
      <c r="G106" s="1138">
        <f>0.7371/G101</f>
        <v>0.31101265822784807</v>
      </c>
      <c r="H106" s="1138">
        <f>0.7371/H101</f>
        <v>0.31101265822784807</v>
      </c>
      <c r="I106" s="1138">
        <f>0.7371/I101</f>
        <v>0.31101265822784807</v>
      </c>
      <c r="J106" s="1138">
        <f>0.5659/J101</f>
        <v>0.23877637130801685</v>
      </c>
      <c r="K106" s="1138">
        <f>0.5659/K101</f>
        <v>0.23877637130801685</v>
      </c>
      <c r="L106" s="1138">
        <f>0.5659/L101</f>
        <v>0.23877637130801685</v>
      </c>
      <c r="M106" s="1138">
        <f>0.5659/M101</f>
        <v>0.23877637130801685</v>
      </c>
      <c r="N106" s="1138">
        <f>0.5659/N101</f>
        <v>0.23877637130801685</v>
      </c>
    </row>
    <row r="107" spans="1:14">
      <c r="A107" s="3446"/>
      <c r="B107" s="1137">
        <v>6</v>
      </c>
      <c r="C107" s="1138">
        <f>0.7608/C101</f>
        <v>0.32101265822784808</v>
      </c>
      <c r="D107" s="1138">
        <f>0.7608/D101</f>
        <v>0.32101265822784808</v>
      </c>
      <c r="E107" s="1138">
        <f>0.6482/E101</f>
        <v>0.27350210970464134</v>
      </c>
      <c r="F107" s="1138">
        <f>0.6482/F101</f>
        <v>0.27350210970464134</v>
      </c>
      <c r="G107" s="1138">
        <f>0.6482/G101</f>
        <v>0.27350210970464134</v>
      </c>
      <c r="H107" s="1138">
        <f>0.6482/H101</f>
        <v>0.27350210970464134</v>
      </c>
      <c r="I107" s="1138">
        <f>0.6482/I101</f>
        <v>0.27350210970464134</v>
      </c>
      <c r="J107" s="1138">
        <f>0.4525/J101</f>
        <v>0.19092827004219409</v>
      </c>
      <c r="K107" s="1138">
        <f>0.4525/K101</f>
        <v>0.19092827004219409</v>
      </c>
      <c r="L107" s="1138">
        <f>0.4525/L101</f>
        <v>0.19092827004219409</v>
      </c>
      <c r="M107" s="1138">
        <f>0.4525/M101</f>
        <v>0.19092827004219409</v>
      </c>
      <c r="N107" s="1138">
        <f>0.4525/N101</f>
        <v>0.19092827004219409</v>
      </c>
    </row>
    <row r="108" spans="1:14">
      <c r="A108" s="3446"/>
      <c r="B108" s="3448" t="s">
        <v>1638</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47"/>
      <c r="B109" s="3449"/>
      <c r="C109" s="1140">
        <f>(-0.163*(C108^2)-0.59*C108+7617)*(10^(-4))/C101</f>
        <v>0.32075308016877635</v>
      </c>
      <c r="D109" s="1140">
        <f>(-0.163*(D108^2)-0.59*D108+7617)*(10^(-4))/D101</f>
        <v>0.32075308016877635</v>
      </c>
      <c r="E109" s="1140">
        <f>(-0.161*(E108^2)-7.509*E108+6533)*(10^(-4))/E101</f>
        <v>0.27268455696202532</v>
      </c>
      <c r="F109" s="1140">
        <f>(-0.161*(F108^2)-7.509*F108+6533)*(10^(-4))/F101</f>
        <v>0.27268455696202532</v>
      </c>
      <c r="G109" s="1140">
        <f>(-0.161*(G108^2)-7.509*G108+6533)*(10^(-4))/G101</f>
        <v>0.27268455696202532</v>
      </c>
      <c r="H109" s="1140">
        <f>(-0.161*(H108^2)-7.509*H108+6533)*(10^(-4))/H101</f>
        <v>0.27268455696202532</v>
      </c>
      <c r="I109" s="1140">
        <f>(-0.161*(I108^2)-7.509*I108+6533)*(10^(-4))/I101</f>
        <v>0.27268455696202532</v>
      </c>
      <c r="J109" s="1140">
        <f>(-0.214*(J108^2)-21.991*J108+4665)*(10^(-4))/J101</f>
        <v>0.18883443037974684</v>
      </c>
      <c r="K109" s="1140">
        <f>(-0.214*(K108^2)-21.991*K108+4665)*(10^(-4))/K101</f>
        <v>0.18883443037974684</v>
      </c>
      <c r="L109" s="1140">
        <f>(-0.214*(L108^2)-21.991*L108+4665)*(10^(-4))/L101</f>
        <v>0.18883443037974684</v>
      </c>
      <c r="M109" s="1140">
        <f>(-0.214*(M108^2)-21.991*M108+4665)*(10^(-4))/M101</f>
        <v>0.18883443037974684</v>
      </c>
      <c r="N109" s="1140">
        <f>(-0.214*(N108^2)-21.991*N108+4665)*(10^(-4))/N101</f>
        <v>0.18883443037974684</v>
      </c>
    </row>
    <row r="110" spans="1:14">
      <c r="A110" s="3452" t="s">
        <v>1639</v>
      </c>
      <c r="B110" s="3452"/>
      <c r="C110" s="3452"/>
      <c r="D110" s="3452"/>
      <c r="E110" s="3452"/>
      <c r="F110" s="3452"/>
      <c r="G110" s="3452"/>
      <c r="H110" s="3452"/>
      <c r="I110" s="3452"/>
      <c r="J110" s="3452"/>
      <c r="K110" s="2410"/>
      <c r="L110" s="2410"/>
      <c r="M110" s="2410"/>
      <c r="N110" s="2410"/>
    </row>
    <row r="112" spans="1:14" ht="12.75" thickBot="1"/>
    <row r="113" spans="1:13" ht="25.5" thickBot="1">
      <c r="A113" s="1014" t="s">
        <v>896</v>
      </c>
      <c r="B113" s="2413">
        <f>G3</f>
        <v>2.37</v>
      </c>
      <c r="C113" s="1015" t="s">
        <v>897</v>
      </c>
      <c r="D113" s="1016">
        <f>SUMPRODUCT((A115:A118=F113)*(B114:M114=H113)*B115:M118)</f>
        <v>0.71870000000000001</v>
      </c>
      <c r="E113" s="1017" t="s">
        <v>898</v>
      </c>
      <c r="F113" s="1018" t="str">
        <f>E2</f>
        <v>住宅</v>
      </c>
      <c r="G113" s="1017" t="s">
        <v>899</v>
      </c>
      <c r="H113" s="1018" t="str">
        <f>G2</f>
        <v>九级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0.91120000000000001</v>
      </c>
      <c r="C115" s="1028">
        <f>B115</f>
        <v>0.91120000000000001</v>
      </c>
      <c r="D115" s="1028">
        <f>ROUND(0.8331-0.0109*B113,4)</f>
        <v>0.80730000000000002</v>
      </c>
      <c r="E115" s="1028">
        <f>D115</f>
        <v>0.80730000000000002</v>
      </c>
      <c r="F115" s="1028">
        <f>E115</f>
        <v>0.80730000000000002</v>
      </c>
      <c r="G115" s="1028">
        <f>F115</f>
        <v>0.80730000000000002</v>
      </c>
      <c r="H115" s="1028">
        <f>G115</f>
        <v>0.80730000000000002</v>
      </c>
      <c r="I115" s="1028">
        <f>ROUND(0.689-0.0155*B113,4)</f>
        <v>0.65229999999999999</v>
      </c>
      <c r="J115" s="1028">
        <f t="shared" ref="J115:M118" si="33">I115</f>
        <v>0.65229999999999999</v>
      </c>
      <c r="K115" s="1028">
        <f t="shared" si="33"/>
        <v>0.65229999999999999</v>
      </c>
      <c r="L115" s="1028">
        <f t="shared" si="33"/>
        <v>0.65229999999999999</v>
      </c>
      <c r="M115" s="1029">
        <f t="shared" si="33"/>
        <v>0.65229999999999999</v>
      </c>
    </row>
    <row r="116" spans="1:13" ht="12.75">
      <c r="A116" s="1027" t="s">
        <v>901</v>
      </c>
      <c r="B116" s="1028">
        <f>ROUND(0.949-0.012*B113,4)</f>
        <v>0.92059999999999997</v>
      </c>
      <c r="C116" s="1028">
        <f>B116</f>
        <v>0.92059999999999997</v>
      </c>
      <c r="D116" s="1028">
        <f>ROUND(0.8567-0.013*B113,4)</f>
        <v>0.82589999999999997</v>
      </c>
      <c r="E116" s="1028">
        <f t="shared" ref="E116:H117" si="34">D116</f>
        <v>0.82589999999999997</v>
      </c>
      <c r="F116" s="1028">
        <f t="shared" si="34"/>
        <v>0.82589999999999997</v>
      </c>
      <c r="G116" s="1028">
        <f t="shared" si="34"/>
        <v>0.82589999999999997</v>
      </c>
      <c r="H116" s="1028">
        <f t="shared" si="34"/>
        <v>0.82589999999999997</v>
      </c>
      <c r="I116" s="1028">
        <f>ROUND(0.7694-0.014*B113,4)</f>
        <v>0.73619999999999997</v>
      </c>
      <c r="J116" s="1028">
        <f t="shared" si="33"/>
        <v>0.73619999999999997</v>
      </c>
      <c r="K116" s="1028">
        <f t="shared" si="33"/>
        <v>0.73619999999999997</v>
      </c>
      <c r="L116" s="1028">
        <f t="shared" si="33"/>
        <v>0.73619999999999997</v>
      </c>
      <c r="M116" s="1029">
        <f t="shared" si="33"/>
        <v>0.73619999999999997</v>
      </c>
    </row>
    <row r="117" spans="1:13" ht="12.75">
      <c r="A117" s="1030" t="s">
        <v>902</v>
      </c>
      <c r="B117" s="1028">
        <f>ROUND(0.8808-0.006*B113,4)</f>
        <v>0.86660000000000004</v>
      </c>
      <c r="C117" s="1028">
        <f>B117</f>
        <v>0.86660000000000004</v>
      </c>
      <c r="D117" s="1028">
        <f>ROUND(0.8748-0.008*B113,4)</f>
        <v>0.85580000000000001</v>
      </c>
      <c r="E117" s="1028">
        <f t="shared" si="34"/>
        <v>0.85580000000000001</v>
      </c>
      <c r="F117" s="1028">
        <f t="shared" si="34"/>
        <v>0.85580000000000001</v>
      </c>
      <c r="G117" s="1028">
        <f t="shared" si="34"/>
        <v>0.85580000000000001</v>
      </c>
      <c r="H117" s="1028">
        <f t="shared" si="34"/>
        <v>0.85580000000000001</v>
      </c>
      <c r="I117" s="1028">
        <f>ROUND(0.7412-0.0095*B113,4)</f>
        <v>0.71870000000000001</v>
      </c>
      <c r="J117" s="1028">
        <f t="shared" si="33"/>
        <v>0.71870000000000001</v>
      </c>
      <c r="K117" s="1028">
        <f t="shared" si="33"/>
        <v>0.71870000000000001</v>
      </c>
      <c r="L117" s="1028">
        <f t="shared" si="33"/>
        <v>0.71870000000000001</v>
      </c>
      <c r="M117" s="1029">
        <f t="shared" si="33"/>
        <v>0.71870000000000001</v>
      </c>
    </row>
    <row r="118" spans="1:13" ht="13.5" thickBot="1">
      <c r="A118" s="1031" t="s">
        <v>903</v>
      </c>
      <c r="B118" s="1032">
        <f>ROUND(0.7275-0.01*B113,4)</f>
        <v>0.70379999999999998</v>
      </c>
      <c r="C118" s="1032">
        <f>B118</f>
        <v>0.70379999999999998</v>
      </c>
      <c r="D118" s="1032">
        <f>ROUND(0.7043-0.012*B113,4)</f>
        <v>0.67589999999999995</v>
      </c>
      <c r="E118" s="1032">
        <f>D118</f>
        <v>0.67589999999999995</v>
      </c>
      <c r="F118" s="1032">
        <f>E118</f>
        <v>0.67589999999999995</v>
      </c>
      <c r="G118" s="1032">
        <f>ROUND(0.6299-0.0122*B113,4)</f>
        <v>0.60099999999999998</v>
      </c>
      <c r="H118" s="1032">
        <f>G118</f>
        <v>0.60099999999999998</v>
      </c>
      <c r="I118" s="1032">
        <f>ROUND(0.5667-0.0136*B113,4)</f>
        <v>0.53449999999999998</v>
      </c>
      <c r="J118" s="1032">
        <f t="shared" si="33"/>
        <v>0.53449999999999998</v>
      </c>
      <c r="K118" s="1032">
        <f t="shared" si="33"/>
        <v>0.53449999999999998</v>
      </c>
      <c r="L118" s="1032">
        <f t="shared" si="33"/>
        <v>0.53449999999999998</v>
      </c>
      <c r="M118" s="1033">
        <f t="shared" si="33"/>
        <v>0.53449999999999998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2" t="s">
        <v>2980</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 t="shared" ref="J15:M15" si="1">SUM(J6:J10,J13)</f>
        <v>155</v>
      </c>
      <c r="K15" s="3059">
        <f t="shared" si="1"/>
        <v>155</v>
      </c>
      <c r="L15" s="3059">
        <f t="shared" si="1"/>
        <v>155</v>
      </c>
      <c r="M15" s="3059">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2" customFormat="1" ht="19.5" customHeight="1">
      <c r="A18" s="3459" t="s">
        <v>1007</v>
      </c>
      <c r="B18" s="1148" t="s">
        <v>1446</v>
      </c>
      <c r="C18" s="1125" t="s">
        <v>1447</v>
      </c>
      <c r="D18" s="1126"/>
      <c r="E18" s="1148">
        <v>1</v>
      </c>
      <c r="F18" s="1127" t="s">
        <v>1448</v>
      </c>
      <c r="G18" s="1128"/>
      <c r="H18" s="1099"/>
      <c r="I18" s="1099"/>
    </row>
    <row r="19" spans="1:9" s="1582" customFormat="1" ht="19.5" customHeight="1">
      <c r="A19" s="3459"/>
      <c r="B19" s="3459" t="s">
        <v>1449</v>
      </c>
      <c r="C19" s="1125" t="s">
        <v>1450</v>
      </c>
      <c r="D19" s="1126"/>
      <c r="E19" s="1148">
        <v>0.9</v>
      </c>
      <c r="F19" s="1127" t="s">
        <v>1451</v>
      </c>
      <c r="G19" s="1128"/>
      <c r="H19" s="1099"/>
      <c r="I19" s="1099"/>
    </row>
    <row r="20" spans="1:9" s="1582" customFormat="1" ht="19.5" customHeight="1">
      <c r="A20" s="3459"/>
      <c r="B20" s="3459"/>
      <c r="C20" s="1125" t="s">
        <v>1452</v>
      </c>
      <c r="D20" s="1126"/>
      <c r="E20" s="1148">
        <v>1.1000000000000001</v>
      </c>
      <c r="F20" s="1127" t="s">
        <v>1453</v>
      </c>
      <c r="G20" s="1128"/>
      <c r="H20" s="1099"/>
      <c r="I20" s="1099"/>
    </row>
    <row r="21" spans="1:9" s="1582" customFormat="1" ht="19.5" customHeight="1">
      <c r="A21" s="3459"/>
      <c r="B21" s="3459"/>
      <c r="C21" s="1125" t="s">
        <v>1454</v>
      </c>
      <c r="D21" s="1126"/>
      <c r="E21" s="1148">
        <v>0.8</v>
      </c>
      <c r="F21" s="1127" t="s">
        <v>1455</v>
      </c>
      <c r="G21" s="1128"/>
      <c r="H21" s="1099"/>
      <c r="I21" s="1099"/>
    </row>
    <row r="22" spans="1:9" s="1582" customFormat="1" ht="19.5" customHeight="1">
      <c r="A22" s="3459"/>
      <c r="B22" s="3459"/>
      <c r="C22" s="1125" t="s">
        <v>1456</v>
      </c>
      <c r="D22" s="1126"/>
      <c r="E22" s="1148">
        <v>0.5</v>
      </c>
      <c r="F22" s="1127"/>
      <c r="G22" s="1128"/>
      <c r="H22" s="1099"/>
      <c r="I22" s="1099"/>
    </row>
    <row r="23" spans="1:9" s="1582" customFormat="1" ht="19.5" customHeight="1">
      <c r="A23" s="3459" t="s">
        <v>1029</v>
      </c>
      <c r="B23" s="1148" t="s">
        <v>1446</v>
      </c>
      <c r="C23" s="1125" t="s">
        <v>1457</v>
      </c>
      <c r="D23" s="1126"/>
      <c r="E23" s="1148">
        <v>1</v>
      </c>
      <c r="F23" s="1127" t="s">
        <v>1458</v>
      </c>
      <c r="G23" s="1128"/>
      <c r="H23" s="1099"/>
      <c r="I23" s="1099"/>
    </row>
    <row r="24" spans="1:9" s="1582" customFormat="1" ht="19.5" customHeight="1">
      <c r="A24" s="3459"/>
      <c r="B24" s="3459" t="s">
        <v>1449</v>
      </c>
      <c r="C24" s="1125" t="s">
        <v>1459</v>
      </c>
      <c r="D24" s="1126"/>
      <c r="E24" s="1148">
        <v>0.5</v>
      </c>
      <c r="F24" s="1127"/>
      <c r="G24" s="1128"/>
      <c r="H24" s="1099"/>
      <c r="I24" s="1099"/>
    </row>
    <row r="25" spans="1:9" s="1582" customFormat="1" ht="19.5" customHeight="1">
      <c r="A25" s="3459"/>
      <c r="B25" s="3459"/>
      <c r="C25" s="1125" t="s">
        <v>1460</v>
      </c>
      <c r="D25" s="1126"/>
      <c r="E25" s="1148">
        <v>1.1000000000000001</v>
      </c>
      <c r="F25" s="1127"/>
      <c r="G25" s="1128"/>
      <c r="H25" s="1099"/>
      <c r="I25" s="1099"/>
    </row>
    <row r="26" spans="1:9" s="1582" customFormat="1" ht="19.5" customHeight="1">
      <c r="A26" s="3459"/>
      <c r="B26" s="3459"/>
      <c r="C26" s="1125" t="s">
        <v>1461</v>
      </c>
      <c r="D26" s="1126"/>
      <c r="E26" s="1148">
        <v>1.1000000000000001</v>
      </c>
      <c r="F26" s="1127"/>
      <c r="G26" s="1128"/>
      <c r="H26" s="1099"/>
      <c r="I26" s="1099"/>
    </row>
    <row r="27" spans="1:9" s="1582" customFormat="1" ht="19.5" customHeight="1">
      <c r="A27" s="3459"/>
      <c r="B27" s="3459"/>
      <c r="C27" s="1125" t="s">
        <v>1462</v>
      </c>
      <c r="D27" s="1126"/>
      <c r="E27" s="1148">
        <v>0.9</v>
      </c>
      <c r="F27" s="1127" t="s">
        <v>1463</v>
      </c>
      <c r="G27" s="1128"/>
      <c r="H27" s="1099"/>
      <c r="I27" s="1099"/>
    </row>
    <row r="28" spans="1:9" s="1582" customFormat="1" ht="19.5" customHeight="1">
      <c r="A28" s="3459"/>
      <c r="B28" s="3459"/>
      <c r="C28" s="1125" t="s">
        <v>1464</v>
      </c>
      <c r="D28" s="1126"/>
      <c r="E28" s="1148">
        <v>0.9</v>
      </c>
      <c r="F28" s="1127" t="s">
        <v>1465</v>
      </c>
      <c r="G28" s="1128"/>
      <c r="H28" s="1099"/>
      <c r="I28" s="1099"/>
    </row>
    <row r="29" spans="1:9" s="1582" customFormat="1" ht="19.5" customHeight="1">
      <c r="A29" s="3459"/>
      <c r="B29" s="3459"/>
      <c r="C29" s="1125" t="s">
        <v>1466</v>
      </c>
      <c r="D29" s="1126"/>
      <c r="E29" s="1148">
        <v>0.9</v>
      </c>
      <c r="F29" s="1127" t="s">
        <v>1467</v>
      </c>
      <c r="G29" s="1128"/>
      <c r="H29" s="1099"/>
      <c r="I29" s="1099"/>
    </row>
    <row r="30" spans="1:9" s="1582" customFormat="1" ht="19.5" customHeight="1">
      <c r="A30" s="3459"/>
      <c r="B30" s="3459"/>
      <c r="C30" s="1125" t="s">
        <v>1468</v>
      </c>
      <c r="D30" s="1126"/>
      <c r="E30" s="1148">
        <v>0.9</v>
      </c>
      <c r="F30" s="1127" t="s">
        <v>1469</v>
      </c>
      <c r="G30" s="1128"/>
      <c r="H30" s="1099"/>
      <c r="I30" s="1099"/>
    </row>
    <row r="31" spans="1:9" s="1582" customFormat="1" ht="19.5" customHeight="1">
      <c r="A31" s="3459"/>
      <c r="B31" s="3459"/>
      <c r="C31" s="1125" t="s">
        <v>1470</v>
      </c>
      <c r="D31" s="1126"/>
      <c r="E31" s="1148">
        <v>0.8</v>
      </c>
      <c r="F31" s="1127" t="s">
        <v>1471</v>
      </c>
      <c r="G31" s="1128"/>
      <c r="H31" s="1099"/>
      <c r="I31" s="1099"/>
    </row>
    <row r="32" spans="1:9" s="1582" customFormat="1" ht="19.5" customHeight="1">
      <c r="A32" s="3459"/>
      <c r="B32" s="3459"/>
      <c r="C32" s="1125" t="s">
        <v>1472</v>
      </c>
      <c r="D32" s="1126"/>
      <c r="E32" s="1148">
        <v>0.8</v>
      </c>
      <c r="F32" s="1127" t="s">
        <v>1473</v>
      </c>
      <c r="G32" s="1128"/>
      <c r="H32" s="1099"/>
      <c r="I32" s="1099"/>
    </row>
    <row r="33" spans="1:9" s="1582" customFormat="1" ht="19.5" customHeight="1">
      <c r="A33" s="3459" t="s">
        <v>1474</v>
      </c>
      <c r="B33" s="1148" t="s">
        <v>1446</v>
      </c>
      <c r="C33" s="1125" t="s">
        <v>1475</v>
      </c>
      <c r="D33" s="1126"/>
      <c r="E33" s="1148">
        <v>1</v>
      </c>
      <c r="F33" s="1127" t="s">
        <v>1476</v>
      </c>
      <c r="G33" s="1128"/>
      <c r="H33" s="1099"/>
      <c r="I33" s="1099"/>
    </row>
    <row r="34" spans="1:9" s="1582" customFormat="1" ht="19.5" customHeight="1">
      <c r="A34" s="3459"/>
      <c r="B34" s="1148" t="s">
        <v>1449</v>
      </c>
      <c r="C34" s="1125" t="s">
        <v>1477</v>
      </c>
      <c r="D34" s="1126"/>
      <c r="E34" s="1148">
        <v>1.5</v>
      </c>
      <c r="F34" s="1127" t="s">
        <v>1478</v>
      </c>
      <c r="G34" s="1128"/>
      <c r="H34" s="1099"/>
      <c r="I34" s="1099"/>
    </row>
    <row r="35" spans="1:9" s="1582" customFormat="1" ht="19.5" customHeight="1">
      <c r="A35" s="3459" t="s">
        <v>1432</v>
      </c>
      <c r="B35" s="1148" t="s">
        <v>1446</v>
      </c>
      <c r="C35" s="1125" t="s">
        <v>1479</v>
      </c>
      <c r="D35" s="1126"/>
      <c r="E35" s="1148">
        <v>1</v>
      </c>
      <c r="F35" s="1127" t="s">
        <v>1480</v>
      </c>
      <c r="G35" s="1128"/>
      <c r="H35" s="1099"/>
      <c r="I35" s="1099"/>
    </row>
    <row r="36" spans="1:9" s="1582" customFormat="1" ht="19.5" customHeight="1">
      <c r="A36" s="3459"/>
      <c r="B36" s="3459" t="s">
        <v>1449</v>
      </c>
      <c r="C36" s="1125" t="s">
        <v>1481</v>
      </c>
      <c r="D36" s="1126"/>
      <c r="E36" s="1148">
        <v>1</v>
      </c>
      <c r="F36" s="1127" t="s">
        <v>1482</v>
      </c>
      <c r="G36" s="1128"/>
      <c r="H36" s="1099"/>
      <c r="I36" s="1099"/>
    </row>
    <row r="37" spans="1:9" s="1582" customFormat="1" ht="19.5" customHeight="1">
      <c r="A37" s="3459"/>
      <c r="B37" s="3459"/>
      <c r="C37" s="1125" t="s">
        <v>1483</v>
      </c>
      <c r="D37" s="1126"/>
      <c r="E37" s="1148">
        <v>1.5</v>
      </c>
      <c r="F37" s="1127" t="s">
        <v>1484</v>
      </c>
      <c r="G37" s="1128"/>
      <c r="H37" s="1099"/>
      <c r="I37" s="1099"/>
    </row>
    <row r="38" spans="1:9" s="1582" customFormat="1" ht="19.5" customHeight="1">
      <c r="A38" s="3459"/>
      <c r="B38" s="3459"/>
      <c r="C38" s="1125" t="s">
        <v>1485</v>
      </c>
      <c r="D38" s="1126"/>
      <c r="E38" s="1148">
        <v>1</v>
      </c>
      <c r="F38" s="1127" t="s">
        <v>1486</v>
      </c>
      <c r="G38" s="1128"/>
      <c r="H38" s="1099"/>
      <c r="I38" s="1099"/>
    </row>
    <row r="39" spans="1:9" s="1582" customFormat="1" ht="19.5" customHeight="1">
      <c r="A39" s="3459"/>
      <c r="B39" s="3459"/>
      <c r="C39" s="1125" t="s">
        <v>1487</v>
      </c>
      <c r="D39" s="1126"/>
      <c r="E39" s="1148">
        <v>1</v>
      </c>
      <c r="F39" s="1127" t="s">
        <v>1488</v>
      </c>
      <c r="G39" s="1128"/>
      <c r="H39" s="1099"/>
      <c r="I39" s="1099"/>
    </row>
    <row r="40" spans="1:9" s="1582" customFormat="1" ht="19.5" customHeight="1">
      <c r="A40" s="1583" t="s">
        <v>1489</v>
      </c>
      <c r="B40" s="1583"/>
      <c r="C40" s="1583"/>
      <c r="D40" s="1583"/>
      <c r="E40" s="1583"/>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59" t="s">
        <v>1501</v>
      </c>
      <c r="C61" s="1062" t="s">
        <v>1502</v>
      </c>
      <c r="D61" s="1062" t="s">
        <v>1503</v>
      </c>
      <c r="E61" s="1133">
        <v>0.5</v>
      </c>
      <c r="F61" s="1148">
        <v>80</v>
      </c>
      <c r="H61" s="1099">
        <f>SUMIF(C59:C119,基准地价!C8,E59:E119)</f>
        <v>0</v>
      </c>
    </row>
    <row r="62" spans="1:8" s="1099" customFormat="1" ht="24">
      <c r="A62" s="1148">
        <v>2</v>
      </c>
      <c r="B62" s="3459"/>
      <c r="C62" s="1062" t="s">
        <v>1504</v>
      </c>
      <c r="D62" s="1062" t="s">
        <v>1505</v>
      </c>
      <c r="E62" s="1133">
        <v>0.5</v>
      </c>
      <c r="F62" s="1148">
        <v>80</v>
      </c>
    </row>
    <row r="63" spans="1:8" s="1099" customFormat="1" ht="36">
      <c r="A63" s="1148">
        <v>3</v>
      </c>
      <c r="B63" s="3459"/>
      <c r="C63" s="1062" t="s">
        <v>1506</v>
      </c>
      <c r="D63" s="1062" t="s">
        <v>1507</v>
      </c>
      <c r="E63" s="1133">
        <v>0.5</v>
      </c>
      <c r="F63" s="1148">
        <v>80</v>
      </c>
    </row>
    <row r="64" spans="1:8" s="1099" customFormat="1" ht="36">
      <c r="A64" s="1148">
        <v>4</v>
      </c>
      <c r="B64" s="3459"/>
      <c r="C64" s="1062" t="s">
        <v>1508</v>
      </c>
      <c r="D64" s="1062" t="s">
        <v>1509</v>
      </c>
      <c r="E64" s="1133">
        <v>0.4</v>
      </c>
      <c r="F64" s="1148">
        <v>60</v>
      </c>
    </row>
    <row r="65" spans="1:6" s="1099" customFormat="1" ht="36">
      <c r="A65" s="1148">
        <v>5</v>
      </c>
      <c r="B65" s="3459"/>
      <c r="C65" s="1062" t="s">
        <v>1510</v>
      </c>
      <c r="D65" s="1062" t="s">
        <v>1511</v>
      </c>
      <c r="E65" s="1133">
        <v>0.2</v>
      </c>
      <c r="F65" s="1148">
        <v>30</v>
      </c>
    </row>
    <row r="66" spans="1:6" s="1099" customFormat="1" ht="36">
      <c r="A66" s="1148">
        <v>6</v>
      </c>
      <c r="B66" s="3459"/>
      <c r="C66" s="1062" t="s">
        <v>1512</v>
      </c>
      <c r="D66" s="1062" t="s">
        <v>1513</v>
      </c>
      <c r="E66" s="1133">
        <v>0.3</v>
      </c>
      <c r="F66" s="1148">
        <v>50</v>
      </c>
    </row>
    <row r="67" spans="1:6" s="1099" customFormat="1" ht="36">
      <c r="A67" s="1148">
        <v>7</v>
      </c>
      <c r="B67" s="3459"/>
      <c r="C67" s="1062" t="s">
        <v>1514</v>
      </c>
      <c r="D67" s="1062" t="s">
        <v>1515</v>
      </c>
      <c r="E67" s="1133">
        <v>0.2</v>
      </c>
      <c r="F67" s="1148">
        <v>30</v>
      </c>
    </row>
    <row r="68" spans="1:6" s="1099" customFormat="1" ht="36">
      <c r="A68" s="1148">
        <v>8</v>
      </c>
      <c r="B68" s="3459"/>
      <c r="C68" s="1062" t="s">
        <v>1516</v>
      </c>
      <c r="D68" s="1062" t="s">
        <v>1517</v>
      </c>
      <c r="E68" s="1133">
        <v>0.2</v>
      </c>
      <c r="F68" s="1148">
        <v>30</v>
      </c>
    </row>
    <row r="69" spans="1:6" s="1099" customFormat="1" ht="36">
      <c r="A69" s="1148">
        <v>9</v>
      </c>
      <c r="B69" s="3459"/>
      <c r="C69" s="1062" t="s">
        <v>1518</v>
      </c>
      <c r="D69" s="1062" t="s">
        <v>1519</v>
      </c>
      <c r="E69" s="1133">
        <v>0.2</v>
      </c>
      <c r="F69" s="1148">
        <v>30</v>
      </c>
    </row>
    <row r="70" spans="1:6" s="1099" customFormat="1" ht="48">
      <c r="A70" s="1148">
        <v>10</v>
      </c>
      <c r="B70" s="3459"/>
      <c r="C70" s="1062" t="s">
        <v>1520</v>
      </c>
      <c r="D70" s="1062" t="s">
        <v>1521</v>
      </c>
      <c r="E70" s="1133">
        <v>0.2</v>
      </c>
      <c r="F70" s="1148">
        <v>30</v>
      </c>
    </row>
    <row r="71" spans="1:6" s="1099" customFormat="1" ht="48">
      <c r="A71" s="1148">
        <v>11</v>
      </c>
      <c r="B71" s="3459"/>
      <c r="C71" s="1062" t="s">
        <v>1522</v>
      </c>
      <c r="D71" s="1062" t="s">
        <v>1523</v>
      </c>
      <c r="E71" s="1133">
        <v>0.2</v>
      </c>
      <c r="F71" s="1148">
        <v>30</v>
      </c>
    </row>
    <row r="72" spans="1:6" s="1099" customFormat="1" ht="36">
      <c r="A72" s="1148">
        <v>12</v>
      </c>
      <c r="B72" s="3459"/>
      <c r="C72" s="1062" t="s">
        <v>1524</v>
      </c>
      <c r="D72" s="1062" t="s">
        <v>1525</v>
      </c>
      <c r="E72" s="1133">
        <v>0.5</v>
      </c>
      <c r="F72" s="1148">
        <v>80</v>
      </c>
    </row>
    <row r="73" spans="1:6" s="1099" customFormat="1" ht="24">
      <c r="A73" s="1148">
        <v>13</v>
      </c>
      <c r="B73" s="3459"/>
      <c r="C73" s="1062" t="s">
        <v>1526</v>
      </c>
      <c r="D73" s="1062" t="s">
        <v>1527</v>
      </c>
      <c r="E73" s="1133">
        <v>0.4</v>
      </c>
      <c r="F73" s="1148">
        <v>60</v>
      </c>
    </row>
    <row r="74" spans="1:6" s="1099" customFormat="1" ht="24">
      <c r="A74" s="1148">
        <v>14</v>
      </c>
      <c r="B74" s="3459"/>
      <c r="C74" s="1062" t="s">
        <v>1528</v>
      </c>
      <c r="D74" s="1062" t="s">
        <v>1529</v>
      </c>
      <c r="E74" s="1133">
        <v>0.2</v>
      </c>
      <c r="F74" s="1148">
        <v>30</v>
      </c>
    </row>
    <row r="75" spans="1:6" s="1099" customFormat="1" ht="24">
      <c r="A75" s="1148">
        <v>15</v>
      </c>
      <c r="B75" s="3459"/>
      <c r="C75" s="1062" t="s">
        <v>1530</v>
      </c>
      <c r="D75" s="1062" t="s">
        <v>1531</v>
      </c>
      <c r="E75" s="1133">
        <v>0.2</v>
      </c>
      <c r="F75" s="1148">
        <v>30</v>
      </c>
    </row>
    <row r="76" spans="1:6" s="1099" customFormat="1" ht="24">
      <c r="A76" s="1148">
        <v>16</v>
      </c>
      <c r="B76" s="3459" t="s">
        <v>1532</v>
      </c>
      <c r="C76" s="1062" t="s">
        <v>1533</v>
      </c>
      <c r="D76" s="1062" t="s">
        <v>1534</v>
      </c>
      <c r="E76" s="1133">
        <v>0.5</v>
      </c>
      <c r="F76" s="1148">
        <v>80</v>
      </c>
    </row>
    <row r="77" spans="1:6" s="1099" customFormat="1" ht="24">
      <c r="A77" s="1148">
        <v>17</v>
      </c>
      <c r="B77" s="3459"/>
      <c r="C77" s="1062" t="s">
        <v>1535</v>
      </c>
      <c r="D77" s="1062" t="s">
        <v>1536</v>
      </c>
      <c r="E77" s="1133">
        <v>0.5</v>
      </c>
      <c r="F77" s="1148">
        <v>80</v>
      </c>
    </row>
    <row r="78" spans="1:6" s="1099" customFormat="1" ht="24">
      <c r="A78" s="1148">
        <v>18</v>
      </c>
      <c r="B78" s="3459"/>
      <c r="C78" s="1062" t="s">
        <v>1537</v>
      </c>
      <c r="D78" s="1062" t="s">
        <v>1538</v>
      </c>
      <c r="E78" s="1133">
        <v>0.2</v>
      </c>
      <c r="F78" s="1148">
        <v>30</v>
      </c>
    </row>
    <row r="79" spans="1:6" s="1099" customFormat="1" ht="24">
      <c r="A79" s="1148">
        <v>19</v>
      </c>
      <c r="B79" s="3459"/>
      <c r="C79" s="1062" t="s">
        <v>1539</v>
      </c>
      <c r="D79" s="1062" t="s">
        <v>1540</v>
      </c>
      <c r="E79" s="1133">
        <v>0.5</v>
      </c>
      <c r="F79" s="1148">
        <v>80</v>
      </c>
    </row>
    <row r="80" spans="1:6" s="1099" customFormat="1" ht="36">
      <c r="A80" s="1148">
        <v>20</v>
      </c>
      <c r="B80" s="3459"/>
      <c r="C80" s="1062" t="s">
        <v>1541</v>
      </c>
      <c r="D80" s="1062" t="s">
        <v>1542</v>
      </c>
      <c r="E80" s="1133">
        <v>0.2</v>
      </c>
      <c r="F80" s="1148">
        <v>30</v>
      </c>
    </row>
    <row r="81" spans="1:6" s="1099" customFormat="1" ht="36">
      <c r="A81" s="1148">
        <v>21</v>
      </c>
      <c r="B81" s="3459"/>
      <c r="C81" s="1062" t="s">
        <v>1543</v>
      </c>
      <c r="D81" s="1062" t="s">
        <v>1544</v>
      </c>
      <c r="E81" s="1133">
        <v>0.2</v>
      </c>
      <c r="F81" s="1148">
        <v>30</v>
      </c>
    </row>
    <row r="82" spans="1:6" s="1099" customFormat="1" ht="48">
      <c r="A82" s="1148">
        <v>22</v>
      </c>
      <c r="B82" s="3459"/>
      <c r="C82" s="1062" t="s">
        <v>1545</v>
      </c>
      <c r="D82" s="1062" t="s">
        <v>1546</v>
      </c>
      <c r="E82" s="1133">
        <v>0.2</v>
      </c>
      <c r="F82" s="1148">
        <v>30</v>
      </c>
    </row>
    <row r="83" spans="1:6" s="1099" customFormat="1" ht="48">
      <c r="A83" s="1148">
        <v>23</v>
      </c>
      <c r="B83" s="3459"/>
      <c r="C83" s="1062" t="s">
        <v>1547</v>
      </c>
      <c r="D83" s="1062" t="s">
        <v>1548</v>
      </c>
      <c r="E83" s="1133">
        <v>0.2</v>
      </c>
      <c r="F83" s="1148">
        <v>30</v>
      </c>
    </row>
    <row r="84" spans="1:6" s="1099" customFormat="1" ht="36">
      <c r="A84" s="1148">
        <v>24</v>
      </c>
      <c r="B84" s="3459"/>
      <c r="C84" s="1062" t="s">
        <v>1549</v>
      </c>
      <c r="D84" s="1062" t="s">
        <v>1550</v>
      </c>
      <c r="E84" s="1133">
        <v>0.2</v>
      </c>
      <c r="F84" s="1148">
        <v>30</v>
      </c>
    </row>
    <row r="85" spans="1:6" s="1099" customFormat="1" ht="36">
      <c r="A85" s="1148">
        <v>25</v>
      </c>
      <c r="B85" s="3459"/>
      <c r="C85" s="1062" t="s">
        <v>1551</v>
      </c>
      <c r="D85" s="1062" t="s">
        <v>1552</v>
      </c>
      <c r="E85" s="1133">
        <v>0.5</v>
      </c>
      <c r="F85" s="1148">
        <v>80</v>
      </c>
    </row>
    <row r="86" spans="1:6" s="1099" customFormat="1" ht="36">
      <c r="A86" s="1148">
        <v>26</v>
      </c>
      <c r="B86" s="3459"/>
      <c r="C86" s="1062" t="s">
        <v>1553</v>
      </c>
      <c r="D86" s="1062" t="s">
        <v>1554</v>
      </c>
      <c r="E86" s="1133">
        <v>0.2</v>
      </c>
      <c r="F86" s="1148">
        <v>30</v>
      </c>
    </row>
    <row r="87" spans="1:6" s="1099" customFormat="1" ht="36">
      <c r="A87" s="1148">
        <v>27</v>
      </c>
      <c r="B87" s="3459"/>
      <c r="C87" s="1062" t="s">
        <v>1555</v>
      </c>
      <c r="D87" s="1062" t="s">
        <v>1556</v>
      </c>
      <c r="E87" s="1133">
        <v>0.2</v>
      </c>
      <c r="F87" s="1148">
        <v>30</v>
      </c>
    </row>
    <row r="88" spans="1:6" s="1099" customFormat="1" ht="36">
      <c r="A88" s="1148">
        <v>28</v>
      </c>
      <c r="B88" s="3459"/>
      <c r="C88" s="1062" t="s">
        <v>1557</v>
      </c>
      <c r="D88" s="1062" t="s">
        <v>1558</v>
      </c>
      <c r="E88" s="1133">
        <v>0.2</v>
      </c>
      <c r="F88" s="1148">
        <v>30</v>
      </c>
    </row>
    <row r="89" spans="1:6" s="1099" customFormat="1" ht="24">
      <c r="A89" s="1148">
        <v>29</v>
      </c>
      <c r="B89" s="3459"/>
      <c r="C89" s="1062" t="s">
        <v>1559</v>
      </c>
      <c r="D89" s="1062" t="s">
        <v>1560</v>
      </c>
      <c r="E89" s="1133">
        <v>0.2</v>
      </c>
      <c r="F89" s="1148">
        <v>30</v>
      </c>
    </row>
    <row r="90" spans="1:6" s="1099" customFormat="1" ht="24">
      <c r="A90" s="1148">
        <v>30</v>
      </c>
      <c r="B90" s="3459"/>
      <c r="C90" s="1062" t="s">
        <v>1561</v>
      </c>
      <c r="D90" s="1062" t="s">
        <v>1562</v>
      </c>
      <c r="E90" s="1133">
        <v>0.2</v>
      </c>
      <c r="F90" s="1148">
        <v>30</v>
      </c>
    </row>
    <row r="91" spans="1:6" s="1099" customFormat="1" ht="36">
      <c r="A91" s="1148">
        <v>31</v>
      </c>
      <c r="B91" s="3459"/>
      <c r="C91" s="1062" t="s">
        <v>1563</v>
      </c>
      <c r="D91" s="1062" t="s">
        <v>1564</v>
      </c>
      <c r="E91" s="1133">
        <v>0.2</v>
      </c>
      <c r="F91" s="1148">
        <v>30</v>
      </c>
    </row>
    <row r="92" spans="1:6" s="1099" customFormat="1" ht="24">
      <c r="A92" s="1148">
        <v>32</v>
      </c>
      <c r="B92" s="3459" t="s">
        <v>1565</v>
      </c>
      <c r="C92" s="1148" t="s">
        <v>1566</v>
      </c>
      <c r="D92" s="1062" t="s">
        <v>1567</v>
      </c>
      <c r="E92" s="1133">
        <v>0.2</v>
      </c>
      <c r="F92" s="1148">
        <v>30</v>
      </c>
    </row>
    <row r="93" spans="1:6" s="1099" customFormat="1" ht="36">
      <c r="A93" s="1148">
        <v>33</v>
      </c>
      <c r="B93" s="3459"/>
      <c r="C93" s="1148" t="s">
        <v>1568</v>
      </c>
      <c r="D93" s="1062" t="s">
        <v>1569</v>
      </c>
      <c r="E93" s="1133">
        <v>0.2</v>
      </c>
      <c r="F93" s="1148">
        <v>30</v>
      </c>
    </row>
    <row r="94" spans="1:6" s="1099" customFormat="1" ht="48">
      <c r="A94" s="1148">
        <v>34</v>
      </c>
      <c r="B94" s="3459"/>
      <c r="C94" s="1148" t="s">
        <v>1570</v>
      </c>
      <c r="D94" s="1062" t="s">
        <v>1571</v>
      </c>
      <c r="E94" s="1133">
        <v>0.2</v>
      </c>
      <c r="F94" s="1148">
        <v>30</v>
      </c>
    </row>
    <row r="95" spans="1:6" s="1099" customFormat="1" ht="36">
      <c r="A95" s="1148">
        <v>35</v>
      </c>
      <c r="B95" s="3459"/>
      <c r="C95" s="1148" t="s">
        <v>1572</v>
      </c>
      <c r="D95" s="1062" t="s">
        <v>1573</v>
      </c>
      <c r="E95" s="1133">
        <v>0.2</v>
      </c>
      <c r="F95" s="1148">
        <v>30</v>
      </c>
    </row>
    <row r="96" spans="1:6" s="1099" customFormat="1" ht="48">
      <c r="A96" s="1148">
        <v>36</v>
      </c>
      <c r="B96" s="3459"/>
      <c r="C96" s="1062" t="s">
        <v>1574</v>
      </c>
      <c r="D96" s="1062" t="s">
        <v>1575</v>
      </c>
      <c r="E96" s="1133">
        <v>0.2</v>
      </c>
      <c r="F96" s="1148">
        <v>30</v>
      </c>
    </row>
    <row r="97" spans="1:6" s="1099" customFormat="1" ht="36">
      <c r="A97" s="1148">
        <v>37</v>
      </c>
      <c r="B97" s="3459"/>
      <c r="C97" s="1148" t="s">
        <v>1576</v>
      </c>
      <c r="D97" s="1062" t="s">
        <v>1577</v>
      </c>
      <c r="E97" s="1133">
        <v>0.2</v>
      </c>
      <c r="F97" s="1148">
        <v>30</v>
      </c>
    </row>
    <row r="98" spans="1:6" s="1099" customFormat="1" ht="36">
      <c r="A98" s="1148">
        <v>38</v>
      </c>
      <c r="B98" s="3459"/>
      <c r="C98" s="1148" t="s">
        <v>1578</v>
      </c>
      <c r="D98" s="1062" t="s">
        <v>1579</v>
      </c>
      <c r="E98" s="1133">
        <v>0.2</v>
      </c>
      <c r="F98" s="1148">
        <v>30</v>
      </c>
    </row>
    <row r="99" spans="1:6" s="1099" customFormat="1" ht="36">
      <c r="A99" s="1148">
        <v>39</v>
      </c>
      <c r="B99" s="3459" t="s">
        <v>1580</v>
      </c>
      <c r="C99" s="1148" t="s">
        <v>1581</v>
      </c>
      <c r="D99" s="1062" t="s">
        <v>1582</v>
      </c>
      <c r="E99" s="1133">
        <v>0.3</v>
      </c>
      <c r="F99" s="1148">
        <v>50</v>
      </c>
    </row>
    <row r="100" spans="1:6" s="1099" customFormat="1" ht="24">
      <c r="A100" s="1148">
        <v>40</v>
      </c>
      <c r="B100" s="3459"/>
      <c r="C100" s="1148" t="s">
        <v>1583</v>
      </c>
      <c r="D100" s="1062" t="s">
        <v>1584</v>
      </c>
      <c r="E100" s="1133">
        <v>0.2</v>
      </c>
      <c r="F100" s="1148">
        <v>30</v>
      </c>
    </row>
    <row r="101" spans="1:6" s="1099" customFormat="1" ht="36">
      <c r="A101" s="1148">
        <v>41</v>
      </c>
      <c r="B101" s="3459"/>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59" t="s">
        <v>1595</v>
      </c>
      <c r="C105" s="1148" t="s">
        <v>1596</v>
      </c>
      <c r="D105" s="1062" t="s">
        <v>1597</v>
      </c>
      <c r="E105" s="1133">
        <v>0.2</v>
      </c>
      <c r="F105" s="1148">
        <v>30</v>
      </c>
    </row>
    <row r="106" spans="1:6" s="1099" customFormat="1" ht="36">
      <c r="A106" s="1148">
        <v>46</v>
      </c>
      <c r="B106" s="3459"/>
      <c r="C106" s="1148" t="s">
        <v>1598</v>
      </c>
      <c r="D106" s="1062" t="s">
        <v>1599</v>
      </c>
      <c r="E106" s="1133">
        <v>0.2</v>
      </c>
      <c r="F106" s="1148">
        <v>30</v>
      </c>
    </row>
    <row r="107" spans="1:6" s="1099" customFormat="1" ht="36">
      <c r="A107" s="1148">
        <v>47</v>
      </c>
      <c r="B107" s="3459" t="s">
        <v>1600</v>
      </c>
      <c r="C107" s="1148" t="s">
        <v>1601</v>
      </c>
      <c r="D107" s="1062" t="s">
        <v>1602</v>
      </c>
      <c r="E107" s="1133">
        <v>0.3</v>
      </c>
      <c r="F107" s="1148">
        <v>50</v>
      </c>
    </row>
    <row r="108" spans="1:6" s="1099" customFormat="1" ht="36">
      <c r="A108" s="1148">
        <v>48</v>
      </c>
      <c r="B108" s="3459"/>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59" t="s">
        <v>1611</v>
      </c>
      <c r="C111" s="1148" t="s">
        <v>1612</v>
      </c>
      <c r="D111" s="1062" t="s">
        <v>1613</v>
      </c>
      <c r="E111" s="1133">
        <v>0.2</v>
      </c>
      <c r="F111" s="1148">
        <v>30</v>
      </c>
    </row>
    <row r="112" spans="1:6" s="1099" customFormat="1" ht="24">
      <c r="A112" s="1148">
        <v>52</v>
      </c>
      <c r="B112" s="3459"/>
      <c r="C112" s="1148" t="s">
        <v>1614</v>
      </c>
      <c r="D112" s="1062" t="s">
        <v>1615</v>
      </c>
      <c r="E112" s="1133">
        <v>0.2</v>
      </c>
      <c r="F112" s="1148">
        <v>30</v>
      </c>
    </row>
    <row r="113" spans="1:14" s="1099" customFormat="1" ht="24">
      <c r="A113" s="1148">
        <v>53</v>
      </c>
      <c r="B113" s="3459"/>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59" t="s">
        <v>1624</v>
      </c>
      <c r="C116" s="1148" t="s">
        <v>1625</v>
      </c>
      <c r="D116" s="1062" t="s">
        <v>1626</v>
      </c>
      <c r="E116" s="1133">
        <v>0.2</v>
      </c>
      <c r="F116" s="1148">
        <v>30</v>
      </c>
    </row>
    <row r="117" spans="1:14" ht="36">
      <c r="A117" s="1148">
        <v>57</v>
      </c>
      <c r="B117" s="3459"/>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58" t="s">
        <v>1633</v>
      </c>
      <c r="B121" s="3458"/>
      <c r="C121" s="3458"/>
      <c r="D121" s="3458"/>
      <c r="E121" s="3458"/>
      <c r="F121" s="3458"/>
      <c r="G121" s="3458"/>
      <c r="H121" s="3458"/>
      <c r="I121" s="3458"/>
      <c r="J121" s="3458"/>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63" t="s">
        <v>1039</v>
      </c>
      <c r="B1" s="3463"/>
      <c r="C1" s="3463"/>
      <c r="D1" s="3463"/>
      <c r="E1" s="3463"/>
      <c r="F1" s="3463"/>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64" t="s">
        <v>1052</v>
      </c>
      <c r="B2" s="3464"/>
      <c r="C2" s="3464"/>
      <c r="D2" s="3464"/>
      <c r="E2" s="3464"/>
      <c r="F2" s="3464"/>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65"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66"/>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2418</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2419</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0.95440000000000003</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67" t="s">
        <v>2076</v>
      </c>
      <c r="B1" s="3467"/>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1096</v>
      </c>
      <c r="B6" s="1842" t="s">
        <v>2085</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2086</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2087</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2088</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2089</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2090</v>
      </c>
      <c r="C72" s="1852"/>
      <c r="D72" s="1852"/>
      <c r="E72" s="1852"/>
      <c r="F72" s="1844">
        <v>0.05</v>
      </c>
    </row>
    <row r="73" spans="1:6" ht="14.25" thickBot="1">
      <c r="A73" s="1838" t="s">
        <v>925</v>
      </c>
      <c r="B73" s="1842" t="s">
        <v>2091</v>
      </c>
      <c r="C73" s="1852"/>
      <c r="D73" s="1852"/>
      <c r="E73" s="1852"/>
      <c r="F73" s="1844">
        <v>0.05</v>
      </c>
    </row>
    <row r="74" spans="1:6" ht="14.25" thickBot="1">
      <c r="A74" s="1838" t="s">
        <v>925</v>
      </c>
      <c r="B74" s="1842" t="s">
        <v>2092</v>
      </c>
      <c r="C74" s="1852"/>
      <c r="D74" s="1852"/>
      <c r="E74" s="1852"/>
      <c r="F74" s="1844">
        <v>0.05</v>
      </c>
    </row>
    <row r="75" spans="1:6" ht="14.25" thickBot="1">
      <c r="A75" s="1846" t="s">
        <v>925</v>
      </c>
      <c r="B75" s="1853" t="s">
        <v>2093</v>
      </c>
      <c r="C75" s="1849"/>
      <c r="D75" s="1849"/>
      <c r="E75" s="1849"/>
      <c r="F75" s="1854">
        <v>0.05</v>
      </c>
    </row>
    <row r="76" spans="1:6" ht="14.25" thickBot="1">
      <c r="A76" s="1838" t="s">
        <v>1407</v>
      </c>
      <c r="B76" s="1839" t="s">
        <v>2094</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2095</v>
      </c>
      <c r="C102" s="1852"/>
      <c r="D102" s="1852"/>
      <c r="E102" s="1852"/>
      <c r="F102" s="1844">
        <v>0.05</v>
      </c>
    </row>
    <row r="103" spans="1:6" ht="24.75" thickBot="1">
      <c r="A103" s="1838" t="s">
        <v>1407</v>
      </c>
      <c r="B103" s="1842" t="s">
        <v>2096</v>
      </c>
      <c r="C103" s="1852"/>
      <c r="D103" s="1852"/>
      <c r="E103" s="1852"/>
      <c r="F103" s="1844">
        <v>0.05</v>
      </c>
    </row>
    <row r="104" spans="1:6" ht="14.25" thickBot="1">
      <c r="A104" s="1838" t="s">
        <v>1407</v>
      </c>
      <c r="B104" s="1842" t="s">
        <v>2097</v>
      </c>
      <c r="C104" s="1852"/>
      <c r="D104" s="1852"/>
      <c r="E104" s="1852"/>
      <c r="F104" s="1844">
        <v>0.05</v>
      </c>
    </row>
    <row r="105" spans="1:6" ht="14.25" thickBot="1">
      <c r="A105" s="1838" t="s">
        <v>1407</v>
      </c>
      <c r="B105" s="1842" t="s">
        <v>2098</v>
      </c>
      <c r="C105" s="1852"/>
      <c r="D105" s="1852"/>
      <c r="E105" s="1852"/>
      <c r="F105" s="1844">
        <v>0.05</v>
      </c>
    </row>
    <row r="106" spans="1:6" ht="14.25" thickBot="1">
      <c r="A106" s="1838" t="s">
        <v>1407</v>
      </c>
      <c r="B106" s="1842" t="s">
        <v>2099</v>
      </c>
      <c r="C106" s="1852"/>
      <c r="D106" s="1852"/>
      <c r="E106" s="1852"/>
      <c r="F106" s="1844">
        <v>0.05</v>
      </c>
    </row>
    <row r="107" spans="1:6" ht="24.75" thickBot="1">
      <c r="A107" s="1838" t="s">
        <v>1407</v>
      </c>
      <c r="B107" s="1842" t="s">
        <v>2100</v>
      </c>
      <c r="C107" s="1852"/>
      <c r="D107" s="1852"/>
      <c r="E107" s="1852"/>
      <c r="F107" s="1844">
        <v>0.05</v>
      </c>
    </row>
    <row r="108" spans="1:6" ht="24.75" thickBot="1">
      <c r="A108" s="1838" t="s">
        <v>1407</v>
      </c>
      <c r="B108" s="1842" t="s">
        <v>2101</v>
      </c>
      <c r="C108" s="1852"/>
      <c r="D108" s="1852"/>
      <c r="E108" s="1852"/>
      <c r="F108" s="1844">
        <v>0.05</v>
      </c>
    </row>
    <row r="109" spans="1:6" ht="24.75" thickBot="1">
      <c r="A109" s="1846" t="s">
        <v>1407</v>
      </c>
      <c r="B109" s="1853" t="s">
        <v>2102</v>
      </c>
      <c r="C109" s="1849"/>
      <c r="D109" s="1849"/>
      <c r="E109" s="1849"/>
      <c r="F109" s="1854">
        <v>0.05</v>
      </c>
    </row>
    <row r="110" spans="1:6" ht="14.25" thickBot="1">
      <c r="A110" s="1838" t="s">
        <v>1409</v>
      </c>
      <c r="B110" s="1839" t="s">
        <v>2103</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2104</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2105</v>
      </c>
      <c r="C138" s="1843">
        <v>0.105</v>
      </c>
      <c r="D138" s="1843">
        <v>0.125</v>
      </c>
      <c r="E138" s="1843">
        <v>0.112</v>
      </c>
      <c r="F138" s="1851"/>
    </row>
    <row r="139" spans="1:6" ht="14.25" thickBot="1">
      <c r="A139" s="1838" t="s">
        <v>1409</v>
      </c>
      <c r="B139" s="1842" t="s">
        <v>2106</v>
      </c>
      <c r="C139" s="1843">
        <v>0.127</v>
      </c>
      <c r="D139" s="1843">
        <v>0.127</v>
      </c>
      <c r="E139" s="1843">
        <v>0.122</v>
      </c>
      <c r="F139" s="1844">
        <v>0.13</v>
      </c>
    </row>
    <row r="140" spans="1:6" ht="14.25" thickBot="1">
      <c r="A140" s="1838" t="s">
        <v>1409</v>
      </c>
      <c r="B140" s="1842" t="s">
        <v>2107</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2108</v>
      </c>
      <c r="C144" s="1856">
        <v>0.126</v>
      </c>
      <c r="D144" s="1856">
        <v>0.126</v>
      </c>
      <c r="E144" s="1856">
        <v>0.121</v>
      </c>
      <c r="F144" s="1851"/>
    </row>
    <row r="145" spans="1:6" ht="14.25" thickBot="1">
      <c r="A145" s="1846" t="s">
        <v>1409</v>
      </c>
      <c r="B145" s="1857" t="s">
        <v>2109</v>
      </c>
      <c r="C145" s="1858"/>
      <c r="D145" s="1858"/>
      <c r="E145" s="1858"/>
      <c r="F145" s="1859">
        <v>0.05</v>
      </c>
    </row>
    <row r="146" spans="1:6" ht="24.75" thickBot="1">
      <c r="A146" s="1860" t="s">
        <v>1409</v>
      </c>
      <c r="B146" s="1845" t="s">
        <v>2110</v>
      </c>
      <c r="C146" s="1852"/>
      <c r="D146" s="1852"/>
      <c r="E146" s="1852"/>
      <c r="F146" s="1861">
        <v>0.05</v>
      </c>
    </row>
    <row r="147" spans="1:6" ht="24.75" thickBot="1">
      <c r="A147" s="1838" t="s">
        <v>1409</v>
      </c>
      <c r="B147" s="1842" t="s">
        <v>2111</v>
      </c>
      <c r="C147" s="1852"/>
      <c r="D147" s="1852"/>
      <c r="E147" s="1852"/>
      <c r="F147" s="1844">
        <v>0.05</v>
      </c>
    </row>
    <row r="148" spans="1:6" ht="24.75" thickBot="1">
      <c r="A148" s="1838" t="s">
        <v>1409</v>
      </c>
      <c r="B148" s="1842" t="s">
        <v>2112</v>
      </c>
      <c r="C148" s="1852"/>
      <c r="D148" s="1852"/>
      <c r="E148" s="1852"/>
      <c r="F148" s="1844">
        <v>0.05</v>
      </c>
    </row>
    <row r="149" spans="1:6" ht="24.75" thickBot="1">
      <c r="A149" s="1838" t="s">
        <v>1409</v>
      </c>
      <c r="B149" s="1842" t="s">
        <v>2113</v>
      </c>
      <c r="C149" s="1852"/>
      <c r="D149" s="1852"/>
      <c r="E149" s="1852"/>
      <c r="F149" s="1844">
        <v>0.05</v>
      </c>
    </row>
    <row r="150" spans="1:6" ht="24.75" thickBot="1">
      <c r="A150" s="1838" t="s">
        <v>1409</v>
      </c>
      <c r="B150" s="1842" t="s">
        <v>2114</v>
      </c>
      <c r="C150" s="1852"/>
      <c r="D150" s="1852"/>
      <c r="E150" s="1852"/>
      <c r="F150" s="1844">
        <v>0.05</v>
      </c>
    </row>
    <row r="151" spans="1:6" ht="24.75" thickBot="1">
      <c r="A151" s="1838" t="s">
        <v>1409</v>
      </c>
      <c r="B151" s="1842" t="s">
        <v>2115</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2116</v>
      </c>
      <c r="C153" s="1852"/>
      <c r="D153" s="1852"/>
      <c r="E153" s="1852"/>
      <c r="F153" s="1844">
        <v>0.05</v>
      </c>
    </row>
    <row r="154" spans="1:6" ht="14.25" thickBot="1">
      <c r="A154" s="1838" t="s">
        <v>1409</v>
      </c>
      <c r="B154" s="1842" t="s">
        <v>2117</v>
      </c>
      <c r="C154" s="1852"/>
      <c r="D154" s="1852"/>
      <c r="E154" s="1852"/>
      <c r="F154" s="1844">
        <v>0.05</v>
      </c>
    </row>
    <row r="155" spans="1:6" ht="24.75" thickBot="1">
      <c r="A155" s="1838" t="s">
        <v>1409</v>
      </c>
      <c r="B155" s="1842" t="s">
        <v>2118</v>
      </c>
      <c r="C155" s="1852"/>
      <c r="D155" s="1852"/>
      <c r="E155" s="1852"/>
      <c r="F155" s="1844">
        <v>0.05</v>
      </c>
    </row>
    <row r="156" spans="1:6" ht="24.75" thickBot="1">
      <c r="A156" s="1838" t="s">
        <v>1409</v>
      </c>
      <c r="B156" s="1842" t="s">
        <v>2119</v>
      </c>
      <c r="C156" s="1852"/>
      <c r="D156" s="1852"/>
      <c r="E156" s="1852"/>
      <c r="F156" s="1844">
        <v>0.05</v>
      </c>
    </row>
    <row r="157" spans="1:6" ht="14.25" thickBot="1">
      <c r="A157" s="1846" t="s">
        <v>1409</v>
      </c>
      <c r="B157" s="1853" t="s">
        <v>2120</v>
      </c>
      <c r="C157" s="1849"/>
      <c r="D157" s="1849"/>
      <c r="E157" s="1849"/>
      <c r="F157" s="1854">
        <v>0.05</v>
      </c>
    </row>
    <row r="158" spans="1:6" ht="14.25" thickBot="1">
      <c r="A158" s="1838" t="s">
        <v>1411</v>
      </c>
      <c r="B158" s="1839" t="s">
        <v>2121</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2122</v>
      </c>
      <c r="C171" s="1843">
        <v>0.127</v>
      </c>
      <c r="D171" s="1843">
        <v>0.126</v>
      </c>
      <c r="E171" s="1843">
        <v>0.126</v>
      </c>
      <c r="F171" s="1844">
        <v>0.11799999999999999</v>
      </c>
    </row>
    <row r="172" spans="1:6" ht="14.25" thickBot="1">
      <c r="A172" s="1838" t="s">
        <v>1411</v>
      </c>
      <c r="B172" s="1842" t="s">
        <v>2123</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2124</v>
      </c>
      <c r="C174" s="1843">
        <v>0.13</v>
      </c>
      <c r="D174" s="1843">
        <v>0.13</v>
      </c>
      <c r="E174" s="1843">
        <v>0.13</v>
      </c>
      <c r="F174" s="1844">
        <v>0.13</v>
      </c>
    </row>
    <row r="175" spans="1:6" ht="14.25" thickBot="1">
      <c r="A175" s="1838" t="s">
        <v>1411</v>
      </c>
      <c r="B175" s="1842" t="s">
        <v>2125</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2126</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2127</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2128</v>
      </c>
      <c r="C185" s="1843">
        <v>0.127</v>
      </c>
      <c r="D185" s="1843">
        <v>0.127</v>
      </c>
      <c r="E185" s="1843">
        <v>0.128</v>
      </c>
      <c r="F185" s="1844">
        <v>0.13</v>
      </c>
    </row>
    <row r="186" spans="1:6" ht="24.75" thickBot="1">
      <c r="A186" s="1838" t="s">
        <v>1411</v>
      </c>
      <c r="B186" s="1842" t="s">
        <v>2129</v>
      </c>
      <c r="C186" s="1852"/>
      <c r="D186" s="1852"/>
      <c r="E186" s="1852"/>
      <c r="F186" s="1844">
        <v>0.05</v>
      </c>
    </row>
    <row r="187" spans="1:6" ht="14.25" thickBot="1">
      <c r="A187" s="1838" t="s">
        <v>1411</v>
      </c>
      <c r="B187" s="1842" t="s">
        <v>2130</v>
      </c>
      <c r="C187" s="1852"/>
      <c r="D187" s="1852"/>
      <c r="E187" s="1852"/>
      <c r="F187" s="1844">
        <v>0.05</v>
      </c>
    </row>
    <row r="188" spans="1:6" ht="14.25" thickBot="1">
      <c r="A188" s="1838" t="s">
        <v>1411</v>
      </c>
      <c r="B188" s="1842" t="s">
        <v>2131</v>
      </c>
      <c r="C188" s="1852"/>
      <c r="D188" s="1852"/>
      <c r="E188" s="1852"/>
      <c r="F188" s="1844">
        <v>0.05</v>
      </c>
    </row>
    <row r="189" spans="1:6" ht="24.75" thickBot="1">
      <c r="A189" s="1838" t="s">
        <v>1411</v>
      </c>
      <c r="B189" s="1842" t="s">
        <v>2132</v>
      </c>
      <c r="C189" s="1852"/>
      <c r="D189" s="1852"/>
      <c r="E189" s="1852"/>
      <c r="F189" s="1844">
        <v>0.05</v>
      </c>
    </row>
    <row r="190" spans="1:6" ht="24.75" thickBot="1">
      <c r="A190" s="1838" t="s">
        <v>1411</v>
      </c>
      <c r="B190" s="1842" t="s">
        <v>2133</v>
      </c>
      <c r="C190" s="1852"/>
      <c r="D190" s="1852"/>
      <c r="E190" s="1852"/>
      <c r="F190" s="1844">
        <v>0.05</v>
      </c>
    </row>
    <row r="191" spans="1:6" ht="24.75" thickBot="1">
      <c r="A191" s="1838" t="s">
        <v>1411</v>
      </c>
      <c r="B191" s="1842" t="s">
        <v>2134</v>
      </c>
      <c r="C191" s="1852"/>
      <c r="D191" s="1852"/>
      <c r="E191" s="1852"/>
      <c r="F191" s="1844">
        <v>0.05</v>
      </c>
    </row>
    <row r="192" spans="1:6" ht="24.75" thickBot="1">
      <c r="A192" s="1838" t="s">
        <v>1411</v>
      </c>
      <c r="B192" s="1842" t="s">
        <v>2135</v>
      </c>
      <c r="C192" s="1852"/>
      <c r="D192" s="1852"/>
      <c r="E192" s="1852"/>
      <c r="F192" s="1844">
        <v>0.05</v>
      </c>
    </row>
    <row r="193" spans="1:6" ht="24.75" thickBot="1">
      <c r="A193" s="1838" t="s">
        <v>1411</v>
      </c>
      <c r="B193" s="1842" t="s">
        <v>2136</v>
      </c>
      <c r="C193" s="1852"/>
      <c r="D193" s="1852"/>
      <c r="E193" s="1852"/>
      <c r="F193" s="1844">
        <v>0.05</v>
      </c>
    </row>
    <row r="194" spans="1:6" ht="24.75" thickBot="1">
      <c r="A194" s="1838" t="s">
        <v>1411</v>
      </c>
      <c r="B194" s="1842" t="s">
        <v>2137</v>
      </c>
      <c r="C194" s="1852"/>
      <c r="D194" s="1852"/>
      <c r="E194" s="1852"/>
      <c r="F194" s="1844">
        <v>0.05</v>
      </c>
    </row>
    <row r="195" spans="1:6" ht="14.25" thickBot="1">
      <c r="A195" s="1838" t="s">
        <v>1411</v>
      </c>
      <c r="B195" s="1842" t="s">
        <v>2138</v>
      </c>
      <c r="C195" s="1852"/>
      <c r="D195" s="1852"/>
      <c r="E195" s="1852"/>
      <c r="F195" s="1844">
        <v>0.05</v>
      </c>
    </row>
    <row r="196" spans="1:6" ht="24.75" thickBot="1">
      <c r="A196" s="1838" t="s">
        <v>1411</v>
      </c>
      <c r="B196" s="1842" t="s">
        <v>2139</v>
      </c>
      <c r="C196" s="1852"/>
      <c r="D196" s="1852"/>
      <c r="E196" s="1852"/>
      <c r="F196" s="1844">
        <v>0.05</v>
      </c>
    </row>
    <row r="197" spans="1:6" ht="24.75" thickBot="1">
      <c r="A197" s="1838" t="s">
        <v>1411</v>
      </c>
      <c r="B197" s="1842" t="s">
        <v>2140</v>
      </c>
      <c r="C197" s="1852"/>
      <c r="D197" s="1852"/>
      <c r="E197" s="1852"/>
      <c r="F197" s="1844">
        <v>0.05</v>
      </c>
    </row>
    <row r="198" spans="1:6" ht="24.75" thickBot="1">
      <c r="A198" s="1838" t="s">
        <v>1411</v>
      </c>
      <c r="B198" s="1842" t="s">
        <v>2141</v>
      </c>
      <c r="C198" s="1852"/>
      <c r="D198" s="1852"/>
      <c r="E198" s="1852"/>
      <c r="F198" s="1844">
        <v>0.05</v>
      </c>
    </row>
    <row r="199" spans="1:6" ht="24.75" thickBot="1">
      <c r="A199" s="1838" t="s">
        <v>1411</v>
      </c>
      <c r="B199" s="1842" t="s">
        <v>2142</v>
      </c>
      <c r="C199" s="1852"/>
      <c r="D199" s="1852"/>
      <c r="E199" s="1852"/>
      <c r="F199" s="1844">
        <v>0.05</v>
      </c>
    </row>
    <row r="200" spans="1:6" ht="24.75" thickBot="1">
      <c r="A200" s="1838" t="s">
        <v>1411</v>
      </c>
      <c r="B200" s="1842" t="s">
        <v>2143</v>
      </c>
      <c r="C200" s="1852"/>
      <c r="D200" s="1852"/>
      <c r="E200" s="1852"/>
      <c r="F200" s="1844">
        <v>0.05</v>
      </c>
    </row>
    <row r="201" spans="1:6" ht="24.75" thickBot="1">
      <c r="A201" s="1838" t="s">
        <v>1411</v>
      </c>
      <c r="B201" s="1842" t="s">
        <v>2144</v>
      </c>
      <c r="C201" s="1852"/>
      <c r="D201" s="1852"/>
      <c r="E201" s="1852"/>
      <c r="F201" s="1844">
        <v>0.05</v>
      </c>
    </row>
    <row r="202" spans="1:6" ht="24.75" thickBot="1">
      <c r="A202" s="1838" t="s">
        <v>1411</v>
      </c>
      <c r="B202" s="1842" t="s">
        <v>2145</v>
      </c>
      <c r="C202" s="1852"/>
      <c r="D202" s="1852"/>
      <c r="E202" s="1852"/>
      <c r="F202" s="1844">
        <v>0.05</v>
      </c>
    </row>
    <row r="203" spans="1:6" ht="24.75" thickBot="1">
      <c r="A203" s="1838" t="s">
        <v>1411</v>
      </c>
      <c r="B203" s="1842" t="s">
        <v>2146</v>
      </c>
      <c r="C203" s="1852"/>
      <c r="D203" s="1852"/>
      <c r="E203" s="1852"/>
      <c r="F203" s="1844">
        <v>0.05</v>
      </c>
    </row>
    <row r="204" spans="1:6" ht="14.25" thickBot="1">
      <c r="A204" s="1838" t="s">
        <v>1411</v>
      </c>
      <c r="B204" s="1842" t="s">
        <v>2147</v>
      </c>
      <c r="C204" s="1852"/>
      <c r="D204" s="1852"/>
      <c r="E204" s="1852"/>
      <c r="F204" s="1844">
        <v>0.05</v>
      </c>
    </row>
    <row r="205" spans="1:6" ht="14.25" thickBot="1">
      <c r="A205" s="1846" t="s">
        <v>1411</v>
      </c>
      <c r="B205" s="1853" t="s">
        <v>2148</v>
      </c>
      <c r="C205" s="1849"/>
      <c r="D205" s="1849"/>
      <c r="E205" s="1849"/>
      <c r="F205" s="1854">
        <v>0.05</v>
      </c>
    </row>
    <row r="206" spans="1:6" ht="14.25" thickBot="1">
      <c r="A206" s="1838" t="s">
        <v>1413</v>
      </c>
      <c r="B206" s="1839" t="s">
        <v>2149</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2150</v>
      </c>
      <c r="C210" s="1843">
        <v>0.15</v>
      </c>
      <c r="D210" s="1843">
        <v>0.15</v>
      </c>
      <c r="E210" s="1843">
        <v>0.15</v>
      </c>
      <c r="F210" s="1844">
        <v>0.13800000000000001</v>
      </c>
    </row>
    <row r="211" spans="1:6" ht="14.25" thickBot="1">
      <c r="A211" s="1838" t="s">
        <v>1413</v>
      </c>
      <c r="B211" s="1842" t="s">
        <v>2151</v>
      </c>
      <c r="C211" s="1843">
        <v>0.13700000000000001</v>
      </c>
      <c r="D211" s="1843">
        <v>0.13500000000000001</v>
      </c>
      <c r="E211" s="1843">
        <v>0.13600000000000001</v>
      </c>
      <c r="F211" s="1844">
        <v>0.1</v>
      </c>
    </row>
    <row r="212" spans="1:6" ht="14.25" thickBot="1">
      <c r="A212" s="1838" t="s">
        <v>1413</v>
      </c>
      <c r="B212" s="1842" t="s">
        <v>2152</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2153</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2154</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2155</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2156</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2157</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2158</v>
      </c>
      <c r="C231" s="1843">
        <v>0.128</v>
      </c>
      <c r="D231" s="1843">
        <v>0.125</v>
      </c>
      <c r="E231" s="1843">
        <v>0.13200000000000001</v>
      </c>
      <c r="F231" s="1851"/>
    </row>
    <row r="232" spans="1:6" ht="14.25" thickBot="1">
      <c r="A232" s="1838" t="s">
        <v>1413</v>
      </c>
      <c r="B232" s="1842" t="s">
        <v>2159</v>
      </c>
      <c r="C232" s="1843">
        <v>0.14499999999999999</v>
      </c>
      <c r="D232" s="1843">
        <v>0.14399999999999999</v>
      </c>
      <c r="E232" s="1843">
        <v>0.14599999999999999</v>
      </c>
      <c r="F232" s="1844">
        <v>0.13800000000000001</v>
      </c>
    </row>
    <row r="233" spans="1:6" ht="14.25" thickBot="1">
      <c r="A233" s="1838" t="s">
        <v>1413</v>
      </c>
      <c r="B233" s="1842" t="s">
        <v>2160</v>
      </c>
      <c r="C233" s="1843">
        <v>0.14499999999999999</v>
      </c>
      <c r="D233" s="1843">
        <v>0.14299999999999999</v>
      </c>
      <c r="E233" s="1843">
        <v>0.14199999999999999</v>
      </c>
      <c r="F233" s="1851"/>
    </row>
    <row r="234" spans="1:6" ht="14.25" thickBot="1">
      <c r="A234" s="1838" t="s">
        <v>1413</v>
      </c>
      <c r="B234" s="1842" t="s">
        <v>2161</v>
      </c>
      <c r="C234" s="1843">
        <v>0.14000000000000001</v>
      </c>
      <c r="D234" s="1843">
        <v>0.14000000000000001</v>
      </c>
      <c r="E234" s="1843">
        <v>0.14399999999999999</v>
      </c>
      <c r="F234" s="1851"/>
    </row>
    <row r="235" spans="1:6" ht="14.25" thickBot="1">
      <c r="A235" s="1838" t="s">
        <v>1413</v>
      </c>
      <c r="B235" s="1842" t="s">
        <v>2162</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2163</v>
      </c>
      <c r="C237" s="1852"/>
      <c r="D237" s="1852"/>
      <c r="E237" s="1852"/>
      <c r="F237" s="1844">
        <v>0.05</v>
      </c>
    </row>
    <row r="238" spans="1:6" ht="24.75" thickBot="1">
      <c r="A238" s="1838" t="s">
        <v>1413</v>
      </c>
      <c r="B238" s="1842" t="s">
        <v>2164</v>
      </c>
      <c r="C238" s="1852"/>
      <c r="D238" s="1852"/>
      <c r="E238" s="1852"/>
      <c r="F238" s="1844">
        <v>0.05</v>
      </c>
    </row>
    <row r="239" spans="1:6" ht="24.75" thickBot="1">
      <c r="A239" s="1838" t="s">
        <v>1413</v>
      </c>
      <c r="B239" s="1842" t="s">
        <v>2165</v>
      </c>
      <c r="C239" s="1852"/>
      <c r="D239" s="1852"/>
      <c r="E239" s="1852"/>
      <c r="F239" s="1844">
        <v>0.05</v>
      </c>
    </row>
    <row r="240" spans="1:6" ht="24.75" thickBot="1">
      <c r="A240" s="1838" t="s">
        <v>1413</v>
      </c>
      <c r="B240" s="1842" t="s">
        <v>2166</v>
      </c>
      <c r="C240" s="1852"/>
      <c r="D240" s="1852"/>
      <c r="E240" s="1852"/>
      <c r="F240" s="1844">
        <v>0.05</v>
      </c>
    </row>
    <row r="241" spans="1:6" ht="24.75" thickBot="1">
      <c r="A241" s="1838" t="s">
        <v>1413</v>
      </c>
      <c r="B241" s="1842" t="s">
        <v>2167</v>
      </c>
      <c r="C241" s="1852"/>
      <c r="D241" s="1852"/>
      <c r="E241" s="1852"/>
      <c r="F241" s="1844">
        <v>0.05</v>
      </c>
    </row>
    <row r="242" spans="1:6" ht="24.75" thickBot="1">
      <c r="A242" s="1838" t="s">
        <v>1413</v>
      </c>
      <c r="B242" s="1842" t="s">
        <v>2168</v>
      </c>
      <c r="C242" s="1852"/>
      <c r="D242" s="1852"/>
      <c r="E242" s="1852"/>
      <c r="F242" s="1844">
        <v>0.05</v>
      </c>
    </row>
    <row r="243" spans="1:6" ht="24.75" thickBot="1">
      <c r="A243" s="1838" t="s">
        <v>1413</v>
      </c>
      <c r="B243" s="1842" t="s">
        <v>2169</v>
      </c>
      <c r="C243" s="1852"/>
      <c r="D243" s="1852"/>
      <c r="E243" s="1852"/>
      <c r="F243" s="1844">
        <v>0.05</v>
      </c>
    </row>
    <row r="244" spans="1:6" ht="24.75" thickBot="1">
      <c r="A244" s="1846" t="s">
        <v>1413</v>
      </c>
      <c r="B244" s="1853" t="s">
        <v>2170</v>
      </c>
      <c r="C244" s="1849"/>
      <c r="D244" s="1849"/>
      <c r="E244" s="1849"/>
      <c r="F244" s="1854">
        <v>0.05</v>
      </c>
    </row>
    <row r="245" spans="1:6" ht="14.25" thickBot="1">
      <c r="A245" s="1838" t="s">
        <v>1415</v>
      </c>
      <c r="B245" s="1839" t="s">
        <v>2171</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2172</v>
      </c>
      <c r="C247" s="1843">
        <v>0.15</v>
      </c>
      <c r="D247" s="1843">
        <v>0.15</v>
      </c>
      <c r="E247" s="1843">
        <v>0.15</v>
      </c>
      <c r="F247" s="1844">
        <v>0.15</v>
      </c>
    </row>
    <row r="248" spans="1:6" ht="14.25" thickBot="1">
      <c r="A248" s="1838" t="s">
        <v>1415</v>
      </c>
      <c r="B248" s="1842" t="s">
        <v>2173</v>
      </c>
      <c r="C248" s="1843">
        <v>0.15</v>
      </c>
      <c r="D248" s="1843">
        <v>0.15</v>
      </c>
      <c r="E248" s="1843">
        <v>0.15</v>
      </c>
      <c r="F248" s="1844">
        <v>0.14000000000000001</v>
      </c>
    </row>
    <row r="249" spans="1:6" ht="14.25" thickBot="1">
      <c r="A249" s="1838" t="s">
        <v>1415</v>
      </c>
      <c r="B249" s="1842" t="s">
        <v>2174</v>
      </c>
      <c r="C249" s="1843">
        <v>0.15</v>
      </c>
      <c r="D249" s="1843">
        <v>0.14899999999999999</v>
      </c>
      <c r="E249" s="1843">
        <v>0.15</v>
      </c>
      <c r="F249" s="1844">
        <v>0.1</v>
      </c>
    </row>
    <row r="250" spans="1:6" ht="14.25" thickBot="1">
      <c r="A250" s="1838" t="s">
        <v>1415</v>
      </c>
      <c r="B250" s="1842" t="s">
        <v>2175</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2176</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2177</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2178</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2179</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2180</v>
      </c>
      <c r="C273" s="1843">
        <v>0.14199999999999999</v>
      </c>
      <c r="D273" s="1843">
        <v>0.14299999999999999</v>
      </c>
      <c r="E273" s="1843">
        <v>0.15</v>
      </c>
      <c r="F273" s="1844">
        <v>0.1</v>
      </c>
    </row>
    <row r="274" spans="1:6" ht="14.25" thickBot="1">
      <c r="A274" s="1838" t="s">
        <v>1415</v>
      </c>
      <c r="B274" s="1842" t="s">
        <v>2181</v>
      </c>
      <c r="C274" s="1843">
        <v>0.14799999999999999</v>
      </c>
      <c r="D274" s="1843">
        <v>0.14799999999999999</v>
      </c>
      <c r="E274" s="1843">
        <v>0.15</v>
      </c>
      <c r="F274" s="1844">
        <v>6.7000000000000004E-2</v>
      </c>
    </row>
    <row r="275" spans="1:6" ht="14.25" thickBot="1">
      <c r="A275" s="1838" t="s">
        <v>1415</v>
      </c>
      <c r="B275" s="1842" t="s">
        <v>2182</v>
      </c>
      <c r="C275" s="1843">
        <v>0.15</v>
      </c>
      <c r="D275" s="1843">
        <v>0.15</v>
      </c>
      <c r="E275" s="1843">
        <v>0.15</v>
      </c>
      <c r="F275" s="1844">
        <v>0.15</v>
      </c>
    </row>
    <row r="276" spans="1:6" ht="14.25" thickBot="1">
      <c r="A276" s="1838" t="s">
        <v>1415</v>
      </c>
      <c r="B276" s="1842" t="s">
        <v>2183</v>
      </c>
      <c r="C276" s="1843">
        <v>0.14499999999999999</v>
      </c>
      <c r="D276" s="1843">
        <v>0.14299999999999999</v>
      </c>
      <c r="E276" s="1843">
        <v>0.15</v>
      </c>
      <c r="F276" s="1844">
        <v>5.8999999999999997E-2</v>
      </c>
    </row>
    <row r="277" spans="1:6" ht="14.25" thickBot="1">
      <c r="A277" s="1838" t="s">
        <v>1415</v>
      </c>
      <c r="B277" s="1842" t="s">
        <v>2184</v>
      </c>
      <c r="C277" s="1843">
        <v>0.15</v>
      </c>
      <c r="D277" s="1843">
        <v>0.15</v>
      </c>
      <c r="E277" s="1843">
        <v>0.15</v>
      </c>
      <c r="F277" s="1844">
        <v>0.121</v>
      </c>
    </row>
    <row r="278" spans="1:6" ht="14.25" thickBot="1">
      <c r="A278" s="1838" t="s">
        <v>1415</v>
      </c>
      <c r="B278" s="1842" t="s">
        <v>2185</v>
      </c>
      <c r="C278" s="1843">
        <v>0.15</v>
      </c>
      <c r="D278" s="1843">
        <v>0.15</v>
      </c>
      <c r="E278" s="1843">
        <v>0.15</v>
      </c>
      <c r="F278" s="1844">
        <v>0.13800000000000001</v>
      </c>
    </row>
    <row r="279" spans="1:6" ht="24.75" thickBot="1">
      <c r="A279" s="1838" t="s">
        <v>1415</v>
      </c>
      <c r="B279" s="1842" t="s">
        <v>2186</v>
      </c>
      <c r="C279" s="1852"/>
      <c r="D279" s="1852"/>
      <c r="E279" s="1852"/>
      <c r="F279" s="1844">
        <v>0.05</v>
      </c>
    </row>
    <row r="280" spans="1:6" ht="24.75" thickBot="1">
      <c r="A280" s="1838" t="s">
        <v>1415</v>
      </c>
      <c r="B280" s="1842" t="s">
        <v>2187</v>
      </c>
      <c r="C280" s="1852"/>
      <c r="D280" s="1852"/>
      <c r="E280" s="1852"/>
      <c r="F280" s="1844">
        <v>0.05</v>
      </c>
    </row>
    <row r="281" spans="1:6" ht="24.75" thickBot="1">
      <c r="A281" s="1838" t="s">
        <v>1415</v>
      </c>
      <c r="B281" s="1842" t="s">
        <v>2188</v>
      </c>
      <c r="C281" s="1852"/>
      <c r="D281" s="1852"/>
      <c r="E281" s="1852"/>
      <c r="F281" s="1844">
        <v>0.05</v>
      </c>
    </row>
    <row r="282" spans="1:6" ht="24.75" thickBot="1">
      <c r="A282" s="1838" t="s">
        <v>1415</v>
      </c>
      <c r="B282" s="1842" t="s">
        <v>2189</v>
      </c>
      <c r="C282" s="1852"/>
      <c r="D282" s="1852"/>
      <c r="E282" s="1852"/>
      <c r="F282" s="1844">
        <v>0.05</v>
      </c>
    </row>
    <row r="283" spans="1:6" ht="24.75" thickBot="1">
      <c r="A283" s="1838" t="s">
        <v>1415</v>
      </c>
      <c r="B283" s="1842" t="s">
        <v>2190</v>
      </c>
      <c r="C283" s="1852"/>
      <c r="D283" s="1852"/>
      <c r="E283" s="1852"/>
      <c r="F283" s="1844">
        <v>0.05</v>
      </c>
    </row>
    <row r="284" spans="1:6" ht="24.75" thickBot="1">
      <c r="A284" s="1838" t="s">
        <v>1415</v>
      </c>
      <c r="B284" s="1842" t="s">
        <v>2191</v>
      </c>
      <c r="C284" s="1852"/>
      <c r="D284" s="1852"/>
      <c r="E284" s="1852"/>
      <c r="F284" s="1844">
        <v>0.05</v>
      </c>
    </row>
    <row r="285" spans="1:6" ht="24.75" thickBot="1">
      <c r="A285" s="1838" t="s">
        <v>1415</v>
      </c>
      <c r="B285" s="1842" t="s">
        <v>2192</v>
      </c>
      <c r="C285" s="1852"/>
      <c r="D285" s="1852"/>
      <c r="E285" s="1852"/>
      <c r="F285" s="1844">
        <v>0.05</v>
      </c>
    </row>
    <row r="286" spans="1:6" ht="24.75" thickBot="1">
      <c r="A286" s="1838" t="s">
        <v>1415</v>
      </c>
      <c r="B286" s="1842" t="s">
        <v>2193</v>
      </c>
      <c r="C286" s="1852"/>
      <c r="D286" s="1852"/>
      <c r="E286" s="1852"/>
      <c r="F286" s="1844">
        <v>0.05</v>
      </c>
    </row>
    <row r="287" spans="1:6" ht="24.75" thickBot="1">
      <c r="A287" s="1838" t="s">
        <v>1415</v>
      </c>
      <c r="B287" s="1842" t="s">
        <v>2194</v>
      </c>
      <c r="C287" s="1852"/>
      <c r="D287" s="1852"/>
      <c r="E287" s="1852"/>
      <c r="F287" s="1844">
        <v>0.05</v>
      </c>
    </row>
    <row r="288" spans="1:6" ht="24.75" thickBot="1">
      <c r="A288" s="1838" t="s">
        <v>1415</v>
      </c>
      <c r="B288" s="1842" t="s">
        <v>2195</v>
      </c>
      <c r="C288" s="1852"/>
      <c r="D288" s="1852"/>
      <c r="E288" s="1852"/>
      <c r="F288" s="1844">
        <v>0.05</v>
      </c>
    </row>
    <row r="289" spans="1:6" ht="24.75" thickBot="1">
      <c r="A289" s="1846" t="s">
        <v>1415</v>
      </c>
      <c r="B289" s="1853" t="s">
        <v>2196</v>
      </c>
      <c r="C289" s="1849"/>
      <c r="D289" s="1849"/>
      <c r="E289" s="1849"/>
      <c r="F289" s="1854">
        <v>0.05</v>
      </c>
    </row>
    <row r="290" spans="1:6" ht="14.25" thickBot="1">
      <c r="A290" s="1838" t="s">
        <v>1419</v>
      </c>
      <c r="B290" s="1839" t="s">
        <v>2197</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2198</v>
      </c>
      <c r="C292" s="1843">
        <v>0.15</v>
      </c>
      <c r="D292" s="1843">
        <v>0.15</v>
      </c>
      <c r="E292" s="1843">
        <v>0.15</v>
      </c>
      <c r="F292" s="1844">
        <v>0.14699999999999999</v>
      </c>
    </row>
    <row r="293" spans="1:6" ht="14.25" thickBot="1">
      <c r="A293" s="1838" t="s">
        <v>1419</v>
      </c>
      <c r="B293" s="1842" t="s">
        <v>2199</v>
      </c>
      <c r="C293" s="1852"/>
      <c r="D293" s="1852"/>
      <c r="E293" s="1852"/>
      <c r="F293" s="1844">
        <v>0.1</v>
      </c>
    </row>
    <row r="294" spans="1:6" ht="14.25" thickBot="1">
      <c r="A294" s="1838" t="s">
        <v>1419</v>
      </c>
      <c r="B294" s="1842" t="s">
        <v>2200</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2201</v>
      </c>
      <c r="C296" s="1843">
        <v>0.15</v>
      </c>
      <c r="D296" s="1843">
        <v>0.15</v>
      </c>
      <c r="E296" s="1843">
        <v>0.15</v>
      </c>
      <c r="F296" s="1844">
        <v>0.15</v>
      </c>
    </row>
    <row r="297" spans="1:6" ht="14.25" thickBot="1">
      <c r="A297" s="1838" t="s">
        <v>1419</v>
      </c>
      <c r="B297" s="1842" t="s">
        <v>2202</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2203</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2204</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2205</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2206</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2207</v>
      </c>
      <c r="C310" s="1843">
        <v>0.15</v>
      </c>
      <c r="D310" s="1843">
        <v>0.15</v>
      </c>
      <c r="E310" s="1843">
        <v>0.15</v>
      </c>
      <c r="F310" s="1844">
        <v>0.13700000000000001</v>
      </c>
    </row>
    <row r="311" spans="1:6" ht="14.25" thickBot="1">
      <c r="A311" s="1838" t="s">
        <v>1419</v>
      </c>
      <c r="B311" s="1842" t="s">
        <v>2208</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2209</v>
      </c>
      <c r="C313" s="1843">
        <v>0.15</v>
      </c>
      <c r="D313" s="1843">
        <v>0.15</v>
      </c>
      <c r="E313" s="1843">
        <v>0.15</v>
      </c>
      <c r="F313" s="1844">
        <v>0.15</v>
      </c>
    </row>
    <row r="314" spans="1:6" ht="24.75" thickBot="1">
      <c r="A314" s="1838" t="s">
        <v>1419</v>
      </c>
      <c r="B314" s="1842" t="s">
        <v>2210</v>
      </c>
      <c r="C314" s="1852"/>
      <c r="D314" s="1852"/>
      <c r="E314" s="1852"/>
      <c r="F314" s="1844">
        <v>0.05</v>
      </c>
    </row>
    <row r="315" spans="1:6" ht="24.75" thickBot="1">
      <c r="A315" s="1838" t="s">
        <v>1419</v>
      </c>
      <c r="B315" s="1842" t="s">
        <v>2211</v>
      </c>
      <c r="C315" s="1852"/>
      <c r="D315" s="1852"/>
      <c r="E315" s="1852"/>
      <c r="F315" s="1844">
        <v>0.05</v>
      </c>
    </row>
    <row r="316" spans="1:6" ht="24.75" thickBot="1">
      <c r="A316" s="1846" t="s">
        <v>1419</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1107</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1176</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1196</v>
      </c>
      <c r="C328" s="1843">
        <v>0.15</v>
      </c>
      <c r="D328" s="1843">
        <v>0.15</v>
      </c>
      <c r="E328" s="1843">
        <v>0.15</v>
      </c>
      <c r="F328" s="1844">
        <v>0.14099999999999999</v>
      </c>
    </row>
    <row r="329" spans="1:6" ht="14.25" thickBot="1">
      <c r="A329" s="1838" t="s">
        <v>2213</v>
      </c>
      <c r="B329" s="1842" t="s">
        <v>1206</v>
      </c>
      <c r="C329" s="1843">
        <v>0.15</v>
      </c>
      <c r="D329" s="1843">
        <v>0.15</v>
      </c>
      <c r="E329" s="1843">
        <v>0.15</v>
      </c>
      <c r="F329" s="1844">
        <v>0.15</v>
      </c>
    </row>
    <row r="330" spans="1:6" ht="14.25" thickBot="1">
      <c r="A330" s="1838" t="s">
        <v>2213</v>
      </c>
      <c r="B330" s="1842" t="s">
        <v>1216</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1236</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1256</v>
      </c>
      <c r="C334" s="1843">
        <v>0.15</v>
      </c>
      <c r="D334" s="1843">
        <v>0.15</v>
      </c>
      <c r="E334" s="1843">
        <v>0.15</v>
      </c>
      <c r="F334" s="1844">
        <v>0.15</v>
      </c>
    </row>
    <row r="335" spans="1:6" ht="14.25" thickBot="1">
      <c r="A335" s="1838" t="s">
        <v>2213</v>
      </c>
      <c r="B335" s="1842" t="s">
        <v>1266</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1284</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A4" sqref="A4"/>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75" t="s">
        <v>2571</v>
      </c>
      <c r="C1" s="3475"/>
      <c r="D1" s="3475"/>
      <c r="E1" s="3475"/>
      <c r="F1" s="3475"/>
      <c r="G1" s="3474" t="s">
        <v>2572</v>
      </c>
      <c r="H1" s="3474"/>
      <c r="I1" s="3474"/>
      <c r="J1" s="3474"/>
      <c r="K1" s="3474"/>
      <c r="L1" s="3474"/>
      <c r="N1" s="3474" t="s">
        <v>2573</v>
      </c>
      <c r="O1" s="3474"/>
      <c r="P1" s="3474"/>
      <c r="Q1" s="3474"/>
      <c r="R1" s="2616"/>
      <c r="S1" s="3474" t="s">
        <v>2574</v>
      </c>
      <c r="T1" s="3474"/>
      <c r="U1" s="3474"/>
      <c r="V1" s="3474"/>
      <c r="X1" s="3473" t="s">
        <v>2634</v>
      </c>
      <c r="Y1" s="3474"/>
      <c r="Z1" s="3474"/>
      <c r="AA1" s="3474"/>
      <c r="AB1" s="3474"/>
      <c r="AD1" s="3473" t="s">
        <v>2638</v>
      </c>
      <c r="AE1" s="3474"/>
      <c r="AF1" s="3474"/>
      <c r="AG1" s="3474"/>
      <c r="AH1" s="3474"/>
    </row>
    <row r="2" spans="1:34" s="2717" customFormat="1" ht="14.25" thickBot="1">
      <c r="B2" s="2725" t="s">
        <v>2575</v>
      </c>
      <c r="C2" s="2725" t="s">
        <v>2636</v>
      </c>
      <c r="D2" s="2718" t="s">
        <v>1644</v>
      </c>
      <c r="E2" s="2718" t="s">
        <v>1947</v>
      </c>
      <c r="F2" s="2725" t="s">
        <v>2637</v>
      </c>
      <c r="G2" s="2721"/>
      <c r="H2" s="2720"/>
      <c r="I2" s="2725" t="s">
        <v>2948</v>
      </c>
      <c r="J2" s="2718" t="s">
        <v>2950</v>
      </c>
      <c r="K2" s="2718" t="s">
        <v>2951</v>
      </c>
      <c r="L2" s="2725" t="s">
        <v>2952</v>
      </c>
      <c r="N2" s="2725" t="s">
        <v>2575</v>
      </c>
      <c r="O2" s="2718" t="s">
        <v>2949</v>
      </c>
      <c r="P2" s="2718" t="s">
        <v>1947</v>
      </c>
      <c r="Q2" s="2725" t="s">
        <v>2637</v>
      </c>
      <c r="R2" s="2719"/>
      <c r="S2" s="2725" t="s">
        <v>2575</v>
      </c>
      <c r="T2" s="2718" t="s">
        <v>2949</v>
      </c>
      <c r="U2" s="2718" t="s">
        <v>1947</v>
      </c>
      <c r="V2" s="2725" t="s">
        <v>2637</v>
      </c>
      <c r="X2" s="2725" t="s">
        <v>2575</v>
      </c>
      <c r="Y2" s="2725" t="s">
        <v>2636</v>
      </c>
      <c r="Z2" s="2718" t="s">
        <v>1644</v>
      </c>
      <c r="AA2" s="2718" t="s">
        <v>1947</v>
      </c>
      <c r="AB2" s="2725" t="s">
        <v>2637</v>
      </c>
      <c r="AD2" s="2725" t="s">
        <v>2575</v>
      </c>
      <c r="AE2" s="2725" t="s">
        <v>2636</v>
      </c>
      <c r="AF2" s="2718" t="s">
        <v>1644</v>
      </c>
      <c r="AG2" s="2718" t="s">
        <v>1947</v>
      </c>
      <c r="AH2" s="2725" t="s">
        <v>2637</v>
      </c>
    </row>
    <row r="3" spans="1:34" s="3079" customFormat="1" ht="14.25">
      <c r="A3" s="3091" t="s">
        <v>2961</v>
      </c>
      <c r="B3" s="3080"/>
      <c r="C3" s="3080"/>
      <c r="D3" s="3081"/>
      <c r="E3" s="3081"/>
      <c r="F3" s="3080"/>
      <c r="G3" s="3082"/>
      <c r="H3" s="3083"/>
      <c r="I3" s="3090">
        <f>ROUND(AVERAGE($I4:$I30),2)</f>
        <v>1.85</v>
      </c>
      <c r="J3" s="3090">
        <f>ROUND(AVERAGE($J4:$J30),2)</f>
        <v>1.28</v>
      </c>
      <c r="K3" s="3090">
        <f>ROUND(AVERAGE($K4:$K30),2)</f>
        <v>2.0299999999999998</v>
      </c>
      <c r="L3" s="3090">
        <f>ROUND(AVERAGE($L4:$L30),2)</f>
        <v>1.31</v>
      </c>
      <c r="N3" s="3082"/>
      <c r="O3" s="3084"/>
      <c r="P3" s="3084"/>
      <c r="Q3" s="3084"/>
      <c r="R3" s="3084"/>
      <c r="S3" s="3082"/>
      <c r="T3" s="3084"/>
      <c r="U3" s="3084"/>
      <c r="V3" s="3084"/>
      <c r="W3" s="3087"/>
      <c r="X3" s="3085">
        <f>ROUND(SUMPRODUCT(PRODUCT(1+N3:N$29)),4)</f>
        <v>1.5605</v>
      </c>
      <c r="Y3" s="3085">
        <f>ROUND(SUMPRODUCT(PRODUCT(1+O3:O$29)),4)</f>
        <v>1.3577999999999999</v>
      </c>
      <c r="Z3" s="3085">
        <f t="shared" ref="Z3:Z27" si="0">Y3</f>
        <v>1.3577999999999999</v>
      </c>
      <c r="AA3" s="3085">
        <f>ROUND(SUMPRODUCT(PRODUCT(1+P3:P$29)),4)</f>
        <v>1.6254999999999999</v>
      </c>
      <c r="AB3" s="3085">
        <f>ROUND(SUMPRODUCT(PRODUCT(1+Q3:Q$29)),4)</f>
        <v>1.3815999999999999</v>
      </c>
      <c r="AD3" s="3086">
        <f>ROUND(AVERAGE(I3:I$30)/100,4)</f>
        <v>1.8499999999999999E-2</v>
      </c>
      <c r="AE3" s="3086">
        <f>ROUND(AVERAGE(J3:J$30)/100,4)</f>
        <v>1.2800000000000001E-2</v>
      </c>
      <c r="AF3" s="3086">
        <f t="shared" ref="AF3:AF28" si="1">AE3</f>
        <v>1.2800000000000001E-2</v>
      </c>
      <c r="AG3" s="3086">
        <f>ROUND(AVERAGE(K3:K$30)/100,4)</f>
        <v>2.0299999999999999E-2</v>
      </c>
      <c r="AH3" s="3086">
        <f>ROUND(AVERAGE(L3:L$30)/100,4)</f>
        <v>1.3100000000000001E-2</v>
      </c>
    </row>
    <row r="4" spans="1:34" s="2710" customFormat="1" ht="14.25">
      <c r="B4" s="2711"/>
      <c r="C4" s="2711"/>
      <c r="D4" s="2712"/>
      <c r="E4" s="2712"/>
      <c r="F4" s="2711"/>
      <c r="G4" s="2716"/>
      <c r="H4" s="2713"/>
      <c r="I4" s="3075"/>
      <c r="J4" s="3075"/>
      <c r="K4" s="3075"/>
      <c r="L4" s="3075"/>
      <c r="N4" s="2716"/>
      <c r="O4" s="2714"/>
      <c r="P4" s="2714"/>
      <c r="Q4" s="2714"/>
      <c r="R4" s="2714"/>
      <c r="S4" s="2716"/>
      <c r="T4" s="2714"/>
      <c r="U4" s="2714"/>
      <c r="V4" s="2714"/>
      <c r="W4" s="3088"/>
      <c r="X4" s="2715"/>
      <c r="Y4" s="2715"/>
      <c r="Z4" s="2715"/>
      <c r="AA4" s="2715"/>
      <c r="AB4" s="2715"/>
      <c r="AD4" s="2635"/>
      <c r="AE4" s="2635"/>
      <c r="AF4" s="2635"/>
      <c r="AG4" s="2635"/>
      <c r="AH4" s="2635"/>
    </row>
    <row r="5" spans="1:34" s="3063" customFormat="1">
      <c r="A5" s="3061" t="s">
        <v>2991</v>
      </c>
      <c r="B5" s="2749">
        <f t="shared" ref="B5" si="2">B6*(1+N5)</f>
        <v>479.92259063878413</v>
      </c>
      <c r="C5" s="2749">
        <f t="shared" ref="C5" si="3">C6*(1+O5)</f>
        <v>350.02082268341775</v>
      </c>
      <c r="D5" s="2749">
        <f t="shared" ref="D5" si="4">C5</f>
        <v>350.02082268341775</v>
      </c>
      <c r="E5" s="2749">
        <f t="shared" ref="E5" si="5">E6*(1+P5)</f>
        <v>687.42265944181099</v>
      </c>
      <c r="F5" s="2749">
        <f t="shared" ref="F5" si="6">F6*(1+Q5)</f>
        <v>317.63846657708956</v>
      </c>
      <c r="G5" s="2716">
        <v>2020</v>
      </c>
      <c r="H5" s="3062">
        <v>2</v>
      </c>
      <c r="I5" s="3076">
        <v>0</v>
      </c>
      <c r="J5" s="3076">
        <v>0</v>
      </c>
      <c r="K5" s="3076">
        <v>0</v>
      </c>
      <c r="L5" s="3076">
        <v>0</v>
      </c>
      <c r="N5" s="2723">
        <f t="shared" ref="N5" si="7">I5/100</f>
        <v>0</v>
      </c>
      <c r="O5" s="2723">
        <f t="shared" ref="O5" si="8">J5/100</f>
        <v>0</v>
      </c>
      <c r="P5" s="2723">
        <f t="shared" ref="P5" si="9">K5/100</f>
        <v>0</v>
      </c>
      <c r="Q5" s="2723">
        <f t="shared" ref="Q5" si="10">L5/100</f>
        <v>0</v>
      </c>
      <c r="R5" s="3064"/>
      <c r="S5" s="3065"/>
      <c r="T5" s="3064"/>
      <c r="U5" s="3064"/>
      <c r="V5" s="3064"/>
      <c r="W5" s="3089" t="s">
        <v>2962</v>
      </c>
      <c r="X5" s="3066">
        <f>ROUND(IF(项目基本情况!B8="出让",SUMPRODUCT(PRODUCT(1+N5:N$30)),SUMPRODUCT(PRODUCT(1+N5:N$29))),4)</f>
        <v>1.5605</v>
      </c>
      <c r="Y5" s="3066">
        <f>ROUND(IF(项目基本情况!B8="出让",SUMPRODUCT(PRODUCT(1+O5:O$30)),SUMPRODUCT(PRODUCT(1+O5:O$29))),4)</f>
        <v>1.3577999999999999</v>
      </c>
      <c r="Z5" s="3066">
        <f t="shared" ref="Z5" si="11">Y5</f>
        <v>1.3577999999999999</v>
      </c>
      <c r="AA5" s="3066">
        <f>ROUND(IF(项目基本情况!B8="出让",SUMPRODUCT(PRODUCT(1+P5:P$30)),SUMPRODUCT(PRODUCT(1+P5:P$29))),4)</f>
        <v>1.6254999999999999</v>
      </c>
      <c r="AB5" s="3066">
        <f>ROUND(IF(项目基本情况!B8="出让",SUMPRODUCT(PRODUCT(1+Q5:Q$30)),SUMPRODUCT(PRODUCT(1+Q5:Q$29))),4)</f>
        <v>1.3815999999999999</v>
      </c>
      <c r="AD5" s="3067">
        <f>ROUND(AVERAGE(I5:I$30)/100,4)</f>
        <v>1.8499999999999999E-2</v>
      </c>
      <c r="AE5" s="3067">
        <f>ROUND(AVERAGE(J5:J$30)/100,4)</f>
        <v>1.2800000000000001E-2</v>
      </c>
      <c r="AF5" s="3067">
        <f t="shared" ref="AF5" si="12">AE5</f>
        <v>1.2800000000000001E-2</v>
      </c>
      <c r="AG5" s="3067">
        <f>ROUND(AVERAGE(K5:K$30)/100,4)</f>
        <v>2.0299999999999999E-2</v>
      </c>
      <c r="AH5" s="3067">
        <f>ROUND(AVERAGE(L5:L$30)/100,4)</f>
        <v>1.3100000000000001E-2</v>
      </c>
    </row>
    <row r="6" spans="1:34" s="2722" customFormat="1">
      <c r="A6" s="2617" t="s">
        <v>2990</v>
      </c>
      <c r="B6" s="2630">
        <f t="shared" ref="B6" si="13">B7*(1+N6)</f>
        <v>479.92259063878413</v>
      </c>
      <c r="C6" s="2630">
        <f t="shared" ref="C6" si="14">C7*(1+O6)</f>
        <v>350.02082268341775</v>
      </c>
      <c r="D6" s="2630">
        <f t="shared" ref="D6" si="15">C6</f>
        <v>350.02082268341775</v>
      </c>
      <c r="E6" s="2630">
        <f t="shared" ref="E6" si="16">E7*(1+P6)</f>
        <v>687.42265944181099</v>
      </c>
      <c r="F6" s="2630">
        <f t="shared" ref="F6" si="17">F7*(1+Q6)</f>
        <v>317.63846657708956</v>
      </c>
      <c r="G6" s="2716">
        <v>2020</v>
      </c>
      <c r="H6" s="2620">
        <v>1</v>
      </c>
      <c r="I6" s="3178">
        <v>0.12</v>
      </c>
      <c r="J6" s="3178">
        <v>-0.4</v>
      </c>
      <c r="K6" s="3178">
        <v>0.21</v>
      </c>
      <c r="L6" s="3179">
        <v>0.27</v>
      </c>
      <c r="M6" s="2624"/>
      <c r="N6" s="2625">
        <f t="shared" ref="N6" si="18">I6/100</f>
        <v>1.1999999999999999E-3</v>
      </c>
      <c r="O6" s="2626">
        <f t="shared" ref="O6" si="19">J6/100</f>
        <v>-4.0000000000000001E-3</v>
      </c>
      <c r="P6" s="2626">
        <f t="shared" ref="P6" si="20">K6/100</f>
        <v>2.0999999999999999E-3</v>
      </c>
      <c r="Q6" s="2626">
        <f t="shared" ref="Q6" si="21">L6/100</f>
        <v>2.7000000000000001E-3</v>
      </c>
      <c r="R6" s="2627"/>
      <c r="S6" s="2633">
        <f>B6/B7-1</f>
        <v>1.2000000000000899E-3</v>
      </c>
      <c r="T6" s="2634">
        <f>C6/C7-1</f>
        <v>-4.0000000000000036E-3</v>
      </c>
      <c r="U6" s="2634">
        <f>E6/E7-1</f>
        <v>2.0999999999999908E-3</v>
      </c>
      <c r="V6" s="2634">
        <f>F6/F7-1</f>
        <v>2.6999999999999247E-3</v>
      </c>
      <c r="W6" s="2624"/>
      <c r="X6" s="2715">
        <f>ROUND(IF(项目基本情况!B8="出让",SUMPRODUCT(PRODUCT(1+N6:N$30)),SUMPRODUCT(PRODUCT(1+N6:N$29))),4)</f>
        <v>1.5605</v>
      </c>
      <c r="Y6" s="2715">
        <f>ROUND(IF(项目基本情况!B8="出让",SUMPRODUCT(PRODUCT(1+O6:O$30)),SUMPRODUCT(PRODUCT(1+O6:O$29))),4)</f>
        <v>1.3577999999999999</v>
      </c>
      <c r="Z6" s="2715">
        <f t="shared" ref="Z6" si="22">Y6</f>
        <v>1.3577999999999999</v>
      </c>
      <c r="AA6" s="2715">
        <f>ROUND(IF(项目基本情况!B8="出让",SUMPRODUCT(PRODUCT(1+P6:P$30)),SUMPRODUCT(PRODUCT(1+P6:P$29))),4)</f>
        <v>1.6254999999999999</v>
      </c>
      <c r="AB6" s="2715">
        <f>ROUND(IF(项目基本情况!B8="出让",SUMPRODUCT(PRODUCT(1+Q6:Q$30)),SUMPRODUCT(PRODUCT(1+Q6:Q$29))),4)</f>
        <v>1.3815999999999999</v>
      </c>
      <c r="AC6" s="2624"/>
      <c r="AD6" s="2635">
        <f>ROUND(AVERAGE(I6:I$30)/100,4)</f>
        <v>1.9199999999999998E-2</v>
      </c>
      <c r="AE6" s="2635">
        <f>ROUND(AVERAGE(J6:J$30)/100,4)</f>
        <v>1.3299999999999999E-2</v>
      </c>
      <c r="AF6" s="2635">
        <f t="shared" ref="AF6" si="23">AE6</f>
        <v>1.3299999999999999E-2</v>
      </c>
      <c r="AG6" s="2635">
        <f>ROUND(AVERAGE(K6:K$30)/100,4)</f>
        <v>2.1100000000000001E-2</v>
      </c>
      <c r="AH6" s="2635">
        <f>ROUND(AVERAGE(L6:L$30)/100,4)</f>
        <v>1.3599999999999999E-2</v>
      </c>
    </row>
    <row r="7" spans="1:34" s="2722" customFormat="1">
      <c r="A7" s="2617" t="s">
        <v>2986</v>
      </c>
      <c r="B7" s="2630">
        <f t="shared" ref="B7" si="24">B8*(1+N7)</f>
        <v>479.34737379023579</v>
      </c>
      <c r="C7" s="2630">
        <f t="shared" ref="C7" si="25">C8*(1+O7)</f>
        <v>351.4265287986122</v>
      </c>
      <c r="D7" s="2630">
        <f t="shared" ref="D7" si="26">C7</f>
        <v>351.4265287986122</v>
      </c>
      <c r="E7" s="2630">
        <f t="shared" ref="E7" si="27">E8*(1+P7)</f>
        <v>685.98209703803116</v>
      </c>
      <c r="F7" s="2630">
        <f t="shared" ref="F7" si="28">F8*(1+Q7)</f>
        <v>316.78315206651001</v>
      </c>
      <c r="G7" s="2716">
        <v>2019</v>
      </c>
      <c r="H7" s="2620">
        <v>4</v>
      </c>
      <c r="I7" s="2620">
        <v>0.45</v>
      </c>
      <c r="J7" s="2620">
        <v>-0.12</v>
      </c>
      <c r="K7" s="2620">
        <v>0.54</v>
      </c>
      <c r="L7" s="2631">
        <v>0.48</v>
      </c>
      <c r="M7" s="2624"/>
      <c r="N7" s="2625">
        <f t="shared" ref="N7" si="29">I7/100</f>
        <v>4.5000000000000005E-3</v>
      </c>
      <c r="O7" s="2626">
        <f t="shared" ref="O7" si="30">J7/100</f>
        <v>-1.1999999999999999E-3</v>
      </c>
      <c r="P7" s="2626">
        <f t="shared" ref="P7" si="31">K7/100</f>
        <v>5.4000000000000003E-3</v>
      </c>
      <c r="Q7" s="2626">
        <f t="shared" ref="Q7" si="32">L7/100</f>
        <v>4.7999999999999996E-3</v>
      </c>
      <c r="R7" s="2627"/>
      <c r="S7" s="2633"/>
      <c r="T7" s="2634"/>
      <c r="U7" s="2634"/>
      <c r="V7" s="2634"/>
      <c r="W7" s="2624"/>
      <c r="X7" s="2715">
        <f>ROUND(IF(项目基本情况!B8="出让",SUMPRODUCT(PRODUCT(1+N7:N$30)),SUMPRODUCT(PRODUCT(1+N7:N$29))),4)</f>
        <v>1.5586</v>
      </c>
      <c r="Y7" s="2715">
        <f>ROUND(IF(项目基本情况!B8="出让",SUMPRODUCT(PRODUCT(1+O7:O$30)),SUMPRODUCT(PRODUCT(1+O7:O$29))),4)</f>
        <v>1.3633</v>
      </c>
      <c r="Z7" s="2715">
        <f t="shared" ref="Z7" si="33">Y7</f>
        <v>1.3633</v>
      </c>
      <c r="AA7" s="2715">
        <f>ROUND(IF(项目基本情况!B8="出让",SUMPRODUCT(PRODUCT(1+P7:P$30)),SUMPRODUCT(PRODUCT(1+P7:P$29))),4)</f>
        <v>1.6221000000000001</v>
      </c>
      <c r="AB7" s="2715">
        <f>ROUND(IF(项目基本情况!B8="出让",SUMPRODUCT(PRODUCT(1+Q7:Q$30)),SUMPRODUCT(PRODUCT(1+Q7:Q$29))),4)</f>
        <v>1.3777999999999999</v>
      </c>
      <c r="AC7" s="2624"/>
      <c r="AD7" s="2635">
        <f>ROUND(AVERAGE(I7:I$30)/100,4)</f>
        <v>0.02</v>
      </c>
      <c r="AE7" s="2635">
        <f>ROUND(AVERAGE(J7:J$30)/100,4)</f>
        <v>1.4E-2</v>
      </c>
      <c r="AF7" s="2635">
        <f t="shared" ref="AF7" si="34">AE7</f>
        <v>1.4E-2</v>
      </c>
      <c r="AG7" s="2635">
        <f>ROUND(AVERAGE(K7:K$30)/100,4)</f>
        <v>2.1899999999999999E-2</v>
      </c>
      <c r="AH7" s="2635">
        <f>ROUND(AVERAGE(L7:L$30)/100,4)</f>
        <v>1.4E-2</v>
      </c>
    </row>
    <row r="8" spans="1:34" s="2722" customFormat="1" ht="13.5" thickBot="1">
      <c r="A8" s="2617" t="s">
        <v>2985</v>
      </c>
      <c r="B8" s="2630">
        <f t="shared" ref="B8" si="35">B9*(1+N8)</f>
        <v>477.19997390765138</v>
      </c>
      <c r="C8" s="2630">
        <f t="shared" ref="C8" si="36">C9*(1+O8)</f>
        <v>351.84874729536665</v>
      </c>
      <c r="D8" s="2630">
        <f t="shared" ref="D8" si="37">C8</f>
        <v>351.84874729536665</v>
      </c>
      <c r="E8" s="2630">
        <f t="shared" ref="E8" si="38">E9*(1+P8)</f>
        <v>682.29768951465201</v>
      </c>
      <c r="F8" s="2630">
        <f t="shared" ref="F8" si="39">F9*(1+Q8)</f>
        <v>315.26985675409043</v>
      </c>
      <c r="G8" s="2716">
        <v>2019</v>
      </c>
      <c r="H8" s="2620">
        <v>3</v>
      </c>
      <c r="I8" s="2620">
        <v>0.61</v>
      </c>
      <c r="J8" s="2620">
        <v>0.67</v>
      </c>
      <c r="K8" s="2620">
        <v>0.6</v>
      </c>
      <c r="L8" s="2631">
        <v>1.03</v>
      </c>
      <c r="M8" s="2624"/>
      <c r="N8" s="2625">
        <f t="shared" ref="N8" si="40">I8/100</f>
        <v>6.0999999999999995E-3</v>
      </c>
      <c r="O8" s="2626">
        <f t="shared" ref="O8" si="41">J8/100</f>
        <v>6.7000000000000002E-3</v>
      </c>
      <c r="P8" s="2626">
        <f t="shared" ref="P8" si="42">K8/100</f>
        <v>6.0000000000000001E-3</v>
      </c>
      <c r="Q8" s="2626">
        <f t="shared" ref="Q8" si="43">L8/100</f>
        <v>1.03E-2</v>
      </c>
      <c r="R8" s="2627"/>
      <c r="S8" s="2633"/>
      <c r="T8" s="2634"/>
      <c r="U8" s="2634"/>
      <c r="V8" s="2634"/>
      <c r="W8" s="2624"/>
      <c r="X8" s="2715">
        <f>ROUND(IF(项目基本情况!B8="出让",SUMPRODUCT(PRODUCT(1+N8:N$30)),SUMPRODUCT(PRODUCT(1+N8:N$29))),4)</f>
        <v>1.5516000000000001</v>
      </c>
      <c r="Y8" s="2715">
        <f>ROUND(IF(项目基本情况!B8="出让",SUMPRODUCT(PRODUCT(1+O8:O$30)),SUMPRODUCT(PRODUCT(1+O8:O$29))),4)</f>
        <v>1.3649</v>
      </c>
      <c r="Z8" s="2715">
        <f t="shared" ref="Z8" si="44">Y8</f>
        <v>1.3649</v>
      </c>
      <c r="AA8" s="2715">
        <f>ROUND(IF(项目基本情况!B8="出让",SUMPRODUCT(PRODUCT(1+P8:P$30)),SUMPRODUCT(PRODUCT(1+P8:P$29))),4)</f>
        <v>1.6133999999999999</v>
      </c>
      <c r="AB8" s="2715">
        <f>ROUND(IF(项目基本情况!B8="出让",SUMPRODUCT(PRODUCT(1+Q8:Q$30)),SUMPRODUCT(PRODUCT(1+Q8:Q$29))),4)</f>
        <v>1.3713</v>
      </c>
      <c r="AC8" s="2624"/>
      <c r="AD8" s="2635">
        <f>ROUND(AVERAGE(I8:I$30)/100,4)</f>
        <v>2.07E-2</v>
      </c>
      <c r="AE8" s="2635">
        <f>ROUND(AVERAGE(J8:J$30)/100,4)</f>
        <v>1.47E-2</v>
      </c>
      <c r="AF8" s="2635">
        <f t="shared" ref="AF8" si="45">AE8</f>
        <v>1.47E-2</v>
      </c>
      <c r="AG8" s="2635">
        <f>ROUND(AVERAGE(K8:K$30)/100,4)</f>
        <v>2.2599999999999999E-2</v>
      </c>
      <c r="AH8" s="2635">
        <f>ROUND(AVERAGE(L8:L$30)/100,4)</f>
        <v>1.44E-2</v>
      </c>
    </row>
    <row r="9" spans="1:34" s="2722" customFormat="1">
      <c r="A9" s="2617" t="s">
        <v>2982</v>
      </c>
      <c r="B9" s="2630">
        <f t="shared" ref="B9:B14" si="46">B10*(1+N9)</f>
        <v>474.30670301923408</v>
      </c>
      <c r="C9" s="2630">
        <f t="shared" ref="C9" si="47">C10*(1+O9)</f>
        <v>349.50705005996491</v>
      </c>
      <c r="D9" s="2630">
        <f t="shared" ref="D9" si="48">C9</f>
        <v>349.50705005996491</v>
      </c>
      <c r="E9" s="2630">
        <f t="shared" ref="E9" si="49">E10*(1+P9)</f>
        <v>678.22831959706957</v>
      </c>
      <c r="F9" s="2630">
        <f t="shared" ref="F9" si="50">F10*(1+Q9)</f>
        <v>312.0556832169558</v>
      </c>
      <c r="G9" s="2716">
        <v>2019</v>
      </c>
      <c r="H9" s="2618">
        <v>2</v>
      </c>
      <c r="I9" s="2618">
        <v>1.53</v>
      </c>
      <c r="J9" s="2618">
        <v>1.01</v>
      </c>
      <c r="K9" s="2618">
        <v>1.62</v>
      </c>
      <c r="L9" s="2619">
        <v>1.25</v>
      </c>
      <c r="M9" s="2624"/>
      <c r="N9" s="2625">
        <f t="shared" ref="N9" si="51">I9/100</f>
        <v>1.5300000000000001E-2</v>
      </c>
      <c r="O9" s="2626">
        <f t="shared" ref="O9" si="52">J9/100</f>
        <v>1.01E-2</v>
      </c>
      <c r="P9" s="2626">
        <f t="shared" ref="P9" si="53">K9/100</f>
        <v>1.6200000000000003E-2</v>
      </c>
      <c r="Q9" s="2626">
        <f t="shared" ref="Q9" si="54">L9/100</f>
        <v>1.2500000000000001E-2</v>
      </c>
      <c r="R9" s="2627"/>
      <c r="S9" s="2633"/>
      <c r="T9" s="2634"/>
      <c r="U9" s="2634"/>
      <c r="V9" s="2634"/>
      <c r="W9" s="2624"/>
      <c r="X9" s="2715">
        <f>ROUND(IF(项目基本情况!B8="出让",SUMPRODUCT(PRODUCT(1+N9:N$30)),SUMPRODUCT(PRODUCT(1+N9:N$29))),4)</f>
        <v>1.5422</v>
      </c>
      <c r="Y9" s="2715">
        <f>ROUND(IF(项目基本情况!B8="出让",SUMPRODUCT(PRODUCT(1+O9:O$30)),SUMPRODUCT(PRODUCT(1+O9:O$29))),4)</f>
        <v>1.3557999999999999</v>
      </c>
      <c r="Z9" s="2715">
        <f t="shared" ref="Z9" si="55">Y9</f>
        <v>1.3557999999999999</v>
      </c>
      <c r="AA9" s="2715">
        <f>ROUND(IF(项目基本情况!B8="出让",SUMPRODUCT(PRODUCT(1+P9:P$30)),SUMPRODUCT(PRODUCT(1+P9:P$29))),4)</f>
        <v>1.6036999999999999</v>
      </c>
      <c r="AB9" s="2715">
        <f>ROUND(IF(项目基本情况!B8="出让",SUMPRODUCT(PRODUCT(1+Q9:Q$30)),SUMPRODUCT(PRODUCT(1+Q9:Q$29))),4)</f>
        <v>1.3573</v>
      </c>
      <c r="AC9" s="2624"/>
      <c r="AD9" s="2635">
        <f>ROUND(AVERAGE(I9:I$30)/100,4)</f>
        <v>2.1299999999999999E-2</v>
      </c>
      <c r="AE9" s="2635">
        <f>ROUND(AVERAGE(J9:J$30)/100,4)</f>
        <v>1.4999999999999999E-2</v>
      </c>
      <c r="AF9" s="2635">
        <f t="shared" ref="AF9" si="56">AE9</f>
        <v>1.4999999999999999E-2</v>
      </c>
      <c r="AG9" s="2635">
        <f>ROUND(AVERAGE(K9:K$30)/100,4)</f>
        <v>2.3300000000000001E-2</v>
      </c>
      <c r="AH9" s="2635">
        <f>ROUND(AVERAGE(L9:L$30)/100,4)</f>
        <v>1.46E-2</v>
      </c>
    </row>
    <row r="10" spans="1:34" s="2722" customFormat="1" ht="13.5" thickBot="1">
      <c r="A10" s="2617" t="s">
        <v>2981</v>
      </c>
      <c r="B10" s="2630">
        <f t="shared" si="46"/>
        <v>467.15916775261894</v>
      </c>
      <c r="C10" s="2630">
        <f t="shared" ref="C10" si="57">C11*(1+O10)</f>
        <v>346.01232557169084</v>
      </c>
      <c r="D10" s="2630">
        <f t="shared" ref="D10" si="58">C10</f>
        <v>346.01232557169084</v>
      </c>
      <c r="E10" s="2630">
        <f t="shared" ref="E10" si="59">E11*(1+P10)</f>
        <v>667.41617752122568</v>
      </c>
      <c r="F10" s="2630">
        <f t="shared" ref="F10" si="60">F11*(1+Q10)</f>
        <v>308.20314391798104</v>
      </c>
      <c r="G10" s="2716">
        <v>2019</v>
      </c>
      <c r="H10" s="2620">
        <v>1</v>
      </c>
      <c r="I10" s="2620">
        <v>0.6</v>
      </c>
      <c r="J10" s="2620">
        <v>0.37</v>
      </c>
      <c r="K10" s="2620">
        <v>0.63</v>
      </c>
      <c r="L10" s="2631">
        <v>1.1299999999999999</v>
      </c>
      <c r="M10" s="2624"/>
      <c r="N10" s="2625">
        <f t="shared" ref="N10" si="61">I10/100</f>
        <v>6.0000000000000001E-3</v>
      </c>
      <c r="O10" s="2626">
        <f t="shared" ref="O10" si="62">J10/100</f>
        <v>3.7000000000000002E-3</v>
      </c>
      <c r="P10" s="2626">
        <f t="shared" ref="P10" si="63">K10/100</f>
        <v>6.3E-3</v>
      </c>
      <c r="Q10" s="2626">
        <f t="shared" ref="Q10" si="64">L10/100</f>
        <v>1.1299999999999999E-2</v>
      </c>
      <c r="R10" s="2627"/>
      <c r="S10" s="2633">
        <f>B10/B11-1</f>
        <v>6.0000000000000053E-3</v>
      </c>
      <c r="T10" s="2634">
        <f>C10/C11-1</f>
        <v>3.7000000000000366E-3</v>
      </c>
      <c r="U10" s="2634">
        <f>E10/E11-1</f>
        <v>6.2999999999999723E-3</v>
      </c>
      <c r="V10" s="2634">
        <f>F10/F11-1</f>
        <v>1.1300000000000088E-2</v>
      </c>
      <c r="W10" s="2624"/>
      <c r="X10" s="2715">
        <f>ROUND(IF(项目基本情况!B8="出让",SUMPRODUCT(PRODUCT(1+N10:N$30)),SUMPRODUCT(PRODUCT(1+N10:N$29))),4)</f>
        <v>1.5189999999999999</v>
      </c>
      <c r="Y10" s="2715">
        <f>ROUND(IF(项目基本情况!B8="出让",SUMPRODUCT(PRODUCT(1+O10:O$30)),SUMPRODUCT(PRODUCT(1+O10:O$29))),4)</f>
        <v>1.3423</v>
      </c>
      <c r="Z10" s="2715">
        <f t="shared" ref="Z10" si="65">Y10</f>
        <v>1.3423</v>
      </c>
      <c r="AA10" s="2715">
        <f>ROUND(IF(项目基本情况!B8="出让",SUMPRODUCT(PRODUCT(1+P10:P$30)),SUMPRODUCT(PRODUCT(1+P10:P$29))),4)</f>
        <v>1.5782</v>
      </c>
      <c r="AB10" s="2715">
        <f>ROUND(IF(项目基本情况!B8="出让",SUMPRODUCT(PRODUCT(1+Q10:Q$30)),SUMPRODUCT(PRODUCT(1+Q10:Q$29))),4)</f>
        <v>1.3405</v>
      </c>
      <c r="AC10" s="2624"/>
      <c r="AD10" s="2635">
        <f>ROUND(AVERAGE(I10:I$30)/100,4)</f>
        <v>2.1600000000000001E-2</v>
      </c>
      <c r="AE10" s="2635">
        <f>ROUND(AVERAGE(J10:J$30)/100,4)</f>
        <v>1.5299999999999999E-2</v>
      </c>
      <c r="AF10" s="2635">
        <f t="shared" ref="AF10" si="66">AE10</f>
        <v>1.5299999999999999E-2</v>
      </c>
      <c r="AG10" s="2635">
        <f>ROUND(AVERAGE(K10:K$30)/100,4)</f>
        <v>2.3699999999999999E-2</v>
      </c>
      <c r="AH10" s="2635">
        <f>ROUND(AVERAGE(L10:L$30)/100,4)</f>
        <v>1.47E-2</v>
      </c>
    </row>
    <row r="11" spans="1:34" s="2722" customFormat="1">
      <c r="A11" s="2617" t="s">
        <v>2978</v>
      </c>
      <c r="B11" s="3175">
        <f t="shared" si="46"/>
        <v>464.37293017158942</v>
      </c>
      <c r="C11" s="3175">
        <f t="shared" ref="C11" si="67">C12*(1+O11)</f>
        <v>344.73679941385956</v>
      </c>
      <c r="D11" s="3175">
        <f t="shared" ref="D11" si="68">C11</f>
        <v>344.73679941385956</v>
      </c>
      <c r="E11" s="3175">
        <f t="shared" ref="E11" si="69">E12*(1+P11)</f>
        <v>663.2377795103107</v>
      </c>
      <c r="F11" s="3176">
        <f t="shared" ref="F11" si="70">F12*(1+Q11)</f>
        <v>304.75936311478398</v>
      </c>
      <c r="G11" s="3469">
        <v>2018</v>
      </c>
      <c r="H11" s="2618">
        <v>4</v>
      </c>
      <c r="I11" s="2618">
        <v>0.96</v>
      </c>
      <c r="J11" s="2618">
        <v>1.03</v>
      </c>
      <c r="K11" s="2618">
        <v>0.92</v>
      </c>
      <c r="L11" s="2619">
        <v>1.29</v>
      </c>
      <c r="M11" s="2624"/>
      <c r="N11" s="2625">
        <f t="shared" ref="N11" si="71">I11/100</f>
        <v>9.5999999999999992E-3</v>
      </c>
      <c r="O11" s="2626">
        <f t="shared" ref="O11" si="72">J11/100</f>
        <v>1.03E-2</v>
      </c>
      <c r="P11" s="2626">
        <f t="shared" ref="P11" si="73">K11/100</f>
        <v>9.1999999999999998E-3</v>
      </c>
      <c r="Q11" s="2626">
        <f t="shared" ref="Q11" si="74">L11/100</f>
        <v>1.29E-2</v>
      </c>
      <c r="R11" s="2627"/>
      <c r="S11" s="2628"/>
      <c r="T11" s="2629"/>
      <c r="U11" s="2629"/>
      <c r="V11" s="2629"/>
      <c r="W11" s="2624"/>
      <c r="X11" s="2715">
        <f>ROUND(SUMPRODUCT(PRODUCT(1+N11:N$29)),4)</f>
        <v>1.5099</v>
      </c>
      <c r="Y11" s="2715">
        <f>ROUND(SUMPRODUCT(PRODUCT(1+O11:O$29)),4)</f>
        <v>1.3372999999999999</v>
      </c>
      <c r="Z11" s="2715">
        <f t="shared" ref="Z11" si="75">Y11</f>
        <v>1.3372999999999999</v>
      </c>
      <c r="AA11" s="2715">
        <f>ROUND(SUMPRODUCT(PRODUCT(1+P11:P$29)),4)</f>
        <v>1.5683</v>
      </c>
      <c r="AB11" s="2715">
        <f>ROUND(SUMPRODUCT(PRODUCT(1+Q11:Q$29)),4)</f>
        <v>1.3255999999999999</v>
      </c>
      <c r="AC11" s="2624"/>
      <c r="AD11" s="2635">
        <f>ROUND(AVERAGE(I11:I$30)/100,4)</f>
        <v>2.24E-2</v>
      </c>
      <c r="AE11" s="2635">
        <f>ROUND(AVERAGE(J11:J$30)/100,4)</f>
        <v>1.5800000000000002E-2</v>
      </c>
      <c r="AF11" s="2635">
        <f t="shared" ref="AF11" si="76">AE11</f>
        <v>1.5800000000000002E-2</v>
      </c>
      <c r="AG11" s="2635">
        <f>ROUND(AVERAGE(K11:K$30)/100,4)</f>
        <v>2.4500000000000001E-2</v>
      </c>
      <c r="AH11" s="2635">
        <f>ROUND(AVERAGE(L11:L$30)/100,4)</f>
        <v>1.49E-2</v>
      </c>
    </row>
    <row r="12" spans="1:34" s="2722" customFormat="1" ht="14.45" customHeight="1">
      <c r="A12" s="2617" t="s">
        <v>2971</v>
      </c>
      <c r="B12" s="2630">
        <f t="shared" si="46"/>
        <v>459.95733971036987</v>
      </c>
      <c r="C12" s="2630">
        <f t="shared" ref="C12" si="77">C13*(1+O12)</f>
        <v>341.22221064422405</v>
      </c>
      <c r="D12" s="2630">
        <f t="shared" ref="D12" si="78">C12</f>
        <v>341.22221064422405</v>
      </c>
      <c r="E12" s="2630">
        <f t="shared" ref="E12" si="79">E13*(1+P12)</f>
        <v>657.19161663724799</v>
      </c>
      <c r="F12" s="2630">
        <f t="shared" ref="F12" si="80">F13*(1+Q12)</f>
        <v>300.87803644464805</v>
      </c>
      <c r="G12" s="3469"/>
      <c r="H12" s="2620">
        <v>3</v>
      </c>
      <c r="I12" s="2620">
        <v>1.51</v>
      </c>
      <c r="J12" s="2620">
        <v>1.41</v>
      </c>
      <c r="K12" s="2620">
        <v>1.52</v>
      </c>
      <c r="L12" s="2631">
        <v>1.74</v>
      </c>
      <c r="M12" s="2624"/>
      <c r="N12" s="2625">
        <f t="shared" ref="N12" si="81">I12/100</f>
        <v>1.5100000000000001E-2</v>
      </c>
      <c r="O12" s="2626">
        <f t="shared" ref="O12" si="82">J12/100</f>
        <v>1.41E-2</v>
      </c>
      <c r="P12" s="2626">
        <f t="shared" ref="P12" si="83">K12/100</f>
        <v>1.52E-2</v>
      </c>
      <c r="Q12" s="2626">
        <f t="shared" ref="Q12" si="84">L12/100</f>
        <v>1.7399999999999999E-2</v>
      </c>
      <c r="R12" s="2627"/>
      <c r="S12" s="2625"/>
      <c r="T12" s="2626"/>
      <c r="U12" s="2626"/>
      <c r="V12" s="2626"/>
      <c r="W12" s="2624"/>
      <c r="X12" s="2715">
        <f>ROUND(SUMPRODUCT(PRODUCT(1+N12:N$29)),4)</f>
        <v>1.4956</v>
      </c>
      <c r="Y12" s="2715">
        <f>ROUND(SUMPRODUCT(PRODUCT(1+O12:O$29)),4)</f>
        <v>1.3237000000000001</v>
      </c>
      <c r="Z12" s="2715">
        <f t="shared" ref="Z12" si="85">Y12</f>
        <v>1.3237000000000001</v>
      </c>
      <c r="AA12" s="2715">
        <f>ROUND(SUMPRODUCT(PRODUCT(1+P12:P$29)),4)</f>
        <v>1.554</v>
      </c>
      <c r="AB12" s="2715">
        <f>ROUND(SUMPRODUCT(PRODUCT(1+Q12:Q$29)),4)</f>
        <v>1.3087</v>
      </c>
      <c r="AC12" s="2624"/>
      <c r="AD12" s="2635">
        <f>ROUND(AVERAGE(I12:I$30)/100,4)</f>
        <v>2.3099999999999999E-2</v>
      </c>
      <c r="AE12" s="2635">
        <f>ROUND(AVERAGE(J12:J$30)/100,4)</f>
        <v>1.61E-2</v>
      </c>
      <c r="AF12" s="2635">
        <f t="shared" ref="AF12" si="86">AE12</f>
        <v>1.61E-2</v>
      </c>
      <c r="AG12" s="2635">
        <f>ROUND(AVERAGE(K12:K$30)/100,4)</f>
        <v>2.53E-2</v>
      </c>
      <c r="AH12" s="2635">
        <f>ROUND(AVERAGE(L12:L$30)/100,4)</f>
        <v>1.4999999999999999E-2</v>
      </c>
    </row>
    <row r="13" spans="1:34" s="2722" customFormat="1" ht="14.45" customHeight="1">
      <c r="A13" s="2617" t="s">
        <v>2972</v>
      </c>
      <c r="B13" s="2630">
        <f t="shared" si="46"/>
        <v>453.11529869999993</v>
      </c>
      <c r="C13" s="2630">
        <f t="shared" ref="C13" si="87">C14*(1+O13)</f>
        <v>336.47787264000004</v>
      </c>
      <c r="D13" s="2630">
        <f t="shared" ref="D13" si="88">C13</f>
        <v>336.47787264000004</v>
      </c>
      <c r="E13" s="2630">
        <f t="shared" ref="E13" si="89">E14*(1+P13)</f>
        <v>647.35186823999993</v>
      </c>
      <c r="F13" s="2630">
        <f t="shared" ref="F13" si="90">F14*(1+Q13)</f>
        <v>295.73229452000004</v>
      </c>
      <c r="G13" s="3469"/>
      <c r="H13" s="2621">
        <v>2</v>
      </c>
      <c r="I13" s="2621">
        <v>1.49</v>
      </c>
      <c r="J13" s="2621">
        <v>0.96</v>
      </c>
      <c r="K13" s="2621">
        <v>1.58</v>
      </c>
      <c r="L13" s="2632">
        <v>2.44</v>
      </c>
      <c r="M13" s="2624"/>
      <c r="N13" s="2625">
        <f t="shared" ref="N13" si="91">I13/100</f>
        <v>1.49E-2</v>
      </c>
      <c r="O13" s="2626">
        <f t="shared" ref="O13" si="92">J13/100</f>
        <v>9.5999999999999992E-3</v>
      </c>
      <c r="P13" s="2626">
        <f t="shared" ref="P13" si="93">K13/100</f>
        <v>1.5800000000000002E-2</v>
      </c>
      <c r="Q13" s="2626">
        <f t="shared" ref="Q13" si="94">L13/100</f>
        <v>2.4399999999999998E-2</v>
      </c>
      <c r="R13" s="2627"/>
      <c r="S13" s="2625"/>
      <c r="T13" s="2626"/>
      <c r="U13" s="2626"/>
      <c r="V13" s="2626"/>
      <c r="W13" s="2624"/>
      <c r="X13" s="2715">
        <f>ROUND(SUMPRODUCT(PRODUCT(1+N13:N$29)),4)</f>
        <v>1.4733000000000001</v>
      </c>
      <c r="Y13" s="2715">
        <f>ROUND(SUMPRODUCT(PRODUCT(1+O13:O$29)),4)</f>
        <v>1.3052999999999999</v>
      </c>
      <c r="Z13" s="2715">
        <f t="shared" ref="Z13" si="95">Y13</f>
        <v>1.3052999999999999</v>
      </c>
      <c r="AA13" s="2715">
        <f>ROUND(SUMPRODUCT(PRODUCT(1+P13:P$29)),4)</f>
        <v>1.5306999999999999</v>
      </c>
      <c r="AB13" s="2715">
        <f>ROUND(SUMPRODUCT(PRODUCT(1+Q13:Q$29)),4)</f>
        <v>1.2863</v>
      </c>
      <c r="AC13" s="2624"/>
      <c r="AD13" s="2635">
        <f>ROUND(AVERAGE(I13:I$30)/100,4)</f>
        <v>2.35E-2</v>
      </c>
      <c r="AE13" s="2635">
        <f>ROUND(AVERAGE(J13:J$30)/100,4)</f>
        <v>1.6199999999999999E-2</v>
      </c>
      <c r="AF13" s="2635">
        <f t="shared" ref="AF13" si="96">AE13</f>
        <v>1.6199999999999999E-2</v>
      </c>
      <c r="AG13" s="2635">
        <f>ROUND(AVERAGE(K13:K$30)/100,4)</f>
        <v>2.5899999999999999E-2</v>
      </c>
      <c r="AH13" s="2635">
        <f>ROUND(AVERAGE(L13:L$30)/100,4)</f>
        <v>1.49E-2</v>
      </c>
    </row>
    <row r="14" spans="1:34" s="2722" customFormat="1" ht="15" customHeight="1" thickBot="1">
      <c r="A14" s="2617" t="s">
        <v>2968</v>
      </c>
      <c r="B14" s="2630">
        <f t="shared" si="46"/>
        <v>446.46299999999997</v>
      </c>
      <c r="C14" s="2630">
        <f t="shared" ref="C14" si="97">C15*(1+O14)</f>
        <v>333.27840000000003</v>
      </c>
      <c r="D14" s="2630">
        <f t="shared" ref="D14:D19" si="98">C14</f>
        <v>333.27840000000003</v>
      </c>
      <c r="E14" s="2630">
        <f t="shared" ref="E14" si="99">E15*(1+P14)</f>
        <v>637.28279999999995</v>
      </c>
      <c r="F14" s="2630">
        <f t="shared" ref="F14" si="100">F15*(1+Q14)</f>
        <v>288.68830000000003</v>
      </c>
      <c r="G14" s="3470"/>
      <c r="H14" s="2620">
        <v>1</v>
      </c>
      <c r="I14" s="2620">
        <v>1.7</v>
      </c>
      <c r="J14" s="2620">
        <v>1.92</v>
      </c>
      <c r="K14" s="2620">
        <v>1.64</v>
      </c>
      <c r="L14" s="2631">
        <v>2.0099999999999998</v>
      </c>
      <c r="M14" s="2624"/>
      <c r="N14" s="2625">
        <f t="shared" ref="N14:N19" si="101">I14/100</f>
        <v>1.7000000000000001E-2</v>
      </c>
      <c r="O14" s="2626">
        <f t="shared" ref="O14" si="102">J14/100</f>
        <v>1.9199999999999998E-2</v>
      </c>
      <c r="P14" s="2626">
        <f t="shared" ref="P14" si="103">K14/100</f>
        <v>1.6399999999999998E-2</v>
      </c>
      <c r="Q14" s="2626">
        <f t="shared" ref="Q14" si="104">L14/100</f>
        <v>2.0099999999999996E-2</v>
      </c>
      <c r="R14" s="2627"/>
      <c r="S14" s="2633">
        <f>B14/B15-1</f>
        <v>1.6999999999999904E-2</v>
      </c>
      <c r="T14" s="2634">
        <f>C14/C15-1</f>
        <v>1.9200000000000106E-2</v>
      </c>
      <c r="U14" s="2634">
        <f>E14/E15-1</f>
        <v>1.639999999999997E-2</v>
      </c>
      <c r="V14" s="2634">
        <f>F14/F15-1</f>
        <v>2.0100000000000007E-2</v>
      </c>
      <c r="W14" s="2624"/>
      <c r="X14" s="2715">
        <f>ROUND(SUMPRODUCT(PRODUCT(1+N14:N$29)),4)</f>
        <v>1.4517</v>
      </c>
      <c r="Y14" s="2715">
        <f>ROUND(SUMPRODUCT(PRODUCT(1+O14:O$29)),4)</f>
        <v>1.2928999999999999</v>
      </c>
      <c r="Z14" s="2715">
        <f t="shared" ref="Z14" si="105">Y14</f>
        <v>1.2928999999999999</v>
      </c>
      <c r="AA14" s="2715">
        <f>ROUND(SUMPRODUCT(PRODUCT(1+P14:P$29)),4)</f>
        <v>1.5068999999999999</v>
      </c>
      <c r="AB14" s="2715">
        <f>ROUND(SUMPRODUCT(PRODUCT(1+Q14:Q$29)),4)</f>
        <v>1.2557</v>
      </c>
      <c r="AC14" s="2624"/>
      <c r="AD14" s="2635">
        <f>ROUND(AVERAGE(I14:I$30)/100,4)</f>
        <v>2.4E-2</v>
      </c>
      <c r="AE14" s="2635">
        <f>ROUND(AVERAGE(J14:J$30)/100,4)</f>
        <v>1.66E-2</v>
      </c>
      <c r="AF14" s="2635">
        <f t="shared" ref="AF14" si="106">AE14</f>
        <v>1.66E-2</v>
      </c>
      <c r="AG14" s="2635">
        <f>ROUND(AVERAGE(K14:K$30)/100,4)</f>
        <v>2.6499999999999999E-2</v>
      </c>
      <c r="AH14" s="2635">
        <f>ROUND(AVERAGE(L14:L$30)/100,4)</f>
        <v>1.43E-2</v>
      </c>
    </row>
    <row r="15" spans="1:34">
      <c r="A15" s="2617" t="s">
        <v>2959</v>
      </c>
      <c r="B15" s="3093">
        <v>439</v>
      </c>
      <c r="C15" s="3093">
        <v>327</v>
      </c>
      <c r="D15" s="3093">
        <f t="shared" si="98"/>
        <v>327</v>
      </c>
      <c r="E15" s="3093">
        <v>627</v>
      </c>
      <c r="F15" s="3094">
        <v>283</v>
      </c>
      <c r="G15" s="3468">
        <v>2017</v>
      </c>
      <c r="H15" s="2618">
        <v>4</v>
      </c>
      <c r="I15" s="2618">
        <v>1.71</v>
      </c>
      <c r="J15" s="2618">
        <v>1.78</v>
      </c>
      <c r="K15" s="2618">
        <v>1.71</v>
      </c>
      <c r="L15" s="2619">
        <v>1.43</v>
      </c>
      <c r="N15" s="2638">
        <f t="shared" si="101"/>
        <v>1.7100000000000001E-2</v>
      </c>
      <c r="O15" s="2639">
        <f t="shared" ref="O15" si="107">J15/100</f>
        <v>1.78E-2</v>
      </c>
      <c r="P15" s="2639">
        <f t="shared" ref="P15" si="108">K15/100</f>
        <v>1.7100000000000001E-2</v>
      </c>
      <c r="Q15" s="2639">
        <f t="shared" ref="Q15" si="109">L15/100</f>
        <v>1.43E-2</v>
      </c>
      <c r="R15" s="2627"/>
      <c r="S15" s="2628"/>
      <c r="T15" s="2629"/>
      <c r="U15" s="2629"/>
      <c r="V15" s="2629"/>
      <c r="X15" s="2715">
        <f>ROUND(SUMPRODUCT(PRODUCT(1+N15:N$29)),4)</f>
        <v>1.4274</v>
      </c>
      <c r="Y15" s="2715">
        <f>ROUND(SUMPRODUCT(PRODUCT(1+O15:O$29)),4)</f>
        <v>1.2685</v>
      </c>
      <c r="Z15" s="2715">
        <f t="shared" si="0"/>
        <v>1.2685</v>
      </c>
      <c r="AA15" s="2715">
        <f>ROUND(SUMPRODUCT(PRODUCT(1+P15:P$29)),4)</f>
        <v>1.4825999999999999</v>
      </c>
      <c r="AB15" s="2715">
        <f>ROUND(SUMPRODUCT(PRODUCT(1+Q15:Q$29)),4)</f>
        <v>1.2309000000000001</v>
      </c>
      <c r="AD15" s="2635">
        <f>ROUND(AVERAGE(I15:I$30)/100,4)</f>
        <v>2.4500000000000001E-2</v>
      </c>
      <c r="AE15" s="2635">
        <f>ROUND(AVERAGE(J15:J$30)/100,4)</f>
        <v>1.6500000000000001E-2</v>
      </c>
      <c r="AF15" s="2635">
        <f t="shared" si="1"/>
        <v>1.6500000000000001E-2</v>
      </c>
      <c r="AG15" s="2635">
        <f>ROUND(AVERAGE(K15:K$30)/100,4)</f>
        <v>2.7099999999999999E-2</v>
      </c>
      <c r="AH15" s="2635">
        <f>ROUND(AVERAGE(L15:L$30)/100,4)</f>
        <v>1.3899999999999999E-2</v>
      </c>
    </row>
    <row r="16" spans="1:34" s="2722" customFormat="1" ht="14.45" customHeight="1">
      <c r="A16" s="2617" t="s">
        <v>2963</v>
      </c>
      <c r="B16" s="2630">
        <f t="shared" ref="B16:C18" si="110">B17*(1+N16)</f>
        <v>431.80730811680002</v>
      </c>
      <c r="C16" s="2630">
        <f t="shared" si="110"/>
        <v>320.57880516480003</v>
      </c>
      <c r="D16" s="2630">
        <f t="shared" si="98"/>
        <v>320.57880516480003</v>
      </c>
      <c r="E16" s="2630">
        <f t="shared" ref="E16:F18" si="111">E17*(1+P16)</f>
        <v>615.96110553196797</v>
      </c>
      <c r="F16" s="2630">
        <f t="shared" si="111"/>
        <v>279.46777300108801</v>
      </c>
      <c r="G16" s="3469"/>
      <c r="H16" s="2620">
        <v>3</v>
      </c>
      <c r="I16" s="2620">
        <v>2.98</v>
      </c>
      <c r="J16" s="2620">
        <v>2.11</v>
      </c>
      <c r="K16" s="2620">
        <v>3.24</v>
      </c>
      <c r="L16" s="2631">
        <v>1.72</v>
      </c>
      <c r="M16" s="2624"/>
      <c r="N16" s="2625">
        <f t="shared" si="101"/>
        <v>2.98E-2</v>
      </c>
      <c r="O16" s="2643">
        <f t="shared" ref="O16:O17" si="112">J16/100</f>
        <v>2.1099999999999997E-2</v>
      </c>
      <c r="P16" s="2643">
        <f t="shared" ref="P16:P17" si="113">K16/100</f>
        <v>3.2400000000000005E-2</v>
      </c>
      <c r="Q16" s="2643">
        <f t="shared" ref="Q16:Q17" si="114">L16/100</f>
        <v>1.72E-2</v>
      </c>
      <c r="R16" s="2627"/>
      <c r="S16" s="2625"/>
      <c r="T16" s="2626"/>
      <c r="U16" s="2626"/>
      <c r="V16" s="2626"/>
      <c r="W16" s="2624"/>
      <c r="X16" s="2715">
        <f>ROUND(SUMPRODUCT(PRODUCT(1+N16:N$29)),4)</f>
        <v>1.4034</v>
      </c>
      <c r="Y16" s="2715">
        <f>ROUND(SUMPRODUCT(PRODUCT(1+O16:O$29)),4)</f>
        <v>1.2463</v>
      </c>
      <c r="Z16" s="2715">
        <f t="shared" si="0"/>
        <v>1.2463</v>
      </c>
      <c r="AA16" s="2715">
        <f>ROUND(SUMPRODUCT(PRODUCT(1+P16:P$29)),4)</f>
        <v>1.4577</v>
      </c>
      <c r="AB16" s="2715">
        <f>ROUND(SUMPRODUCT(PRODUCT(1+Q16:Q$29)),4)</f>
        <v>1.2136</v>
      </c>
      <c r="AC16" s="2624"/>
      <c r="AD16" s="2635">
        <f>ROUND(AVERAGE(I16:I$30)/100,4)</f>
        <v>2.4899999999999999E-2</v>
      </c>
      <c r="AE16" s="2635">
        <f>ROUND(AVERAGE(J16:J$30)/100,4)</f>
        <v>1.6400000000000001E-2</v>
      </c>
      <c r="AF16" s="2635">
        <f t="shared" si="1"/>
        <v>1.6400000000000001E-2</v>
      </c>
      <c r="AG16" s="2635">
        <f>ROUND(AVERAGE(K16:K$30)/100,4)</f>
        <v>2.7799999999999998E-2</v>
      </c>
      <c r="AH16" s="2635">
        <f>ROUND(AVERAGE(L16:L$30)/100,4)</f>
        <v>1.3899999999999999E-2</v>
      </c>
    </row>
    <row r="17" spans="1:34" s="2615" customFormat="1" ht="14.45" customHeight="1">
      <c r="A17" s="2617" t="s">
        <v>2576</v>
      </c>
      <c r="B17" s="2630">
        <f t="shared" si="110"/>
        <v>419.31181600000002</v>
      </c>
      <c r="C17" s="2630">
        <f t="shared" si="110"/>
        <v>313.95436800000004</v>
      </c>
      <c r="D17" s="2630">
        <f t="shared" si="98"/>
        <v>313.95436800000004</v>
      </c>
      <c r="E17" s="2630">
        <f t="shared" si="111"/>
        <v>596.63028431999999</v>
      </c>
      <c r="F17" s="2630">
        <f t="shared" si="111"/>
        <v>274.74220703999998</v>
      </c>
      <c r="G17" s="3469"/>
      <c r="H17" s="2621">
        <v>2</v>
      </c>
      <c r="I17" s="2621">
        <v>3.4</v>
      </c>
      <c r="J17" s="2621">
        <v>2</v>
      </c>
      <c r="K17" s="2621">
        <v>3.82</v>
      </c>
      <c r="L17" s="2632">
        <v>1.68</v>
      </c>
      <c r="N17" s="2625">
        <f t="shared" si="101"/>
        <v>3.4000000000000002E-2</v>
      </c>
      <c r="O17" s="2643">
        <f t="shared" si="112"/>
        <v>0.02</v>
      </c>
      <c r="P17" s="2643">
        <f t="shared" si="113"/>
        <v>3.8199999999999998E-2</v>
      </c>
      <c r="Q17" s="2643">
        <f t="shared" si="114"/>
        <v>1.6799999999999999E-2</v>
      </c>
      <c r="R17" s="2616"/>
      <c r="S17" s="2625"/>
      <c r="T17" s="2626"/>
      <c r="U17" s="2626"/>
      <c r="V17" s="2626"/>
      <c r="X17" s="2715">
        <f>ROUND(SUMPRODUCT(PRODUCT(1+N17:N$29)),4)</f>
        <v>1.3628</v>
      </c>
      <c r="Y17" s="2715">
        <f>ROUND(SUMPRODUCT(PRODUCT(1+O17:O$29)),4)</f>
        <v>1.2205999999999999</v>
      </c>
      <c r="Z17" s="2715">
        <f t="shared" si="0"/>
        <v>1.2205999999999999</v>
      </c>
      <c r="AA17" s="2715">
        <f>ROUND(SUMPRODUCT(PRODUCT(1+P17:P$29)),4)</f>
        <v>1.4118999999999999</v>
      </c>
      <c r="AB17" s="2715">
        <f>ROUND(SUMPRODUCT(PRODUCT(1+Q17:Q$29)),4)</f>
        <v>1.1930000000000001</v>
      </c>
      <c r="AD17" s="2635">
        <f>ROUND(AVERAGE(I17:I$30)/100,4)</f>
        <v>2.46E-2</v>
      </c>
      <c r="AE17" s="2635">
        <f>ROUND(AVERAGE(J17:J$30)/100,4)</f>
        <v>1.6E-2</v>
      </c>
      <c r="AF17" s="2635">
        <f t="shared" si="1"/>
        <v>1.6E-2</v>
      </c>
      <c r="AG17" s="2635">
        <f>ROUND(AVERAGE(K17:K$30)/100,4)</f>
        <v>2.75E-2</v>
      </c>
      <c r="AH17" s="2635">
        <f>ROUND(AVERAGE(L17:L$30)/100,4)</f>
        <v>1.37E-2</v>
      </c>
    </row>
    <row r="18" spans="1:34" s="2722" customFormat="1" ht="15" customHeight="1" thickBot="1">
      <c r="A18" s="2617" t="s">
        <v>2577</v>
      </c>
      <c r="B18" s="2630">
        <f t="shared" si="110"/>
        <v>405.524</v>
      </c>
      <c r="C18" s="2630">
        <f t="shared" si="110"/>
        <v>307.79840000000002</v>
      </c>
      <c r="D18" s="2630">
        <f t="shared" si="98"/>
        <v>307.79840000000002</v>
      </c>
      <c r="E18" s="2630">
        <f t="shared" si="111"/>
        <v>574.67759999999998</v>
      </c>
      <c r="F18" s="2630">
        <f t="shared" si="111"/>
        <v>270.20280000000002</v>
      </c>
      <c r="G18" s="3470"/>
      <c r="H18" s="2620">
        <v>1</v>
      </c>
      <c r="I18" s="2620">
        <v>3.45</v>
      </c>
      <c r="J18" s="2620">
        <v>1.92</v>
      </c>
      <c r="K18" s="2620">
        <v>3.92</v>
      </c>
      <c r="L18" s="2631">
        <v>1.58</v>
      </c>
      <c r="M18" s="2624"/>
      <c r="N18" s="2633">
        <f t="shared" si="101"/>
        <v>3.4500000000000003E-2</v>
      </c>
      <c r="O18" s="2634">
        <f t="shared" ref="O18" si="115">J18/100</f>
        <v>1.9199999999999998E-2</v>
      </c>
      <c r="P18" s="2634">
        <f t="shared" ref="P18" si="116">K18/100</f>
        <v>3.9199999999999999E-2</v>
      </c>
      <c r="Q18" s="2634">
        <f t="shared" ref="Q18" si="117">L18/100</f>
        <v>1.5800000000000002E-2</v>
      </c>
      <c r="R18" s="2627"/>
      <c r="S18" s="2633">
        <f>B18/B19-1</f>
        <v>3.4499999999999975E-2</v>
      </c>
      <c r="T18" s="2634">
        <f>C18/C19-1</f>
        <v>1.9200000000000106E-2</v>
      </c>
      <c r="U18" s="2634">
        <f>E18/E19-1</f>
        <v>3.9199999999999902E-2</v>
      </c>
      <c r="V18" s="2634">
        <f>F18/F19-1</f>
        <v>1.5800000000000036E-2</v>
      </c>
      <c r="W18" s="2624"/>
      <c r="X18" s="2715">
        <f>ROUND(SUMPRODUCT(PRODUCT(1+N18:N$29)),4)</f>
        <v>1.3180000000000001</v>
      </c>
      <c r="Y18" s="2715">
        <f>ROUND(SUMPRODUCT(PRODUCT(1+O18:O$29)),4)</f>
        <v>1.1966000000000001</v>
      </c>
      <c r="Z18" s="2715">
        <f t="shared" si="0"/>
        <v>1.1966000000000001</v>
      </c>
      <c r="AA18" s="2715">
        <f>ROUND(SUMPRODUCT(PRODUCT(1+P18:P$29)),4)</f>
        <v>1.36</v>
      </c>
      <c r="AB18" s="2715">
        <f>ROUND(SUMPRODUCT(PRODUCT(1+Q18:Q$29)),4)</f>
        <v>1.1733</v>
      </c>
      <c r="AC18" s="2624"/>
      <c r="AD18" s="2635">
        <f>ROUND(AVERAGE(I18:I$30)/100,4)</f>
        <v>2.3900000000000001E-2</v>
      </c>
      <c r="AE18" s="2635">
        <f>ROUND(AVERAGE(J18:J$30)/100,4)</f>
        <v>1.5699999999999999E-2</v>
      </c>
      <c r="AF18" s="2635">
        <f t="shared" si="1"/>
        <v>1.5699999999999999E-2</v>
      </c>
      <c r="AG18" s="2635">
        <f>ROUND(AVERAGE(K18:K$30)/100,4)</f>
        <v>2.6599999999999999E-2</v>
      </c>
      <c r="AH18" s="2635">
        <f>ROUND(AVERAGE(L18:L$30)/100,4)</f>
        <v>1.34E-2</v>
      </c>
    </row>
    <row r="19" spans="1:34">
      <c r="A19" s="2617" t="s">
        <v>970</v>
      </c>
      <c r="B19" s="2622">
        <v>392</v>
      </c>
      <c r="C19" s="2622">
        <v>302</v>
      </c>
      <c r="D19" s="2622">
        <f t="shared" si="98"/>
        <v>302</v>
      </c>
      <c r="E19" s="2622">
        <v>553</v>
      </c>
      <c r="F19" s="2623">
        <v>266</v>
      </c>
      <c r="G19" s="3468">
        <v>2016</v>
      </c>
      <c r="H19" s="2618">
        <v>4</v>
      </c>
      <c r="I19" s="2618">
        <v>4.5599999999999996</v>
      </c>
      <c r="J19" s="2618">
        <v>2.15</v>
      </c>
      <c r="K19" s="2618">
        <v>5.32</v>
      </c>
      <c r="L19" s="2619">
        <v>1.57</v>
      </c>
      <c r="N19" s="2625">
        <f t="shared" si="101"/>
        <v>4.5599999999999995E-2</v>
      </c>
      <c r="O19" s="2626">
        <f t="shared" ref="O19:Q34" si="118">J19/100</f>
        <v>2.1499999999999998E-2</v>
      </c>
      <c r="P19" s="2626">
        <f t="shared" si="118"/>
        <v>5.3200000000000004E-2</v>
      </c>
      <c r="Q19" s="2626">
        <f t="shared" si="118"/>
        <v>1.5700000000000002E-2</v>
      </c>
      <c r="R19" s="2627"/>
      <c r="S19" s="2628"/>
      <c r="T19" s="2629"/>
      <c r="U19" s="2629"/>
      <c r="V19" s="2629"/>
      <c r="X19" s="2715">
        <f>ROUND(SUMPRODUCT(PRODUCT(1+N19:N$29)),4)</f>
        <v>1.274</v>
      </c>
      <c r="Y19" s="2715">
        <f>ROUND(SUMPRODUCT(PRODUCT(1+O19:O$29)),4)</f>
        <v>1.1740999999999999</v>
      </c>
      <c r="Z19" s="2715">
        <f t="shared" si="0"/>
        <v>1.1740999999999999</v>
      </c>
      <c r="AA19" s="2715">
        <f>ROUND(SUMPRODUCT(PRODUCT(1+P19:P$29)),4)</f>
        <v>1.3087</v>
      </c>
      <c r="AB19" s="2715">
        <f>ROUND(SUMPRODUCT(PRODUCT(1+Q19:Q$29)),4)</f>
        <v>1.1551</v>
      </c>
      <c r="AD19" s="2635">
        <f>ROUND(AVERAGE(I19:I$30)/100,4)</f>
        <v>2.3E-2</v>
      </c>
      <c r="AE19" s="2635">
        <f>ROUND(AVERAGE(J19:J$30)/100,4)</f>
        <v>1.55E-2</v>
      </c>
      <c r="AF19" s="2635">
        <f t="shared" si="1"/>
        <v>1.55E-2</v>
      </c>
      <c r="AG19" s="2635">
        <f>ROUND(AVERAGE(K19:K$30)/100,4)</f>
        <v>2.5600000000000001E-2</v>
      </c>
      <c r="AH19" s="2635">
        <f>ROUND(AVERAGE(L19:L$30)/100,4)</f>
        <v>1.32E-2</v>
      </c>
    </row>
    <row r="20" spans="1:34">
      <c r="A20" s="2617" t="s">
        <v>969</v>
      </c>
      <c r="B20" s="2630">
        <f t="shared" ref="B20:C22" si="119">B19/(1+N19)</f>
        <v>374.90436113236416</v>
      </c>
      <c r="C20" s="2630">
        <f t="shared" si="119"/>
        <v>295.64366128242779</v>
      </c>
      <c r="D20" s="2630">
        <f t="shared" ref="D20:D79" si="120">C20</f>
        <v>295.64366128242779</v>
      </c>
      <c r="E20" s="2630">
        <f t="shared" ref="E20:F22" si="121">E19/(1+P19)</f>
        <v>525.06646410938095</v>
      </c>
      <c r="F20" s="2630">
        <f t="shared" si="121"/>
        <v>261.88835286009646</v>
      </c>
      <c r="G20" s="3469"/>
      <c r="H20" s="2620">
        <v>3</v>
      </c>
      <c r="I20" s="2620">
        <v>4.12</v>
      </c>
      <c r="J20" s="2620">
        <v>2</v>
      </c>
      <c r="K20" s="2620">
        <v>4.79</v>
      </c>
      <c r="L20" s="2631">
        <v>1.97</v>
      </c>
      <c r="N20" s="2625">
        <f t="shared" ref="N20:Q54" si="122">I20/100</f>
        <v>4.1200000000000001E-2</v>
      </c>
      <c r="O20" s="2626">
        <f t="shared" si="118"/>
        <v>0.02</v>
      </c>
      <c r="P20" s="2626">
        <f t="shared" si="118"/>
        <v>4.7899999999999998E-2</v>
      </c>
      <c r="Q20" s="2626">
        <f t="shared" si="118"/>
        <v>1.9699999999999999E-2</v>
      </c>
      <c r="R20" s="2627"/>
      <c r="S20" s="2625"/>
      <c r="T20" s="2626"/>
      <c r="U20" s="2626"/>
      <c r="V20" s="2626"/>
      <c r="X20" s="2715">
        <f>ROUND(SUMPRODUCT(PRODUCT(1+N20:N$29)),4)</f>
        <v>1.2184999999999999</v>
      </c>
      <c r="Y20" s="2715">
        <f>ROUND(SUMPRODUCT(PRODUCT(1+O20:O$29)),4)</f>
        <v>1.1494</v>
      </c>
      <c r="Z20" s="2715">
        <f t="shared" si="0"/>
        <v>1.1494</v>
      </c>
      <c r="AA20" s="2715">
        <f>ROUND(SUMPRODUCT(PRODUCT(1+P20:P$29)),4)</f>
        <v>1.2425999999999999</v>
      </c>
      <c r="AB20" s="2715">
        <f>ROUND(SUMPRODUCT(PRODUCT(1+Q20:Q$29)),4)</f>
        <v>1.1372</v>
      </c>
      <c r="AD20" s="2635">
        <f>ROUND(AVERAGE(I20:I$30)/100,4)</f>
        <v>2.0899999999999998E-2</v>
      </c>
      <c r="AE20" s="2635">
        <f>ROUND(AVERAGE(J20:J$30)/100,4)</f>
        <v>1.49E-2</v>
      </c>
      <c r="AF20" s="2635">
        <f t="shared" si="1"/>
        <v>1.49E-2</v>
      </c>
      <c r="AG20" s="2635">
        <f>ROUND(AVERAGE(K20:K$30)/100,4)</f>
        <v>2.3099999999999999E-2</v>
      </c>
      <c r="AH20" s="2635">
        <f>ROUND(AVERAGE(L20:L$30)/100,4)</f>
        <v>1.2999999999999999E-2</v>
      </c>
    </row>
    <row r="21" spans="1:34">
      <c r="A21" s="2617" t="s">
        <v>959</v>
      </c>
      <c r="B21" s="2630">
        <f t="shared" si="119"/>
        <v>360.06949782209392</v>
      </c>
      <c r="C21" s="2630">
        <f t="shared" si="119"/>
        <v>289.84672674747821</v>
      </c>
      <c r="D21" s="2630">
        <f t="shared" si="120"/>
        <v>289.84672674747821</v>
      </c>
      <c r="E21" s="2630">
        <f t="shared" si="121"/>
        <v>501.06543001181495</v>
      </c>
      <c r="F21" s="2630">
        <f t="shared" si="121"/>
        <v>256.82882500744967</v>
      </c>
      <c r="G21" s="3469"/>
      <c r="H21" s="2621">
        <v>2</v>
      </c>
      <c r="I21" s="2621">
        <v>3.85</v>
      </c>
      <c r="J21" s="2621">
        <v>1.95</v>
      </c>
      <c r="K21" s="2621">
        <v>4.4800000000000004</v>
      </c>
      <c r="L21" s="2632">
        <v>1.41</v>
      </c>
      <c r="N21" s="2625">
        <f t="shared" si="122"/>
        <v>3.85E-2</v>
      </c>
      <c r="O21" s="2626">
        <f t="shared" si="118"/>
        <v>1.95E-2</v>
      </c>
      <c r="P21" s="2626">
        <f t="shared" si="118"/>
        <v>4.4800000000000006E-2</v>
      </c>
      <c r="Q21" s="2626">
        <f t="shared" si="118"/>
        <v>1.41E-2</v>
      </c>
      <c r="R21" s="2627"/>
      <c r="S21" s="2625"/>
      <c r="T21" s="2626"/>
      <c r="U21" s="2626"/>
      <c r="V21" s="2626"/>
      <c r="X21" s="2715">
        <f>ROUND(SUMPRODUCT(PRODUCT(1+N21:N$29)),4)</f>
        <v>1.1702999999999999</v>
      </c>
      <c r="Y21" s="2715">
        <f>ROUND(SUMPRODUCT(PRODUCT(1+O21:O$29)),4)</f>
        <v>1.1269</v>
      </c>
      <c r="Z21" s="2715">
        <f t="shared" si="0"/>
        <v>1.1269</v>
      </c>
      <c r="AA21" s="2715">
        <f>ROUND(SUMPRODUCT(PRODUCT(1+P21:P$29)),4)</f>
        <v>1.1858</v>
      </c>
      <c r="AB21" s="2715">
        <f>ROUND(SUMPRODUCT(PRODUCT(1+Q21:Q$29)),4)</f>
        <v>1.1152</v>
      </c>
      <c r="AD21" s="2635">
        <f>ROUND(AVERAGE(I21:I$30)/100,4)</f>
        <v>1.89E-2</v>
      </c>
      <c r="AE21" s="2635">
        <f>ROUND(AVERAGE(J21:J$30)/100,4)</f>
        <v>1.44E-2</v>
      </c>
      <c r="AF21" s="2635">
        <f t="shared" si="1"/>
        <v>1.44E-2</v>
      </c>
      <c r="AG21" s="2635">
        <f>ROUND(AVERAGE(K21:K$30)/100,4)</f>
        <v>2.06E-2</v>
      </c>
      <c r="AH21" s="2635">
        <f>ROUND(AVERAGE(L21:L$30)/100,4)</f>
        <v>1.23E-2</v>
      </c>
    </row>
    <row r="22" spans="1:34" ht="13.5" thickBot="1">
      <c r="A22" s="2617" t="s">
        <v>968</v>
      </c>
      <c r="B22" s="2630">
        <f t="shared" si="119"/>
        <v>346.720748986128</v>
      </c>
      <c r="C22" s="2630">
        <f t="shared" si="119"/>
        <v>284.30282172386285</v>
      </c>
      <c r="D22" s="2630">
        <f t="shared" si="120"/>
        <v>284.30282172386285</v>
      </c>
      <c r="E22" s="2630">
        <f t="shared" si="121"/>
        <v>479.58023546306947</v>
      </c>
      <c r="F22" s="2630">
        <f t="shared" si="121"/>
        <v>253.25788877571213</v>
      </c>
      <c r="G22" s="3472"/>
      <c r="H22" s="2620">
        <v>1</v>
      </c>
      <c r="I22" s="2620">
        <v>4.09</v>
      </c>
      <c r="J22" s="2620">
        <v>2.93</v>
      </c>
      <c r="K22" s="2620">
        <v>4.54</v>
      </c>
      <c r="L22" s="2631">
        <v>1.48</v>
      </c>
      <c r="N22" s="2625">
        <f t="shared" si="122"/>
        <v>4.0899999999999999E-2</v>
      </c>
      <c r="O22" s="2626">
        <f t="shared" si="118"/>
        <v>2.9300000000000003E-2</v>
      </c>
      <c r="P22" s="2626">
        <f t="shared" si="118"/>
        <v>4.5400000000000003E-2</v>
      </c>
      <c r="Q22" s="2626">
        <f t="shared" si="118"/>
        <v>1.4800000000000001E-2</v>
      </c>
      <c r="R22" s="2627"/>
      <c r="S22" s="2633">
        <f>B22/B23-1</f>
        <v>4.1203450408792808E-2</v>
      </c>
      <c r="T22" s="2634">
        <f>C22/C23-1</f>
        <v>2.6363977342465095E-2</v>
      </c>
      <c r="U22" s="2634">
        <f>E22/E23-1</f>
        <v>4.4837114298626357E-2</v>
      </c>
      <c r="V22" s="2634">
        <f>F22/F23-1</f>
        <v>1.7099954922538574E-2</v>
      </c>
      <c r="X22" s="2715">
        <f>ROUND(SUMPRODUCT(PRODUCT(1+N22:N$29)),4)</f>
        <v>1.1269</v>
      </c>
      <c r="Y22" s="2715">
        <f>ROUND(SUMPRODUCT(PRODUCT(1+O22:O$29)),4)</f>
        <v>1.1052999999999999</v>
      </c>
      <c r="Z22" s="2715">
        <f t="shared" si="0"/>
        <v>1.1052999999999999</v>
      </c>
      <c r="AA22" s="2715">
        <f>ROUND(SUMPRODUCT(PRODUCT(1+P22:P$29)),4)</f>
        <v>1.1349</v>
      </c>
      <c r="AB22" s="2715">
        <f>ROUND(SUMPRODUCT(PRODUCT(1+Q22:Q$29)),4)</f>
        <v>1.0996999999999999</v>
      </c>
      <c r="AD22" s="2635">
        <f>ROUND(AVERAGE(I22:I$30)/100,4)</f>
        <v>1.67E-2</v>
      </c>
      <c r="AE22" s="2635">
        <f>ROUND(AVERAGE(J22:J$30)/100,4)</f>
        <v>1.38E-2</v>
      </c>
      <c r="AF22" s="2635">
        <f t="shared" si="1"/>
        <v>1.38E-2</v>
      </c>
      <c r="AG22" s="2635">
        <f>ROUND(AVERAGE(K22:K$30)/100,4)</f>
        <v>1.7899999999999999E-2</v>
      </c>
      <c r="AH22" s="2635">
        <f>ROUND(AVERAGE(L22:L$30)/100,4)</f>
        <v>1.21E-2</v>
      </c>
    </row>
    <row r="23" spans="1:34" ht="13.5" thickBot="1">
      <c r="A23" s="2617" t="s">
        <v>967</v>
      </c>
      <c r="B23" s="2622">
        <v>333</v>
      </c>
      <c r="C23" s="2622">
        <v>277</v>
      </c>
      <c r="D23" s="2622">
        <f t="shared" si="120"/>
        <v>277</v>
      </c>
      <c r="E23" s="2622">
        <v>459</v>
      </c>
      <c r="F23" s="2623">
        <v>249</v>
      </c>
      <c r="G23" s="3471">
        <v>2015</v>
      </c>
      <c r="H23" s="2636">
        <v>4</v>
      </c>
      <c r="I23" s="2636">
        <v>1.63</v>
      </c>
      <c r="J23" s="2636">
        <v>1.1100000000000001</v>
      </c>
      <c r="K23" s="2636">
        <v>1.77</v>
      </c>
      <c r="L23" s="2637">
        <v>1.89</v>
      </c>
      <c r="N23" s="2638">
        <f t="shared" si="122"/>
        <v>1.6299999999999999E-2</v>
      </c>
      <c r="O23" s="2639">
        <f t="shared" si="118"/>
        <v>1.11E-2</v>
      </c>
      <c r="P23" s="2639">
        <f t="shared" si="118"/>
        <v>1.77E-2</v>
      </c>
      <c r="Q23" s="2639">
        <f t="shared" si="118"/>
        <v>1.89E-2</v>
      </c>
      <c r="R23" s="2627"/>
      <c r="X23" s="2715">
        <f>ROUND(SUMPRODUCT(PRODUCT(1+N23:N$29)),4)</f>
        <v>1.0826</v>
      </c>
      <c r="Y23" s="2715">
        <f>ROUND(SUMPRODUCT(PRODUCT(1+O23:O$29)),4)</f>
        <v>1.0738000000000001</v>
      </c>
      <c r="Z23" s="2715">
        <f t="shared" si="0"/>
        <v>1.0738000000000001</v>
      </c>
      <c r="AA23" s="2715">
        <f>ROUND(SUMPRODUCT(PRODUCT(1+P23:P$29)),4)</f>
        <v>1.0855999999999999</v>
      </c>
      <c r="AB23" s="2715">
        <f>ROUND(SUMPRODUCT(PRODUCT(1+Q23:Q$29)),4)</f>
        <v>1.0837000000000001</v>
      </c>
      <c r="AD23" s="2635">
        <f>ROUND(AVERAGE(I23:I$30)/100,4)</f>
        <v>1.37E-2</v>
      </c>
      <c r="AE23" s="2635">
        <f>ROUND(AVERAGE(J23:J$30)/100,4)</f>
        <v>1.1900000000000001E-2</v>
      </c>
      <c r="AF23" s="2635">
        <f t="shared" si="1"/>
        <v>1.1900000000000001E-2</v>
      </c>
      <c r="AG23" s="2635">
        <f>ROUND(AVERAGE(K23:K$30)/100,4)</f>
        <v>1.4500000000000001E-2</v>
      </c>
      <c r="AH23" s="2635">
        <f>ROUND(AVERAGE(L23:L$30)/100,4)</f>
        <v>1.18E-2</v>
      </c>
    </row>
    <row r="24" spans="1:34">
      <c r="A24" s="2617" t="s">
        <v>966</v>
      </c>
      <c r="B24" s="2630">
        <f t="shared" ref="B24:C26" si="123">B23/(1+N23)</f>
        <v>327.65915576109415</v>
      </c>
      <c r="C24" s="2630">
        <f t="shared" si="123"/>
        <v>273.95905449510434</v>
      </c>
      <c r="D24" s="2630">
        <f t="shared" si="120"/>
        <v>273.95905449510434</v>
      </c>
      <c r="E24" s="2630">
        <f t="shared" ref="E24:F26" si="124">E23/(1+P23)</f>
        <v>451.01699911565294</v>
      </c>
      <c r="F24" s="2630">
        <f t="shared" si="124"/>
        <v>244.38119540681129</v>
      </c>
      <c r="G24" s="3469"/>
      <c r="H24" s="2641">
        <v>3</v>
      </c>
      <c r="I24" s="2641">
        <v>1.65</v>
      </c>
      <c r="J24" s="2641">
        <v>0.92</v>
      </c>
      <c r="K24" s="2641">
        <v>1.88</v>
      </c>
      <c r="L24" s="2642">
        <v>1.26</v>
      </c>
      <c r="N24" s="2625">
        <f t="shared" si="122"/>
        <v>1.6500000000000001E-2</v>
      </c>
      <c r="O24" s="2643">
        <f t="shared" si="118"/>
        <v>9.1999999999999998E-3</v>
      </c>
      <c r="P24" s="2643">
        <f t="shared" si="118"/>
        <v>1.8799999999999997E-2</v>
      </c>
      <c r="Q24" s="2643">
        <f t="shared" si="118"/>
        <v>1.26E-2</v>
      </c>
      <c r="R24" s="2627"/>
      <c r="S24" s="2625"/>
      <c r="T24" s="2626"/>
      <c r="U24" s="2626"/>
      <c r="V24" s="2626"/>
      <c r="X24" s="2715">
        <f>ROUND(SUMPRODUCT(PRODUCT(1+N24:N$29)),4)</f>
        <v>1.0651999999999999</v>
      </c>
      <c r="Y24" s="2715">
        <f>ROUND(SUMPRODUCT(PRODUCT(1+O24:O$29)),4)</f>
        <v>1.0621</v>
      </c>
      <c r="Z24" s="2715">
        <f t="shared" si="0"/>
        <v>1.0621</v>
      </c>
      <c r="AA24" s="2715">
        <f>ROUND(SUMPRODUCT(PRODUCT(1+P24:P$29)),4)</f>
        <v>1.0668</v>
      </c>
      <c r="AB24" s="2715">
        <f>ROUND(SUMPRODUCT(PRODUCT(1+Q24:Q$29)),4)</f>
        <v>1.0636000000000001</v>
      </c>
      <c r="AD24" s="2635">
        <f>ROUND(AVERAGE(I24:I$30)/100,4)</f>
        <v>1.3299999999999999E-2</v>
      </c>
      <c r="AE24" s="2635">
        <f>ROUND(AVERAGE(J24:J$30)/100,4)</f>
        <v>1.2E-2</v>
      </c>
      <c r="AF24" s="2635">
        <f t="shared" si="1"/>
        <v>1.2E-2</v>
      </c>
      <c r="AG24" s="2635">
        <f>ROUND(AVERAGE(K24:K$30)/100,4)</f>
        <v>1.4E-2</v>
      </c>
      <c r="AH24" s="2635">
        <f>ROUND(AVERAGE(L24:L$30)/100,4)</f>
        <v>1.0800000000000001E-2</v>
      </c>
    </row>
    <row r="25" spans="1:34">
      <c r="A25" s="2617" t="s">
        <v>965</v>
      </c>
      <c r="B25" s="2630">
        <f t="shared" si="123"/>
        <v>322.34053690220776</v>
      </c>
      <c r="C25" s="2630">
        <f t="shared" si="123"/>
        <v>271.46160770422546</v>
      </c>
      <c r="D25" s="2630">
        <f t="shared" si="120"/>
        <v>271.46160770422546</v>
      </c>
      <c r="E25" s="2630">
        <f t="shared" si="124"/>
        <v>442.69434542172456</v>
      </c>
      <c r="F25" s="2630">
        <f t="shared" si="124"/>
        <v>241.34030753190925</v>
      </c>
      <c r="G25" s="3469"/>
      <c r="H25" s="2621">
        <v>2</v>
      </c>
      <c r="I25" s="2621">
        <v>0.77</v>
      </c>
      <c r="J25" s="2621">
        <v>0.69</v>
      </c>
      <c r="K25" s="2621">
        <v>0.8</v>
      </c>
      <c r="L25" s="2632">
        <v>0.88</v>
      </c>
      <c r="N25" s="2625">
        <f t="shared" si="122"/>
        <v>7.7000000000000002E-3</v>
      </c>
      <c r="O25" s="2643">
        <f t="shared" si="118"/>
        <v>6.8999999999999999E-3</v>
      </c>
      <c r="P25" s="2643">
        <f t="shared" si="118"/>
        <v>8.0000000000000002E-3</v>
      </c>
      <c r="Q25" s="2643">
        <f t="shared" si="118"/>
        <v>8.8000000000000005E-3</v>
      </c>
      <c r="R25" s="2627"/>
      <c r="S25" s="2625"/>
      <c r="T25" s="2626"/>
      <c r="U25" s="2626"/>
      <c r="V25" s="2626"/>
      <c r="X25" s="2715">
        <f>ROUND(SUMPRODUCT(PRODUCT(1+N25:N$29)),4)</f>
        <v>1.048</v>
      </c>
      <c r="Y25" s="2715">
        <f>ROUND(SUMPRODUCT(PRODUCT(1+O25:O$29)),4)</f>
        <v>1.0524</v>
      </c>
      <c r="Z25" s="2715">
        <f t="shared" si="0"/>
        <v>1.0524</v>
      </c>
      <c r="AA25" s="2715">
        <f>ROUND(SUMPRODUCT(PRODUCT(1+P25:P$29)),4)</f>
        <v>1.0470999999999999</v>
      </c>
      <c r="AB25" s="2715">
        <f>ROUND(SUMPRODUCT(PRODUCT(1+Q25:Q$29)),4)</f>
        <v>1.0504</v>
      </c>
      <c r="AD25" s="2635">
        <f>ROUND(AVERAGE(I25:I$30)/100,4)</f>
        <v>1.2800000000000001E-2</v>
      </c>
      <c r="AE25" s="2635">
        <f>ROUND(AVERAGE(J25:J$30)/100,4)</f>
        <v>1.2500000000000001E-2</v>
      </c>
      <c r="AF25" s="2635">
        <f t="shared" si="1"/>
        <v>1.2500000000000001E-2</v>
      </c>
      <c r="AG25" s="2635">
        <f>ROUND(AVERAGE(K25:K$30)/100,4)</f>
        <v>1.32E-2</v>
      </c>
      <c r="AH25" s="2635">
        <f>ROUND(AVERAGE(L25:L$30)/100,4)</f>
        <v>1.0500000000000001E-2</v>
      </c>
    </row>
    <row r="26" spans="1:34">
      <c r="A26" s="2617" t="s">
        <v>964</v>
      </c>
      <c r="B26" s="2630">
        <f t="shared" si="123"/>
        <v>319.87748030386797</v>
      </c>
      <c r="C26" s="2630">
        <f t="shared" si="123"/>
        <v>269.60135833173649</v>
      </c>
      <c r="D26" s="2630">
        <f t="shared" si="120"/>
        <v>269.60135833173649</v>
      </c>
      <c r="E26" s="2630">
        <f t="shared" si="124"/>
        <v>439.18089823583784</v>
      </c>
      <c r="F26" s="2630">
        <f t="shared" si="124"/>
        <v>239.23503918706311</v>
      </c>
      <c r="G26" s="3472"/>
      <c r="H26" s="2620">
        <v>1</v>
      </c>
      <c r="I26" s="2620">
        <v>0.51</v>
      </c>
      <c r="J26" s="2620">
        <v>0.54</v>
      </c>
      <c r="K26" s="2620">
        <v>0.48</v>
      </c>
      <c r="L26" s="2631">
        <v>0.93</v>
      </c>
      <c r="N26" s="2633">
        <f t="shared" si="122"/>
        <v>5.1000000000000004E-3</v>
      </c>
      <c r="O26" s="2634">
        <f t="shared" si="118"/>
        <v>5.4000000000000003E-3</v>
      </c>
      <c r="P26" s="2634">
        <f t="shared" si="118"/>
        <v>4.7999999999999996E-3</v>
      </c>
      <c r="Q26" s="2634">
        <f t="shared" si="118"/>
        <v>9.300000000000001E-3</v>
      </c>
      <c r="R26" s="2627"/>
      <c r="S26" s="2633">
        <f>B26/B27-1</f>
        <v>5.9040261127922822E-3</v>
      </c>
      <c r="T26" s="2634">
        <f>C26/C27-1</f>
        <v>5.9752176557332781E-3</v>
      </c>
      <c r="U26" s="2634">
        <f>E26/E27-1</f>
        <v>4.9906138119859556E-3</v>
      </c>
      <c r="V26" s="2634">
        <f>F26/F27-1</f>
        <v>9.4305450930933787E-3</v>
      </c>
      <c r="X26" s="2715">
        <f>ROUND(SUMPRODUCT(PRODUCT(1+N26:N$29)),4)</f>
        <v>1.0399</v>
      </c>
      <c r="Y26" s="2715">
        <f>ROUND(SUMPRODUCT(PRODUCT(1+O26:O$29)),4)</f>
        <v>1.0451999999999999</v>
      </c>
      <c r="Z26" s="2715">
        <f t="shared" si="0"/>
        <v>1.0451999999999999</v>
      </c>
      <c r="AA26" s="2715">
        <f>ROUND(SUMPRODUCT(PRODUCT(1+P26:P$29)),4)</f>
        <v>1.0387999999999999</v>
      </c>
      <c r="AB26" s="2715">
        <f>ROUND(SUMPRODUCT(PRODUCT(1+Q26:Q$29)),4)</f>
        <v>1.0411999999999999</v>
      </c>
      <c r="AD26" s="2635">
        <f>ROUND(AVERAGE(I26:I$30)/100,4)</f>
        <v>1.38E-2</v>
      </c>
      <c r="AE26" s="2635">
        <f>ROUND(AVERAGE(J26:J$30)/100,4)</f>
        <v>1.3599999999999999E-2</v>
      </c>
      <c r="AF26" s="2635">
        <f t="shared" si="1"/>
        <v>1.3599999999999999E-2</v>
      </c>
      <c r="AG26" s="2635">
        <f>ROUND(AVERAGE(K26:K$30)/100,4)</f>
        <v>1.4200000000000001E-2</v>
      </c>
      <c r="AH26" s="2635">
        <f>ROUND(AVERAGE(L26:L$30)/100,4)</f>
        <v>1.0800000000000001E-2</v>
      </c>
    </row>
    <row r="27" spans="1:34" ht="13.5" thickBot="1">
      <c r="A27" s="2617" t="s">
        <v>963</v>
      </c>
      <c r="B27" s="2644">
        <v>318</v>
      </c>
      <c r="C27" s="2644">
        <v>268</v>
      </c>
      <c r="D27" s="2644">
        <f t="shared" si="120"/>
        <v>268</v>
      </c>
      <c r="E27" s="2644">
        <v>437</v>
      </c>
      <c r="F27" s="2645">
        <v>237</v>
      </c>
      <c r="G27" s="3471">
        <v>2014</v>
      </c>
      <c r="H27" s="2636">
        <v>4</v>
      </c>
      <c r="I27" s="2636">
        <v>0.21</v>
      </c>
      <c r="J27" s="2636">
        <v>0.41</v>
      </c>
      <c r="K27" s="2636">
        <v>0.12</v>
      </c>
      <c r="L27" s="2637">
        <v>0.89</v>
      </c>
      <c r="N27" s="2625">
        <f t="shared" si="122"/>
        <v>2.0999999999999999E-3</v>
      </c>
      <c r="O27" s="2626">
        <f t="shared" si="118"/>
        <v>4.0999999999999995E-3</v>
      </c>
      <c r="P27" s="2626">
        <f t="shared" si="118"/>
        <v>1.1999999999999999E-3</v>
      </c>
      <c r="Q27" s="2626">
        <f t="shared" si="118"/>
        <v>8.8999999999999999E-3</v>
      </c>
      <c r="R27" s="2627"/>
      <c r="S27" s="2628"/>
      <c r="T27" s="2629"/>
      <c r="U27" s="2629"/>
      <c r="V27" s="2629"/>
      <c r="X27" s="2715">
        <f>ROUND(SUMPRODUCT(PRODUCT(1+N27:N$29)),4)</f>
        <v>1.0347</v>
      </c>
      <c r="Y27" s="2715">
        <f>ROUND(SUMPRODUCT(PRODUCT(1+O27:O$29)),4)</f>
        <v>1.0395000000000001</v>
      </c>
      <c r="Z27" s="2715">
        <f t="shared" si="0"/>
        <v>1.0395000000000001</v>
      </c>
      <c r="AA27" s="2715">
        <f>ROUND(SUMPRODUCT(PRODUCT(1+P27:P$29)),4)</f>
        <v>1.0338000000000001</v>
      </c>
      <c r="AB27" s="2715">
        <f>ROUND(SUMPRODUCT(PRODUCT(1+Q27:Q$29)),4)</f>
        <v>1.0316000000000001</v>
      </c>
      <c r="AD27" s="2635">
        <f>ROUND(AVERAGE(I27:I$30)/100,4)</f>
        <v>1.6E-2</v>
      </c>
      <c r="AE27" s="2635">
        <f>ROUND(AVERAGE(J27:J$30)/100,4)</f>
        <v>1.5599999999999999E-2</v>
      </c>
      <c r="AF27" s="2635">
        <f t="shared" si="1"/>
        <v>1.5599999999999999E-2</v>
      </c>
      <c r="AG27" s="2635">
        <f>ROUND(AVERAGE(K27:K$30)/100,4)</f>
        <v>1.66E-2</v>
      </c>
      <c r="AH27" s="2635">
        <f>ROUND(AVERAGE(L27:L$30)/100,4)</f>
        <v>1.12E-2</v>
      </c>
    </row>
    <row r="28" spans="1:34">
      <c r="A28" s="2617" t="s">
        <v>962</v>
      </c>
      <c r="B28" s="2630">
        <f t="shared" ref="B28:C30" si="125">B27/(1+N27)</f>
        <v>317.33359944117353</v>
      </c>
      <c r="C28" s="2630">
        <f t="shared" si="125"/>
        <v>266.90568668459315</v>
      </c>
      <c r="D28" s="2630">
        <f t="shared" si="120"/>
        <v>266.90568668459315</v>
      </c>
      <c r="E28" s="2630">
        <f t="shared" ref="E28:F30" si="126">E27/(1+P27)</f>
        <v>436.47622852576905</v>
      </c>
      <c r="F28" s="2630">
        <f t="shared" si="126"/>
        <v>234.90930716622066</v>
      </c>
      <c r="G28" s="3469"/>
      <c r="H28" s="2646">
        <v>3</v>
      </c>
      <c r="I28" s="2646">
        <v>0.83</v>
      </c>
      <c r="J28" s="2646">
        <v>1.47</v>
      </c>
      <c r="K28" s="2646">
        <v>0.65</v>
      </c>
      <c r="L28" s="2647">
        <v>0.72</v>
      </c>
      <c r="N28" s="2625">
        <f t="shared" si="122"/>
        <v>8.3000000000000001E-3</v>
      </c>
      <c r="O28" s="2626">
        <f t="shared" si="118"/>
        <v>1.47E-2</v>
      </c>
      <c r="P28" s="2626">
        <f t="shared" si="118"/>
        <v>6.5000000000000006E-3</v>
      </c>
      <c r="Q28" s="2626">
        <f t="shared" si="118"/>
        <v>7.1999999999999998E-3</v>
      </c>
      <c r="R28" s="2627"/>
      <c r="S28" s="2625"/>
      <c r="T28" s="2626"/>
      <c r="U28" s="2626"/>
      <c r="V28" s="2626"/>
      <c r="X28" s="2715">
        <f>ROUND(SUMPRODUCT(PRODUCT(1+N28:N$29)),4)</f>
        <v>1.0325</v>
      </c>
      <c r="Y28" s="2715">
        <f>ROUND(SUMPRODUCT(PRODUCT(1+O28:O$29)),4)</f>
        <v>1.0353000000000001</v>
      </c>
      <c r="Z28" s="2715">
        <f t="shared" ref="Z28:Z29" si="127">Y28</f>
        <v>1.0353000000000001</v>
      </c>
      <c r="AA28" s="2715">
        <f>ROUND(SUMPRODUCT(PRODUCT(1+P28:P$29)),4)</f>
        <v>1.0326</v>
      </c>
      <c r="AB28" s="2715">
        <f>ROUND(SUMPRODUCT(PRODUCT(1+Q28:Q$29)),4)</f>
        <v>1.0225</v>
      </c>
      <c r="AD28" s="2635">
        <f>ROUND(AVERAGE(I28:I$30)/100,4)</f>
        <v>2.07E-2</v>
      </c>
      <c r="AE28" s="2635">
        <f>ROUND(AVERAGE(J28:J$30)/100,4)</f>
        <v>1.95E-2</v>
      </c>
      <c r="AF28" s="2635">
        <f t="shared" si="1"/>
        <v>1.95E-2</v>
      </c>
      <c r="AG28" s="2635">
        <f>ROUND(AVERAGE(K28:K$30)/100,4)</f>
        <v>2.1700000000000001E-2</v>
      </c>
      <c r="AH28" s="2635">
        <f>ROUND(AVERAGE(L28:L$30)/100,4)</f>
        <v>1.2E-2</v>
      </c>
    </row>
    <row r="29" spans="1:34" ht="13.5" thickBot="1">
      <c r="A29" s="2617" t="s">
        <v>961</v>
      </c>
      <c r="B29" s="2630">
        <f t="shared" si="125"/>
        <v>314.72141172386546</v>
      </c>
      <c r="C29" s="2630">
        <f t="shared" si="125"/>
        <v>263.03901319069001</v>
      </c>
      <c r="D29" s="2630">
        <f t="shared" si="120"/>
        <v>263.03901319069001</v>
      </c>
      <c r="E29" s="2630">
        <f t="shared" si="126"/>
        <v>433.65745506782821</v>
      </c>
      <c r="F29" s="2630">
        <f t="shared" si="126"/>
        <v>233.23005080045735</v>
      </c>
      <c r="G29" s="3469"/>
      <c r="H29" s="2636">
        <v>2</v>
      </c>
      <c r="I29" s="2636">
        <v>2.4</v>
      </c>
      <c r="J29" s="2636">
        <v>2.0299999999999998</v>
      </c>
      <c r="K29" s="2636">
        <v>2.59</v>
      </c>
      <c r="L29" s="2637">
        <v>1.52</v>
      </c>
      <c r="N29" s="2625">
        <f t="shared" si="122"/>
        <v>2.4E-2</v>
      </c>
      <c r="O29" s="2626">
        <f t="shared" si="118"/>
        <v>2.0299999999999999E-2</v>
      </c>
      <c r="P29" s="2626">
        <f t="shared" si="118"/>
        <v>2.5899999999999999E-2</v>
      </c>
      <c r="Q29" s="2626">
        <f t="shared" si="118"/>
        <v>1.52E-2</v>
      </c>
      <c r="R29" s="2627"/>
      <c r="S29" s="2625"/>
      <c r="T29" s="2626"/>
      <c r="U29" s="2626"/>
      <c r="V29" s="2626"/>
      <c r="X29" s="2715">
        <f>1+N29</f>
        <v>1.024</v>
      </c>
      <c r="Y29" s="2715">
        <f>1+O29</f>
        <v>1.0203</v>
      </c>
      <c r="Z29" s="2715">
        <f t="shared" si="127"/>
        <v>1.0203</v>
      </c>
      <c r="AA29" s="2715">
        <f>1+P29</f>
        <v>1.0259</v>
      </c>
      <c r="AB29" s="2715">
        <f>1+Q29</f>
        <v>1.0152000000000001</v>
      </c>
      <c r="AD29" s="2635">
        <f>ROUND(AVERAGE(I29:I$30)/100,4)</f>
        <v>2.69E-2</v>
      </c>
      <c r="AE29" s="2635">
        <f>ROUND(AVERAGE(J29:J$30)/100,4)</f>
        <v>2.1899999999999999E-2</v>
      </c>
      <c r="AF29" s="2635">
        <f t="shared" ref="AF29" si="128">AE29</f>
        <v>2.1899999999999999E-2</v>
      </c>
      <c r="AG29" s="2635">
        <f>ROUND(AVERAGE(K29:K$30)/100,4)</f>
        <v>2.9399999999999999E-2</v>
      </c>
      <c r="AH29" s="2635">
        <f>ROUND(AVERAGE(L29:L$30)/100,4)</f>
        <v>1.44E-2</v>
      </c>
    </row>
    <row r="30" spans="1:34" s="2652" customFormat="1" ht="13.5" thickBot="1">
      <c r="A30" s="2648" t="s">
        <v>960</v>
      </c>
      <c r="B30" s="2649">
        <f t="shared" si="125"/>
        <v>307.34512863658733</v>
      </c>
      <c r="C30" s="2649">
        <f t="shared" si="125"/>
        <v>257.80556031626975</v>
      </c>
      <c r="D30" s="2649">
        <f t="shared" si="120"/>
        <v>257.80556031626975</v>
      </c>
      <c r="E30" s="2649">
        <f t="shared" si="126"/>
        <v>422.70928459677179</v>
      </c>
      <c r="F30" s="2649">
        <f t="shared" si="126"/>
        <v>229.73803270336617</v>
      </c>
      <c r="G30" s="3472"/>
      <c r="H30" s="2650">
        <v>1</v>
      </c>
      <c r="I30" s="2650">
        <v>2.97</v>
      </c>
      <c r="J30" s="2650">
        <v>2.34</v>
      </c>
      <c r="K30" s="2650">
        <v>3.28</v>
      </c>
      <c r="L30" s="2651">
        <v>1.36</v>
      </c>
      <c r="N30" s="2653">
        <f t="shared" si="122"/>
        <v>2.9700000000000001E-2</v>
      </c>
      <c r="O30" s="2654">
        <f t="shared" si="118"/>
        <v>2.3399999999999997E-2</v>
      </c>
      <c r="P30" s="2654">
        <f t="shared" si="118"/>
        <v>3.2799999999999996E-2</v>
      </c>
      <c r="Q30" s="2654">
        <f t="shared" si="118"/>
        <v>1.3600000000000001E-2</v>
      </c>
      <c r="R30" s="2655"/>
      <c r="S30" s="2656">
        <f>B30/B31-1</f>
        <v>2.7910129219355539E-2</v>
      </c>
      <c r="T30" s="2657">
        <f>C30/C31-1</f>
        <v>2.3037937762975247E-2</v>
      </c>
      <c r="U30" s="2657">
        <f>E30/E31-1</f>
        <v>3.3519033243940788E-2</v>
      </c>
      <c r="V30" s="2657">
        <f>F30/F31-1</f>
        <v>1.2061818076502862E-2</v>
      </c>
      <c r="W30" s="2724" t="s">
        <v>2635</v>
      </c>
      <c r="X30" s="2726">
        <v>1</v>
      </c>
      <c r="Y30" s="2726">
        <v>1</v>
      </c>
      <c r="Z30" s="2726">
        <v>1</v>
      </c>
      <c r="AA30" s="2726">
        <v>1</v>
      </c>
      <c r="AB30" s="2726">
        <v>1</v>
      </c>
      <c r="AD30" s="2959">
        <f>I30/100</f>
        <v>2.9700000000000001E-2</v>
      </c>
      <c r="AE30" s="2959">
        <f>J30/100</f>
        <v>2.3399999999999997E-2</v>
      </c>
      <c r="AF30" s="2959">
        <f>AE30</f>
        <v>2.3399999999999997E-2</v>
      </c>
      <c r="AG30" s="2959">
        <f>K30/100</f>
        <v>3.2799999999999996E-2</v>
      </c>
      <c r="AH30" s="2959">
        <f>L30/100</f>
        <v>1.3600000000000001E-2</v>
      </c>
    </row>
    <row r="31" spans="1:34" ht="13.5" thickBot="1">
      <c r="A31" s="2617" t="s">
        <v>2578</v>
      </c>
      <c r="B31" s="2622">
        <v>299</v>
      </c>
      <c r="C31" s="2622">
        <v>252</v>
      </c>
      <c r="D31" s="2622">
        <f t="shared" si="120"/>
        <v>252</v>
      </c>
      <c r="E31" s="2622">
        <v>409</v>
      </c>
      <c r="F31" s="2623">
        <v>227</v>
      </c>
      <c r="G31" s="3476">
        <v>2013</v>
      </c>
      <c r="H31" s="2658">
        <v>4</v>
      </c>
      <c r="I31" s="2658">
        <v>1.83</v>
      </c>
      <c r="J31" s="2658">
        <v>1.68</v>
      </c>
      <c r="K31" s="2658">
        <v>1.97</v>
      </c>
      <c r="L31" s="2659">
        <v>0.87</v>
      </c>
      <c r="N31" s="2638">
        <f t="shared" si="122"/>
        <v>1.83E-2</v>
      </c>
      <c r="O31" s="2639">
        <f t="shared" si="118"/>
        <v>1.6799999999999999E-2</v>
      </c>
      <c r="P31" s="2639">
        <f t="shared" si="118"/>
        <v>1.9699999999999999E-2</v>
      </c>
      <c r="Q31" s="2639">
        <f t="shared" si="118"/>
        <v>8.6999999999999994E-3</v>
      </c>
      <c r="R31" s="2627"/>
      <c r="S31" s="2628"/>
      <c r="T31" s="2629"/>
      <c r="U31" s="2629"/>
      <c r="V31" s="2629"/>
      <c r="X31" s="2629"/>
      <c r="Y31" s="2629"/>
      <c r="Z31" s="2629"/>
    </row>
    <row r="32" spans="1:34">
      <c r="A32" s="2617" t="s">
        <v>2579</v>
      </c>
      <c r="B32" s="2630">
        <f t="shared" ref="B32:C34" si="129">B31/(1+N31)</f>
        <v>293.62663262299913</v>
      </c>
      <c r="C32" s="2630">
        <f t="shared" si="129"/>
        <v>247.83634933123525</v>
      </c>
      <c r="D32" s="2630">
        <f t="shared" si="120"/>
        <v>247.83634933123525</v>
      </c>
      <c r="E32" s="2630">
        <f t="shared" ref="E32:F34" si="130">E31/(1+P31)</f>
        <v>401.09836226341076</v>
      </c>
      <c r="F32" s="2630">
        <f t="shared" si="130"/>
        <v>225.04213343908003</v>
      </c>
      <c r="G32" s="3477"/>
      <c r="H32" s="2641">
        <v>3</v>
      </c>
      <c r="I32" s="2641">
        <v>1.86</v>
      </c>
      <c r="J32" s="2641">
        <v>1.72</v>
      </c>
      <c r="K32" s="2641">
        <v>1.98</v>
      </c>
      <c r="L32" s="2642">
        <v>0.88</v>
      </c>
      <c r="N32" s="2625">
        <f t="shared" si="122"/>
        <v>1.8600000000000002E-2</v>
      </c>
      <c r="O32" s="2643">
        <f t="shared" si="118"/>
        <v>1.72E-2</v>
      </c>
      <c r="P32" s="2643">
        <f t="shared" si="118"/>
        <v>1.9799999999999998E-2</v>
      </c>
      <c r="Q32" s="2643">
        <f t="shared" si="118"/>
        <v>8.8000000000000005E-3</v>
      </c>
      <c r="R32" s="2627"/>
      <c r="S32" s="2625"/>
      <c r="T32" s="2626"/>
      <c r="U32" s="2626"/>
      <c r="V32" s="2626"/>
    </row>
    <row r="33" spans="1:26">
      <c r="A33" s="2617" t="s">
        <v>2580</v>
      </c>
      <c r="B33" s="2630">
        <f t="shared" si="129"/>
        <v>288.2649053828776</v>
      </c>
      <c r="C33" s="2630">
        <f t="shared" si="129"/>
        <v>243.64564425013293</v>
      </c>
      <c r="D33" s="2630">
        <f t="shared" si="120"/>
        <v>243.64564425013293</v>
      </c>
      <c r="E33" s="2630">
        <f t="shared" si="130"/>
        <v>393.31080825986544</v>
      </c>
      <c r="F33" s="2630">
        <f t="shared" si="130"/>
        <v>223.07903790551154</v>
      </c>
      <c r="G33" s="3477"/>
      <c r="H33" s="2621">
        <v>2</v>
      </c>
      <c r="I33" s="2621">
        <v>2.04</v>
      </c>
      <c r="J33" s="2621">
        <v>2.33</v>
      </c>
      <c r="K33" s="2621">
        <v>2.0699999999999998</v>
      </c>
      <c r="L33" s="2632">
        <v>0.69</v>
      </c>
      <c r="N33" s="2625">
        <f t="shared" si="122"/>
        <v>2.0400000000000001E-2</v>
      </c>
      <c r="O33" s="2643">
        <f t="shared" si="118"/>
        <v>2.3300000000000001E-2</v>
      </c>
      <c r="P33" s="2643">
        <f t="shared" si="118"/>
        <v>2.07E-2</v>
      </c>
      <c r="Q33" s="2643">
        <f t="shared" si="118"/>
        <v>6.8999999999999999E-3</v>
      </c>
      <c r="R33" s="2627"/>
      <c r="S33" s="2625"/>
      <c r="T33" s="2626"/>
      <c r="U33" s="2626"/>
      <c r="V33" s="2626"/>
      <c r="X33" s="2727"/>
      <c r="Y33" s="2729"/>
    </row>
    <row r="34" spans="1:26">
      <c r="A34" s="2617" t="s">
        <v>2581</v>
      </c>
      <c r="B34" s="2630">
        <f t="shared" si="129"/>
        <v>282.50186729015837</v>
      </c>
      <c r="C34" s="2630">
        <f t="shared" si="129"/>
        <v>238.09796174155468</v>
      </c>
      <c r="D34" s="2630">
        <f t="shared" si="120"/>
        <v>238.09796174155468</v>
      </c>
      <c r="E34" s="2630">
        <f t="shared" si="130"/>
        <v>385.33438646014054</v>
      </c>
      <c r="F34" s="2630">
        <f t="shared" si="130"/>
        <v>221.55034055567739</v>
      </c>
      <c r="G34" s="3478"/>
      <c r="H34" s="2620">
        <v>1</v>
      </c>
      <c r="I34" s="2620">
        <v>1.67</v>
      </c>
      <c r="J34" s="2620">
        <v>1.31</v>
      </c>
      <c r="K34" s="2620">
        <v>1.85</v>
      </c>
      <c r="L34" s="2631">
        <v>0.96</v>
      </c>
      <c r="N34" s="2633">
        <f t="shared" si="122"/>
        <v>1.67E-2</v>
      </c>
      <c r="O34" s="2634">
        <f t="shared" si="118"/>
        <v>1.3100000000000001E-2</v>
      </c>
      <c r="P34" s="2634">
        <f t="shared" si="118"/>
        <v>1.8500000000000003E-2</v>
      </c>
      <c r="Q34" s="2634">
        <f t="shared" si="118"/>
        <v>9.5999999999999992E-3</v>
      </c>
      <c r="R34" s="2627"/>
      <c r="S34" s="2633">
        <f>B34/B35-1</f>
        <v>1.6193767230785472E-2</v>
      </c>
      <c r="T34" s="2634">
        <f>C34/C35-1</f>
        <v>1.7512657015190891E-2</v>
      </c>
      <c r="U34" s="2634">
        <f>E34/E35-1</f>
        <v>1.6713420739157048E-2</v>
      </c>
      <c r="V34" s="2634">
        <f>F34/F35-1</f>
        <v>7.0470025258062563E-3</v>
      </c>
      <c r="X34" s="2728"/>
      <c r="Y34" s="2635"/>
      <c r="Z34" s="2635"/>
    </row>
    <row r="35" spans="1:26" ht="13.5" thickBot="1">
      <c r="A35" s="2617" t="s">
        <v>2582</v>
      </c>
      <c r="B35" s="2660">
        <v>278</v>
      </c>
      <c r="C35" s="2660">
        <v>234</v>
      </c>
      <c r="D35" s="2660">
        <f t="shared" si="120"/>
        <v>234</v>
      </c>
      <c r="E35" s="2660">
        <v>379</v>
      </c>
      <c r="F35" s="2661">
        <v>220</v>
      </c>
      <c r="G35" s="3471">
        <v>2012</v>
      </c>
      <c r="H35" s="2636">
        <v>4</v>
      </c>
      <c r="I35" s="2636">
        <v>0.91</v>
      </c>
      <c r="J35" s="2636">
        <v>0.68</v>
      </c>
      <c r="K35" s="2636">
        <v>0.98</v>
      </c>
      <c r="L35" s="2637">
        <v>0.9</v>
      </c>
      <c r="N35" s="2625">
        <f t="shared" si="122"/>
        <v>9.1000000000000004E-3</v>
      </c>
      <c r="O35" s="2626">
        <f t="shared" si="122"/>
        <v>6.8000000000000005E-3</v>
      </c>
      <c r="P35" s="2626">
        <f t="shared" si="122"/>
        <v>9.7999999999999997E-3</v>
      </c>
      <c r="Q35" s="2626">
        <f t="shared" si="122"/>
        <v>9.0000000000000011E-3</v>
      </c>
      <c r="R35" s="2627"/>
      <c r="S35" s="2628"/>
      <c r="T35" s="2629"/>
      <c r="U35" s="2629"/>
      <c r="V35" s="2629"/>
      <c r="X35" s="2629"/>
      <c r="Y35" s="2629"/>
      <c r="Z35" s="2629"/>
    </row>
    <row r="36" spans="1:26">
      <c r="A36" s="2617" t="s">
        <v>2583</v>
      </c>
      <c r="B36" s="2630">
        <f>B35/(1+N35)</f>
        <v>275.49301357645425</v>
      </c>
      <c r="C36" s="2630">
        <f>C35/(1+O35)</f>
        <v>232.41954707985698</v>
      </c>
      <c r="D36" s="2630">
        <f t="shared" si="120"/>
        <v>232.41954707985698</v>
      </c>
      <c r="E36" s="2630">
        <f t="shared" ref="E36:F38" si="131">E35/(1+P35)</f>
        <v>375.32184591008121</v>
      </c>
      <c r="F36" s="2630">
        <f t="shared" si="131"/>
        <v>218.03766105054513</v>
      </c>
      <c r="G36" s="3469"/>
      <c r="H36" s="2641">
        <v>3</v>
      </c>
      <c r="I36" s="2641">
        <v>0.09</v>
      </c>
      <c r="J36" s="2641">
        <v>0.28999999999999998</v>
      </c>
      <c r="K36" s="2641">
        <v>-0.01</v>
      </c>
      <c r="L36" s="2642">
        <v>0.57999999999999996</v>
      </c>
      <c r="N36" s="2625">
        <f t="shared" si="122"/>
        <v>8.9999999999999998E-4</v>
      </c>
      <c r="O36" s="2626">
        <f t="shared" si="122"/>
        <v>2.8999999999999998E-3</v>
      </c>
      <c r="P36" s="2626">
        <f t="shared" si="122"/>
        <v>-1E-4</v>
      </c>
      <c r="Q36" s="2626">
        <f t="shared" si="122"/>
        <v>5.7999999999999996E-3</v>
      </c>
      <c r="R36" s="2627"/>
      <c r="S36" s="2625"/>
      <c r="T36" s="2626"/>
      <c r="U36" s="2626"/>
      <c r="V36" s="2626"/>
    </row>
    <row r="37" spans="1:26">
      <c r="A37" s="2617" t="s">
        <v>2584</v>
      </c>
      <c r="B37" s="2630">
        <f>B36/(1+N36)</f>
        <v>275.24529281292263</v>
      </c>
      <c r="C37" s="2630">
        <f>C36/(1+O36)</f>
        <v>231.74747938962707</v>
      </c>
      <c r="D37" s="2630">
        <f t="shared" si="120"/>
        <v>231.74747938962707</v>
      </c>
      <c r="E37" s="2630">
        <f t="shared" si="131"/>
        <v>375.35938184826603</v>
      </c>
      <c r="F37" s="2630">
        <f t="shared" si="131"/>
        <v>216.78033510692495</v>
      </c>
      <c r="G37" s="3469"/>
      <c r="H37" s="2621">
        <v>2</v>
      </c>
      <c r="I37" s="2621">
        <v>0.02</v>
      </c>
      <c r="J37" s="2621">
        <v>0.12</v>
      </c>
      <c r="K37" s="2621">
        <v>-0.08</v>
      </c>
      <c r="L37" s="2632">
        <v>1.24</v>
      </c>
      <c r="N37" s="2625">
        <f t="shared" si="122"/>
        <v>2.0000000000000001E-4</v>
      </c>
      <c r="O37" s="2626">
        <f t="shared" si="122"/>
        <v>1.1999999999999999E-3</v>
      </c>
      <c r="P37" s="2626">
        <f t="shared" si="122"/>
        <v>-8.0000000000000004E-4</v>
      </c>
      <c r="Q37" s="2626">
        <f t="shared" si="122"/>
        <v>1.24E-2</v>
      </c>
      <c r="R37" s="2627"/>
      <c r="S37" s="2625"/>
      <c r="T37" s="2626"/>
      <c r="U37" s="2626"/>
      <c r="V37" s="2626"/>
    </row>
    <row r="38" spans="1:26" ht="13.5" thickBot="1">
      <c r="A38" s="2617" t="s">
        <v>2585</v>
      </c>
      <c r="B38" s="2630">
        <f>B37/(1+N37)</f>
        <v>275.19025476197027</v>
      </c>
      <c r="C38" s="2662">
        <v>232</v>
      </c>
      <c r="D38" s="2662">
        <f t="shared" si="120"/>
        <v>232</v>
      </c>
      <c r="E38" s="2630">
        <f t="shared" si="131"/>
        <v>375.65990977608692</v>
      </c>
      <c r="F38" s="2630">
        <f t="shared" si="131"/>
        <v>214.12518283971252</v>
      </c>
      <c r="G38" s="3472"/>
      <c r="H38" s="2620">
        <v>1</v>
      </c>
      <c r="I38" s="2620">
        <v>0.02</v>
      </c>
      <c r="J38" s="2620">
        <v>0.13</v>
      </c>
      <c r="K38" s="2620">
        <v>-0.04</v>
      </c>
      <c r="L38" s="2631">
        <v>0.46</v>
      </c>
      <c r="N38" s="2625">
        <f t="shared" si="122"/>
        <v>2.0000000000000001E-4</v>
      </c>
      <c r="O38" s="2626">
        <f t="shared" si="122"/>
        <v>1.2999999999999999E-3</v>
      </c>
      <c r="P38" s="2626">
        <f t="shared" si="122"/>
        <v>-4.0000000000000002E-4</v>
      </c>
      <c r="Q38" s="2626">
        <f t="shared" si="122"/>
        <v>4.5999999999999999E-3</v>
      </c>
      <c r="R38" s="2627"/>
      <c r="S38" s="2633">
        <f>B38/B39-1</f>
        <v>6.9183549807361189E-4</v>
      </c>
      <c r="T38" s="2634">
        <f>C38/C39-1</f>
        <v>0</v>
      </c>
      <c r="U38" s="2634">
        <f>E38/E39-1</f>
        <v>-9.0449527636460303E-4</v>
      </c>
      <c r="V38" s="2634">
        <f>F38/F39-1</f>
        <v>5.2825485432512753E-3</v>
      </c>
      <c r="X38" s="2635"/>
      <c r="Y38" s="2635"/>
      <c r="Z38" s="2635"/>
    </row>
    <row r="39" spans="1:26" ht="13.5" thickBot="1">
      <c r="A39" s="2617" t="s">
        <v>2586</v>
      </c>
      <c r="B39" s="2622">
        <v>275</v>
      </c>
      <c r="C39" s="2622">
        <v>232</v>
      </c>
      <c r="D39" s="2622">
        <f t="shared" si="120"/>
        <v>232</v>
      </c>
      <c r="E39" s="2622">
        <v>376</v>
      </c>
      <c r="F39" s="2623">
        <v>213</v>
      </c>
      <c r="G39" s="3471">
        <v>2011</v>
      </c>
      <c r="H39" s="2636">
        <v>4</v>
      </c>
      <c r="I39" s="2636">
        <v>-0.2</v>
      </c>
      <c r="J39" s="2636">
        <v>0.04</v>
      </c>
      <c r="K39" s="2636">
        <v>-0.34</v>
      </c>
      <c r="L39" s="2637">
        <v>0.46</v>
      </c>
      <c r="N39" s="2638">
        <f t="shared" si="122"/>
        <v>-2E-3</v>
      </c>
      <c r="O39" s="2639">
        <f t="shared" si="122"/>
        <v>4.0000000000000002E-4</v>
      </c>
      <c r="P39" s="2639">
        <f t="shared" si="122"/>
        <v>-3.4000000000000002E-3</v>
      </c>
      <c r="Q39" s="2639">
        <f t="shared" si="122"/>
        <v>4.5999999999999999E-3</v>
      </c>
      <c r="R39" s="2627"/>
      <c r="S39" s="2628"/>
      <c r="T39" s="2629"/>
      <c r="U39" s="2629"/>
      <c r="V39" s="2629"/>
      <c r="X39" s="2629"/>
      <c r="Y39" s="2629"/>
      <c r="Z39" s="2629"/>
    </row>
    <row r="40" spans="1:26">
      <c r="A40" s="2617" t="s">
        <v>2587</v>
      </c>
      <c r="B40" s="2630">
        <f t="shared" ref="B40:C42" si="132">B39/(1+N39)</f>
        <v>275.55110220440883</v>
      </c>
      <c r="C40" s="2630">
        <f t="shared" si="132"/>
        <v>231.90723710515795</v>
      </c>
      <c r="D40" s="2630">
        <f t="shared" si="120"/>
        <v>231.90723710515795</v>
      </c>
      <c r="E40" s="2630">
        <f t="shared" ref="E40:F42" si="133">E39/(1+P39)</f>
        <v>377.28276138872161</v>
      </c>
      <c r="F40" s="2630">
        <f t="shared" si="133"/>
        <v>212.02468644236512</v>
      </c>
      <c r="G40" s="3469">
        <v>2011</v>
      </c>
      <c r="H40" s="2641">
        <v>3</v>
      </c>
      <c r="I40" s="2641">
        <v>0.13</v>
      </c>
      <c r="J40" s="2641">
        <v>0.75</v>
      </c>
      <c r="K40" s="2641">
        <v>-0.08</v>
      </c>
      <c r="L40" s="2642">
        <v>0.53</v>
      </c>
      <c r="N40" s="2625">
        <f t="shared" si="122"/>
        <v>1.2999999999999999E-3</v>
      </c>
      <c r="O40" s="2643">
        <f t="shared" si="122"/>
        <v>7.4999999999999997E-3</v>
      </c>
      <c r="P40" s="2643">
        <f t="shared" si="122"/>
        <v>-8.0000000000000004E-4</v>
      </c>
      <c r="Q40" s="2643">
        <f t="shared" si="122"/>
        <v>5.3E-3</v>
      </c>
      <c r="R40" s="2627"/>
      <c r="S40" s="2625"/>
      <c r="T40" s="2626"/>
      <c r="U40" s="2626"/>
      <c r="V40" s="2626"/>
    </row>
    <row r="41" spans="1:26">
      <c r="A41" s="2617" t="s">
        <v>2588</v>
      </c>
      <c r="B41" s="2630">
        <f t="shared" si="132"/>
        <v>275.19335084830601</v>
      </c>
      <c r="C41" s="2630">
        <f t="shared" si="132"/>
        <v>230.18088050139744</v>
      </c>
      <c r="D41" s="2630">
        <f t="shared" si="120"/>
        <v>230.18088050139744</v>
      </c>
      <c r="E41" s="2630">
        <f t="shared" si="133"/>
        <v>377.58482925212331</v>
      </c>
      <c r="F41" s="2630">
        <f t="shared" si="133"/>
        <v>210.90687997847917</v>
      </c>
      <c r="G41" s="3469">
        <v>2011</v>
      </c>
      <c r="H41" s="2621">
        <v>2</v>
      </c>
      <c r="I41" s="2621">
        <v>-0.4</v>
      </c>
      <c r="J41" s="2621">
        <v>0.17</v>
      </c>
      <c r="K41" s="2621">
        <v>-0.57999999999999996</v>
      </c>
      <c r="L41" s="2632">
        <v>-0.2</v>
      </c>
      <c r="N41" s="2625">
        <f t="shared" si="122"/>
        <v>-4.0000000000000001E-3</v>
      </c>
      <c r="O41" s="2643">
        <f t="shared" si="122"/>
        <v>1.7000000000000001E-3</v>
      </c>
      <c r="P41" s="2643">
        <f t="shared" si="122"/>
        <v>-5.7999999999999996E-3</v>
      </c>
      <c r="Q41" s="2643">
        <f t="shared" si="122"/>
        <v>-2E-3</v>
      </c>
      <c r="R41" s="2627"/>
      <c r="S41" s="2625"/>
      <c r="T41" s="2626"/>
      <c r="U41" s="2626"/>
      <c r="V41" s="2626"/>
    </row>
    <row r="42" spans="1:26" ht="13.5" thickBot="1">
      <c r="A42" s="2617" t="s">
        <v>2589</v>
      </c>
      <c r="B42" s="2630">
        <f t="shared" si="132"/>
        <v>276.29854502841971</v>
      </c>
      <c r="C42" s="2630">
        <f t="shared" si="132"/>
        <v>229.79023709833027</v>
      </c>
      <c r="D42" s="2630">
        <f t="shared" si="120"/>
        <v>229.79023709833027</v>
      </c>
      <c r="E42" s="2630">
        <f t="shared" si="133"/>
        <v>379.78759731655936</v>
      </c>
      <c r="F42" s="2630">
        <f t="shared" si="133"/>
        <v>211.32953905659235</v>
      </c>
      <c r="G42" s="3472">
        <v>2011</v>
      </c>
      <c r="H42" s="2620">
        <v>1</v>
      </c>
      <c r="I42" s="2620">
        <v>2.65</v>
      </c>
      <c r="J42" s="2620">
        <v>3.76</v>
      </c>
      <c r="K42" s="2620">
        <v>1.89</v>
      </c>
      <c r="L42" s="2631">
        <v>7.95</v>
      </c>
      <c r="N42" s="2633">
        <f t="shared" si="122"/>
        <v>2.6499999999999999E-2</v>
      </c>
      <c r="O42" s="2634">
        <f t="shared" si="122"/>
        <v>3.7599999999999995E-2</v>
      </c>
      <c r="P42" s="2634">
        <f t="shared" si="122"/>
        <v>1.89E-2</v>
      </c>
      <c r="Q42" s="2634">
        <f t="shared" si="122"/>
        <v>7.9500000000000001E-2</v>
      </c>
      <c r="R42" s="2627"/>
      <c r="S42" s="2633">
        <f>B42/B43-1</f>
        <v>2.713213765211786E-2</v>
      </c>
      <c r="T42" s="2634">
        <f>C42/C43-1</f>
        <v>3.9774828499231862E-2</v>
      </c>
      <c r="U42" s="2634">
        <f>E42/E43-1</f>
        <v>1.8197311840641772E-2</v>
      </c>
      <c r="V42" s="2634">
        <f>F42/F43-1</f>
        <v>7.8211933962205826E-2</v>
      </c>
      <c r="X42" s="2635"/>
      <c r="Y42" s="2635"/>
      <c r="Z42" s="2635"/>
    </row>
    <row r="43" spans="1:26" ht="13.5" thickBot="1">
      <c r="A43" s="2617" t="s">
        <v>2590</v>
      </c>
      <c r="B43" s="2622">
        <v>269</v>
      </c>
      <c r="C43" s="2622">
        <v>221</v>
      </c>
      <c r="D43" s="2622">
        <f t="shared" si="120"/>
        <v>221</v>
      </c>
      <c r="E43" s="2622">
        <v>373</v>
      </c>
      <c r="F43" s="2623">
        <v>196</v>
      </c>
      <c r="G43" s="3471">
        <v>2010</v>
      </c>
      <c r="H43" s="2636">
        <v>4</v>
      </c>
      <c r="I43" s="2636">
        <v>5.72</v>
      </c>
      <c r="J43" s="2636">
        <v>6.57</v>
      </c>
      <c r="K43" s="2636">
        <v>5.72</v>
      </c>
      <c r="L43" s="2637">
        <v>2.72</v>
      </c>
      <c r="N43" s="2625">
        <f t="shared" si="122"/>
        <v>5.7200000000000001E-2</v>
      </c>
      <c r="O43" s="2626">
        <f t="shared" si="122"/>
        <v>6.5700000000000008E-2</v>
      </c>
      <c r="P43" s="2626">
        <f t="shared" si="122"/>
        <v>5.7200000000000001E-2</v>
      </c>
      <c r="Q43" s="2626">
        <f t="shared" si="122"/>
        <v>2.7200000000000002E-2</v>
      </c>
      <c r="R43" s="2627"/>
      <c r="S43" s="2628"/>
      <c r="T43" s="2629"/>
      <c r="U43" s="2629"/>
      <c r="V43" s="2629"/>
      <c r="X43" s="2629"/>
      <c r="Y43" s="2629"/>
      <c r="Z43" s="2629"/>
    </row>
    <row r="44" spans="1:26">
      <c r="A44" s="2617" t="s">
        <v>2591</v>
      </c>
      <c r="B44" s="2630">
        <f t="shared" ref="B44:C46" si="134">B43/(1+N43)</f>
        <v>254.44570563753314</v>
      </c>
      <c r="C44" s="2630">
        <f t="shared" si="134"/>
        <v>207.37543398705074</v>
      </c>
      <c r="D44" s="2630">
        <f t="shared" si="120"/>
        <v>207.37543398705074</v>
      </c>
      <c r="E44" s="2630">
        <f t="shared" ref="E44:F46" si="135">E43/(1+P43)</f>
        <v>352.81876655315932</v>
      </c>
      <c r="F44" s="2630">
        <f t="shared" si="135"/>
        <v>190.809968847352</v>
      </c>
      <c r="G44" s="3469">
        <v>2010</v>
      </c>
      <c r="H44" s="2641">
        <v>3</v>
      </c>
      <c r="I44" s="2641">
        <v>4.7300000000000004</v>
      </c>
      <c r="J44" s="2641">
        <v>3.9</v>
      </c>
      <c r="K44" s="2641">
        <v>5.03</v>
      </c>
      <c r="L44" s="2642">
        <v>4.21</v>
      </c>
      <c r="N44" s="2625">
        <f t="shared" si="122"/>
        <v>4.7300000000000002E-2</v>
      </c>
      <c r="O44" s="2626">
        <f t="shared" si="122"/>
        <v>3.9E-2</v>
      </c>
      <c r="P44" s="2626">
        <f t="shared" si="122"/>
        <v>5.0300000000000004E-2</v>
      </c>
      <c r="Q44" s="2626">
        <f t="shared" si="122"/>
        <v>4.2099999999999999E-2</v>
      </c>
      <c r="R44" s="2627"/>
      <c r="S44" s="2625"/>
      <c r="T44" s="2626"/>
      <c r="U44" s="2626"/>
      <c r="V44" s="2626"/>
    </row>
    <row r="45" spans="1:26">
      <c r="A45" s="2617" t="s">
        <v>2592</v>
      </c>
      <c r="B45" s="2630">
        <f t="shared" si="134"/>
        <v>242.95398227588385</v>
      </c>
      <c r="C45" s="2630">
        <f t="shared" si="134"/>
        <v>199.59137053614126</v>
      </c>
      <c r="D45" s="2630">
        <f t="shared" si="120"/>
        <v>199.59137053614126</v>
      </c>
      <c r="E45" s="2630">
        <f t="shared" si="135"/>
        <v>335.92189522342125</v>
      </c>
      <c r="F45" s="2630">
        <f t="shared" si="135"/>
        <v>183.10139991109489</v>
      </c>
      <c r="G45" s="3469">
        <v>2010</v>
      </c>
      <c r="H45" s="2621">
        <v>2</v>
      </c>
      <c r="I45" s="2621">
        <v>4.6900000000000004</v>
      </c>
      <c r="J45" s="2621">
        <v>3.55</v>
      </c>
      <c r="K45" s="2621">
        <v>5.07</v>
      </c>
      <c r="L45" s="2632">
        <v>4.2300000000000004</v>
      </c>
      <c r="N45" s="2625">
        <f t="shared" si="122"/>
        <v>4.6900000000000004E-2</v>
      </c>
      <c r="O45" s="2626">
        <f t="shared" si="122"/>
        <v>3.5499999999999997E-2</v>
      </c>
      <c r="P45" s="2626">
        <f t="shared" si="122"/>
        <v>5.0700000000000002E-2</v>
      </c>
      <c r="Q45" s="2626">
        <f t="shared" si="122"/>
        <v>4.2300000000000004E-2</v>
      </c>
      <c r="R45" s="2627"/>
      <c r="S45" s="2625"/>
      <c r="T45" s="2626"/>
      <c r="U45" s="2626"/>
      <c r="V45" s="2626"/>
    </row>
    <row r="46" spans="1:26" ht="13.5" thickBot="1">
      <c r="A46" s="2617" t="s">
        <v>2593</v>
      </c>
      <c r="B46" s="2630">
        <f t="shared" si="134"/>
        <v>232.06990378821649</v>
      </c>
      <c r="C46" s="2630">
        <f t="shared" si="134"/>
        <v>192.74878854286936</v>
      </c>
      <c r="D46" s="2630">
        <f t="shared" si="120"/>
        <v>192.74878854286936</v>
      </c>
      <c r="E46" s="2630">
        <f t="shared" si="135"/>
        <v>319.71247284992984</v>
      </c>
      <c r="F46" s="2630">
        <f t="shared" si="135"/>
        <v>175.67053622862409</v>
      </c>
      <c r="G46" s="3472">
        <v>2010</v>
      </c>
      <c r="H46" s="2620">
        <v>1</v>
      </c>
      <c r="I46" s="2620">
        <v>5.4</v>
      </c>
      <c r="J46" s="2620">
        <v>3.2</v>
      </c>
      <c r="K46" s="2620">
        <v>6.16</v>
      </c>
      <c r="L46" s="2631">
        <v>4.51</v>
      </c>
      <c r="N46" s="2625">
        <f t="shared" si="122"/>
        <v>5.4000000000000006E-2</v>
      </c>
      <c r="O46" s="2626">
        <f t="shared" si="122"/>
        <v>3.2000000000000001E-2</v>
      </c>
      <c r="P46" s="2626">
        <f t="shared" si="122"/>
        <v>6.1600000000000002E-2</v>
      </c>
      <c r="Q46" s="2626">
        <f t="shared" si="122"/>
        <v>4.5100000000000001E-2</v>
      </c>
      <c r="R46" s="2627"/>
      <c r="S46" s="2633">
        <f>B46/B47-1</f>
        <v>5.4863199037347599E-2</v>
      </c>
      <c r="T46" s="2634">
        <f>C46/C47-1</f>
        <v>3.0742184721226584E-2</v>
      </c>
      <c r="U46" s="2634">
        <f>E46/E47-1</f>
        <v>6.2167683886810154E-2</v>
      </c>
      <c r="V46" s="2634">
        <f>F46/F47-1</f>
        <v>4.5657953741810031E-2</v>
      </c>
      <c r="X46" s="2635"/>
      <c r="Y46" s="2635"/>
      <c r="Z46" s="2635"/>
    </row>
    <row r="47" spans="1:26" ht="13.5" thickBot="1">
      <c r="A47" s="2617" t="s">
        <v>2594</v>
      </c>
      <c r="B47" s="2622">
        <v>220</v>
      </c>
      <c r="C47" s="2622">
        <v>187</v>
      </c>
      <c r="D47" s="2622">
        <f t="shared" si="120"/>
        <v>187</v>
      </c>
      <c r="E47" s="2622">
        <v>301</v>
      </c>
      <c r="F47" s="2623">
        <v>168</v>
      </c>
      <c r="G47" s="3471">
        <v>2009</v>
      </c>
      <c r="H47" s="2636">
        <v>4</v>
      </c>
      <c r="I47" s="2636">
        <v>2.2999999999999998</v>
      </c>
      <c r="J47" s="2636">
        <v>1.04</v>
      </c>
      <c r="K47" s="2636">
        <v>2.84</v>
      </c>
      <c r="L47" s="2637">
        <v>0.67</v>
      </c>
      <c r="N47" s="2638">
        <f t="shared" si="122"/>
        <v>2.3E-2</v>
      </c>
      <c r="O47" s="2639">
        <f t="shared" si="122"/>
        <v>1.04E-2</v>
      </c>
      <c r="P47" s="2639">
        <f t="shared" si="122"/>
        <v>2.8399999999999998E-2</v>
      </c>
      <c r="Q47" s="2639">
        <f t="shared" si="122"/>
        <v>6.7000000000000002E-3</v>
      </c>
      <c r="R47" s="2627"/>
      <c r="S47" s="2628"/>
      <c r="T47" s="2629"/>
      <c r="U47" s="2629"/>
      <c r="V47" s="2629"/>
      <c r="X47" s="2629"/>
      <c r="Y47" s="2629"/>
      <c r="Z47" s="2629"/>
    </row>
    <row r="48" spans="1:26">
      <c r="A48" s="2617" t="s">
        <v>2595</v>
      </c>
      <c r="B48" s="2630">
        <f t="shared" ref="B48:C50" si="136">B47/(1+N47)</f>
        <v>215.05376344086022</v>
      </c>
      <c r="C48" s="2630">
        <f t="shared" si="136"/>
        <v>185.0752177355503</v>
      </c>
      <c r="D48" s="2630">
        <f t="shared" si="120"/>
        <v>185.0752177355503</v>
      </c>
      <c r="E48" s="2630">
        <f t="shared" ref="E48:F50" si="137">E47/(1+P47)</f>
        <v>292.68767016725008</v>
      </c>
      <c r="F48" s="2630">
        <f t="shared" si="137"/>
        <v>166.88189132810174</v>
      </c>
      <c r="G48" s="3469">
        <v>2009</v>
      </c>
      <c r="H48" s="2641">
        <v>3</v>
      </c>
      <c r="I48" s="2641">
        <v>2.1</v>
      </c>
      <c r="J48" s="2641">
        <v>1.86</v>
      </c>
      <c r="K48" s="2641">
        <v>2.29</v>
      </c>
      <c r="L48" s="2642">
        <v>0.85</v>
      </c>
      <c r="N48" s="2625">
        <f t="shared" si="122"/>
        <v>2.1000000000000001E-2</v>
      </c>
      <c r="O48" s="2643">
        <f t="shared" si="122"/>
        <v>1.8600000000000002E-2</v>
      </c>
      <c r="P48" s="2643">
        <f t="shared" si="122"/>
        <v>2.29E-2</v>
      </c>
      <c r="Q48" s="2643">
        <f t="shared" si="122"/>
        <v>8.5000000000000006E-3</v>
      </c>
      <c r="R48" s="2627"/>
      <c r="S48" s="2625"/>
      <c r="T48" s="2626"/>
      <c r="U48" s="2626"/>
      <c r="V48" s="2626"/>
    </row>
    <row r="49" spans="1:26">
      <c r="A49" s="2617" t="s">
        <v>2596</v>
      </c>
      <c r="B49" s="2630">
        <f t="shared" si="136"/>
        <v>210.630522469011</v>
      </c>
      <c r="C49" s="2630">
        <f t="shared" si="136"/>
        <v>181.69567812247232</v>
      </c>
      <c r="D49" s="2630">
        <f t="shared" si="120"/>
        <v>181.69567812247232</v>
      </c>
      <c r="E49" s="2630">
        <f t="shared" si="137"/>
        <v>286.13517466736738</v>
      </c>
      <c r="F49" s="2630">
        <f t="shared" si="137"/>
        <v>165.47535084591149</v>
      </c>
      <c r="G49" s="3469">
        <v>2009</v>
      </c>
      <c r="H49" s="2621">
        <v>2</v>
      </c>
      <c r="I49" s="2621">
        <v>0.86</v>
      </c>
      <c r="J49" s="2621">
        <v>-1.1299999999999999</v>
      </c>
      <c r="K49" s="2621">
        <v>1.79</v>
      </c>
      <c r="L49" s="2632">
        <v>-2.0699999999999998</v>
      </c>
      <c r="N49" s="2625">
        <f t="shared" si="122"/>
        <v>8.6E-3</v>
      </c>
      <c r="O49" s="2643">
        <f t="shared" si="122"/>
        <v>-1.1299999999999999E-2</v>
      </c>
      <c r="P49" s="2643">
        <f t="shared" si="122"/>
        <v>1.7899999999999999E-2</v>
      </c>
      <c r="Q49" s="2643">
        <f t="shared" si="122"/>
        <v>-2.07E-2</v>
      </c>
      <c r="R49" s="2627"/>
      <c r="S49" s="2625"/>
      <c r="T49" s="2626"/>
      <c r="U49" s="2626"/>
      <c r="V49" s="2626"/>
    </row>
    <row r="50" spans="1:26">
      <c r="A50" s="2617" t="s">
        <v>2597</v>
      </c>
      <c r="B50" s="2630">
        <f t="shared" si="136"/>
        <v>208.83454537875372</v>
      </c>
      <c r="C50" s="2630">
        <f t="shared" si="136"/>
        <v>183.77230517090351</v>
      </c>
      <c r="D50" s="2630">
        <f t="shared" si="120"/>
        <v>183.77230517090351</v>
      </c>
      <c r="E50" s="2630">
        <f t="shared" si="137"/>
        <v>281.10342338870947</v>
      </c>
      <c r="F50" s="2630">
        <f t="shared" si="137"/>
        <v>168.97309388942256</v>
      </c>
      <c r="G50" s="3472">
        <v>2009</v>
      </c>
      <c r="H50" s="2620">
        <v>1</v>
      </c>
      <c r="I50" s="2620">
        <v>-2.64</v>
      </c>
      <c r="J50" s="2620">
        <v>-2.5299999999999998</v>
      </c>
      <c r="K50" s="2620">
        <v>-3.02</v>
      </c>
      <c r="L50" s="2631">
        <v>1.52</v>
      </c>
      <c r="N50" s="2633">
        <f t="shared" si="122"/>
        <v>-2.64E-2</v>
      </c>
      <c r="O50" s="2634">
        <f t="shared" si="122"/>
        <v>-2.53E-2</v>
      </c>
      <c r="P50" s="2634">
        <f t="shared" si="122"/>
        <v>-3.0200000000000001E-2</v>
      </c>
      <c r="Q50" s="2634">
        <f t="shared" si="122"/>
        <v>1.52E-2</v>
      </c>
      <c r="R50" s="2627"/>
      <c r="S50" s="2633">
        <f>B50/B51-1</f>
        <v>-2.4137638417038754E-2</v>
      </c>
      <c r="T50" s="2634">
        <f>C50/C51-1</f>
        <v>-2.248773845264096E-2</v>
      </c>
      <c r="U50" s="2634">
        <f>E50/E51-1</f>
        <v>-2.7323794502735366E-2</v>
      </c>
      <c r="V50" s="2634">
        <f>F50/F51-1</f>
        <v>1.7910204153148035E-2</v>
      </c>
      <c r="X50" s="2635"/>
      <c r="Y50" s="2635"/>
      <c r="Z50" s="2635"/>
    </row>
    <row r="51" spans="1:26" ht="13.5" thickBot="1">
      <c r="A51" s="2617" t="s">
        <v>2598</v>
      </c>
      <c r="B51" s="2660">
        <v>214</v>
      </c>
      <c r="C51" s="2660">
        <v>188</v>
      </c>
      <c r="D51" s="2660">
        <f t="shared" si="120"/>
        <v>188</v>
      </c>
      <c r="E51" s="2660">
        <v>289</v>
      </c>
      <c r="F51" s="2661">
        <v>166</v>
      </c>
      <c r="G51" s="3471">
        <v>2008</v>
      </c>
      <c r="H51" s="2636">
        <v>4</v>
      </c>
      <c r="I51" s="2636">
        <v>1.73</v>
      </c>
      <c r="J51" s="2636">
        <v>0.03</v>
      </c>
      <c r="K51" s="2636">
        <v>2.59</v>
      </c>
      <c r="L51" s="2637">
        <v>-1.66</v>
      </c>
      <c r="N51" s="2625">
        <f t="shared" si="122"/>
        <v>1.7299999999999999E-2</v>
      </c>
      <c r="O51" s="2626">
        <f t="shared" si="122"/>
        <v>2.9999999999999997E-4</v>
      </c>
      <c r="P51" s="2626">
        <f t="shared" si="122"/>
        <v>2.5899999999999999E-2</v>
      </c>
      <c r="Q51" s="2626">
        <f t="shared" si="122"/>
        <v>-1.66E-2</v>
      </c>
      <c r="R51" s="2627"/>
      <c r="S51" s="2628"/>
      <c r="T51" s="2629"/>
      <c r="U51" s="2629"/>
      <c r="V51" s="2629"/>
      <c r="X51" s="2629"/>
      <c r="Y51" s="2629"/>
      <c r="Z51" s="2629"/>
    </row>
    <row r="52" spans="1:26">
      <c r="A52" s="2617" t="s">
        <v>2599</v>
      </c>
      <c r="B52" s="2630">
        <f t="shared" ref="B52:C54" si="138">B51/(1+N51)</f>
        <v>210.36075887152265</v>
      </c>
      <c r="C52" s="2630">
        <f t="shared" si="138"/>
        <v>187.94361691492554</v>
      </c>
      <c r="D52" s="2630">
        <f t="shared" si="120"/>
        <v>187.94361691492554</v>
      </c>
      <c r="E52" s="2630">
        <f t="shared" ref="E52:F54" si="139">E51/(1+P51)</f>
        <v>281.70386977288234</v>
      </c>
      <c r="F52" s="2630">
        <f t="shared" si="139"/>
        <v>168.80211511083994</v>
      </c>
      <c r="G52" s="3469">
        <v>2008</v>
      </c>
      <c r="H52" s="2641">
        <v>3</v>
      </c>
      <c r="I52" s="2641">
        <v>1.96</v>
      </c>
      <c r="J52" s="2641">
        <v>2.36</v>
      </c>
      <c r="K52" s="2641">
        <v>1.82</v>
      </c>
      <c r="L52" s="2642">
        <v>2.2200000000000002</v>
      </c>
      <c r="N52" s="2625">
        <f t="shared" si="122"/>
        <v>1.9599999999999999E-2</v>
      </c>
      <c r="O52" s="2626">
        <f t="shared" si="122"/>
        <v>2.3599999999999999E-2</v>
      </c>
      <c r="P52" s="2626">
        <f t="shared" si="122"/>
        <v>1.8200000000000001E-2</v>
      </c>
      <c r="Q52" s="2626">
        <f t="shared" si="122"/>
        <v>2.2200000000000001E-2</v>
      </c>
      <c r="R52" s="2627"/>
      <c r="S52" s="2625"/>
      <c r="T52" s="2626"/>
      <c r="U52" s="2626"/>
      <c r="V52" s="2626"/>
    </row>
    <row r="53" spans="1:26">
      <c r="A53" s="2617" t="s">
        <v>2600</v>
      </c>
      <c r="B53" s="2630">
        <f t="shared" si="138"/>
        <v>206.31694671589116</v>
      </c>
      <c r="C53" s="2630">
        <f t="shared" si="138"/>
        <v>183.61041121036101</v>
      </c>
      <c r="D53" s="2630">
        <f t="shared" si="120"/>
        <v>183.61041121036101</v>
      </c>
      <c r="E53" s="2630">
        <f t="shared" si="139"/>
        <v>276.66850301795557</v>
      </c>
      <c r="F53" s="2630">
        <f t="shared" si="139"/>
        <v>165.1360938278614</v>
      </c>
      <c r="G53" s="3469">
        <v>2008</v>
      </c>
      <c r="H53" s="2621">
        <v>2</v>
      </c>
      <c r="I53" s="2621">
        <v>4.93</v>
      </c>
      <c r="J53" s="2621">
        <v>7.38</v>
      </c>
      <c r="K53" s="2621">
        <v>3.98</v>
      </c>
      <c r="L53" s="2632">
        <v>6.86</v>
      </c>
      <c r="N53" s="2625">
        <f t="shared" si="122"/>
        <v>4.9299999999999997E-2</v>
      </c>
      <c r="O53" s="2626">
        <f t="shared" si="122"/>
        <v>7.3800000000000004E-2</v>
      </c>
      <c r="P53" s="2626">
        <f t="shared" si="122"/>
        <v>3.9800000000000002E-2</v>
      </c>
      <c r="Q53" s="2626">
        <f t="shared" si="122"/>
        <v>6.8600000000000008E-2</v>
      </c>
      <c r="R53" s="2627"/>
      <c r="S53" s="2625"/>
      <c r="T53" s="2626"/>
      <c r="U53" s="2626"/>
      <c r="V53" s="2626"/>
    </row>
    <row r="54" spans="1:26" s="2666" customFormat="1" ht="13.5" thickBot="1">
      <c r="A54" s="2617" t="s">
        <v>2601</v>
      </c>
      <c r="B54" s="2663">
        <f t="shared" si="138"/>
        <v>196.62341248059772</v>
      </c>
      <c r="C54" s="2663">
        <f t="shared" si="138"/>
        <v>170.99125648199012</v>
      </c>
      <c r="D54" s="2663">
        <f t="shared" si="120"/>
        <v>170.99125648199012</v>
      </c>
      <c r="E54" s="2663">
        <f t="shared" si="139"/>
        <v>266.07857570490052</v>
      </c>
      <c r="F54" s="2663">
        <f t="shared" si="139"/>
        <v>154.53499328828505</v>
      </c>
      <c r="G54" s="3472">
        <v>2008</v>
      </c>
      <c r="H54" s="2664">
        <v>1</v>
      </c>
      <c r="I54" s="2664">
        <v>4.1399999999999997</v>
      </c>
      <c r="J54" s="2664">
        <v>3.45</v>
      </c>
      <c r="K54" s="2664">
        <v>4.95</v>
      </c>
      <c r="L54" s="2665">
        <v>4.82</v>
      </c>
      <c r="N54" s="2667">
        <f t="shared" si="122"/>
        <v>4.1399999999999999E-2</v>
      </c>
      <c r="O54" s="2668">
        <f t="shared" si="122"/>
        <v>3.4500000000000003E-2</v>
      </c>
      <c r="P54" s="2668">
        <f t="shared" si="122"/>
        <v>4.9500000000000002E-2</v>
      </c>
      <c r="Q54" s="2668">
        <f t="shared" si="122"/>
        <v>4.82E-2</v>
      </c>
      <c r="R54" s="2669"/>
      <c r="S54" s="2667">
        <f>B54/B55-1</f>
        <v>4.5869215322328349E-2</v>
      </c>
      <c r="T54" s="2668">
        <f>C54/C55-1</f>
        <v>3.6310645345394743E-2</v>
      </c>
      <c r="U54" s="2668">
        <f>E54/E55-1</f>
        <v>4.7553447657088688E-2</v>
      </c>
      <c r="V54" s="2668">
        <f>F54/F55-1</f>
        <v>4.4155360055980086E-2</v>
      </c>
      <c r="X54" s="2670"/>
      <c r="Y54" s="2670"/>
      <c r="Z54" s="2670"/>
    </row>
    <row r="55" spans="1:26" ht="13.5" thickBot="1">
      <c r="A55" s="2617" t="s">
        <v>2602</v>
      </c>
      <c r="B55" s="2622">
        <v>188</v>
      </c>
      <c r="C55" s="2622">
        <v>165</v>
      </c>
      <c r="D55" s="2622">
        <f t="shared" si="120"/>
        <v>165</v>
      </c>
      <c r="E55" s="2622">
        <v>254</v>
      </c>
      <c r="F55" s="2623">
        <v>148</v>
      </c>
      <c r="G55" s="3471">
        <v>2007</v>
      </c>
      <c r="H55" s="2671">
        <v>4</v>
      </c>
      <c r="I55" s="2671">
        <v>5.51</v>
      </c>
      <c r="J55" s="2671">
        <v>4.8899999999999997</v>
      </c>
      <c r="K55" s="2671">
        <v>6.43</v>
      </c>
      <c r="L55" s="2672">
        <v>5.36</v>
      </c>
      <c r="N55" s="2673">
        <f t="shared" ref="N55:O58" si="140">B55/B56-1</f>
        <v>4.1339718365245526E-2</v>
      </c>
      <c r="O55" s="2674">
        <f t="shared" si="140"/>
        <v>4.0324492593776018E-2</v>
      </c>
      <c r="P55" s="2674">
        <f t="shared" ref="P55:Q58" si="141">E55/E56-1</f>
        <v>6.1625555347990968E-2</v>
      </c>
      <c r="Q55" s="2674">
        <f t="shared" si="141"/>
        <v>4.6757569250590603E-2</v>
      </c>
      <c r="R55" s="2627"/>
      <c r="S55" s="2628"/>
      <c r="T55" s="2629"/>
      <c r="U55" s="2629"/>
      <c r="V55" s="2629"/>
      <c r="X55" s="2629"/>
      <c r="Y55" s="2629"/>
      <c r="Z55" s="2629"/>
    </row>
    <row r="56" spans="1:26">
      <c r="A56" s="2617" t="s">
        <v>2603</v>
      </c>
      <c r="B56" s="2630">
        <f t="shared" ref="B56:C58" si="142">B57+(B$55-B$59)*I56/SUM(I$55:I$58)</f>
        <v>180.5366651097618</v>
      </c>
      <c r="C56" s="2630">
        <f t="shared" si="142"/>
        <v>158.60435967302453</v>
      </c>
      <c r="D56" s="2630">
        <f t="shared" si="120"/>
        <v>158.60435967302453</v>
      </c>
      <c r="E56" s="2630">
        <f t="shared" ref="E56:F58" si="143">E57+(E$55-E$59)*K56/SUM(K$55:K$58)</f>
        <v>239.25573260785075</v>
      </c>
      <c r="F56" s="2630">
        <f t="shared" si="143"/>
        <v>141.38899430740037</v>
      </c>
      <c r="G56" s="3469">
        <v>2007</v>
      </c>
      <c r="H56" s="2641">
        <v>3</v>
      </c>
      <c r="I56" s="2641">
        <v>8.65</v>
      </c>
      <c r="J56" s="2641">
        <v>8.06</v>
      </c>
      <c r="K56" s="2641">
        <v>9.94</v>
      </c>
      <c r="L56" s="2642">
        <v>5.8</v>
      </c>
      <c r="N56" s="2673">
        <f t="shared" si="140"/>
        <v>6.940217571740015E-2</v>
      </c>
      <c r="O56" s="2674">
        <f t="shared" si="140"/>
        <v>7.1197482471153428E-2</v>
      </c>
      <c r="P56" s="2674">
        <f t="shared" si="141"/>
        <v>0.10529679922579582</v>
      </c>
      <c r="Q56" s="2674">
        <f t="shared" si="141"/>
        <v>5.3292245059512133E-2</v>
      </c>
      <c r="R56" s="2627"/>
      <c r="S56" s="2625"/>
      <c r="T56" s="2626"/>
      <c r="U56" s="2626"/>
      <c r="V56" s="2626"/>
      <c r="X56" s="2675"/>
      <c r="Y56" s="2675"/>
      <c r="Z56" s="2675"/>
    </row>
    <row r="57" spans="1:26">
      <c r="A57" s="2617" t="s">
        <v>2604</v>
      </c>
      <c r="B57" s="2630">
        <f t="shared" si="142"/>
        <v>168.82017748715555</v>
      </c>
      <c r="C57" s="2630">
        <f t="shared" si="142"/>
        <v>148.06267029972753</v>
      </c>
      <c r="D57" s="2630">
        <f t="shared" si="120"/>
        <v>148.06267029972753</v>
      </c>
      <c r="E57" s="2630">
        <f t="shared" si="143"/>
        <v>216.46288379323747</v>
      </c>
      <c r="F57" s="2630">
        <f t="shared" si="143"/>
        <v>134.23529411764704</v>
      </c>
      <c r="G57" s="3469">
        <v>2007</v>
      </c>
      <c r="H57" s="2621">
        <v>2</v>
      </c>
      <c r="I57" s="2621">
        <v>3.67</v>
      </c>
      <c r="J57" s="2621">
        <v>2.3199999999999998</v>
      </c>
      <c r="K57" s="2621">
        <v>5.0199999999999996</v>
      </c>
      <c r="L57" s="2632">
        <v>6.71</v>
      </c>
      <c r="N57" s="2673">
        <f t="shared" si="140"/>
        <v>3.0339138143848032E-2</v>
      </c>
      <c r="O57" s="2674">
        <f t="shared" si="140"/>
        <v>2.0922341588790472E-2</v>
      </c>
      <c r="P57" s="2674">
        <f t="shared" si="141"/>
        <v>5.6164796592717003E-2</v>
      </c>
      <c r="Q57" s="2674">
        <f t="shared" si="141"/>
        <v>6.5704536723887319E-2</v>
      </c>
      <c r="R57" s="2627"/>
      <c r="S57" s="2625"/>
      <c r="T57" s="2626"/>
      <c r="U57" s="2626"/>
      <c r="V57" s="2626"/>
      <c r="X57" s="2675"/>
      <c r="Y57" s="2675"/>
      <c r="Z57" s="2675"/>
    </row>
    <row r="58" spans="1:26">
      <c r="A58" s="2617" t="s">
        <v>2605</v>
      </c>
      <c r="B58" s="2630">
        <f t="shared" si="142"/>
        <v>163.84913591779542</v>
      </c>
      <c r="C58" s="2630">
        <f t="shared" si="142"/>
        <v>145.0283378746594</v>
      </c>
      <c r="D58" s="2630">
        <f t="shared" si="120"/>
        <v>145.0283378746594</v>
      </c>
      <c r="E58" s="2630">
        <f t="shared" si="143"/>
        <v>204.95180722891567</v>
      </c>
      <c r="F58" s="2630">
        <f t="shared" si="143"/>
        <v>125.95920303605313</v>
      </c>
      <c r="G58" s="3472">
        <v>2007</v>
      </c>
      <c r="H58" s="2620">
        <v>1</v>
      </c>
      <c r="I58" s="2620">
        <v>3.58</v>
      </c>
      <c r="J58" s="2620">
        <v>3.08</v>
      </c>
      <c r="K58" s="2620">
        <v>4.34</v>
      </c>
      <c r="L58" s="2631">
        <v>3.21</v>
      </c>
      <c r="N58" s="2676">
        <f t="shared" si="140"/>
        <v>3.0497710174814063E-2</v>
      </c>
      <c r="O58" s="2677">
        <f t="shared" si="140"/>
        <v>2.8569772160704998E-2</v>
      </c>
      <c r="P58" s="2677">
        <f t="shared" si="141"/>
        <v>5.1034908866234296E-2</v>
      </c>
      <c r="Q58" s="2677">
        <f t="shared" si="141"/>
        <v>3.245248390207478E-2</v>
      </c>
      <c r="R58" s="2627"/>
      <c r="S58" s="2633">
        <f>B58/B59-1</f>
        <v>3.0497710174814063E-2</v>
      </c>
      <c r="T58" s="2634">
        <f>C58/C59-1</f>
        <v>2.8569772160704998E-2</v>
      </c>
      <c r="U58" s="2634">
        <f>E58/E59-1</f>
        <v>5.1034908866234296E-2</v>
      </c>
      <c r="V58" s="2634">
        <f>F58/F59-1</f>
        <v>3.245248390207478E-2</v>
      </c>
      <c r="X58" s="2675"/>
      <c r="Y58" s="2675"/>
      <c r="Z58" s="2675"/>
    </row>
    <row r="59" spans="1:26" ht="13.5" thickBot="1">
      <c r="A59" s="2617" t="s">
        <v>2606</v>
      </c>
      <c r="B59" s="2644">
        <v>159</v>
      </c>
      <c r="C59" s="2644">
        <v>141</v>
      </c>
      <c r="D59" s="2644">
        <f t="shared" si="120"/>
        <v>141</v>
      </c>
      <c r="E59" s="2644">
        <v>195</v>
      </c>
      <c r="F59" s="2645">
        <v>122</v>
      </c>
      <c r="G59" s="3471">
        <v>2006</v>
      </c>
      <c r="H59" s="2636">
        <v>4</v>
      </c>
      <c r="I59" s="2636">
        <v>3.79</v>
      </c>
      <c r="J59" s="2636">
        <v>2.21</v>
      </c>
      <c r="K59" s="2636">
        <v>5.65</v>
      </c>
      <c r="L59" s="2637">
        <v>5.41</v>
      </c>
      <c r="N59" s="2673">
        <f t="shared" ref="N59:O62" si="144">I59/SUM(I$59:I$62)*(B$59/B$63-1)</f>
        <v>7.245466462748526E-2</v>
      </c>
      <c r="O59" s="2674">
        <f t="shared" si="144"/>
        <v>2.3237230038062766E-2</v>
      </c>
      <c r="P59" s="2674">
        <f t="shared" ref="P59:Q62" si="145">K59/SUM(K$59:K$62)*(E$59/E$63-1)</f>
        <v>0.16146893866323722</v>
      </c>
      <c r="Q59" s="2674">
        <f t="shared" si="145"/>
        <v>5.0755230321793784E-2</v>
      </c>
      <c r="R59" s="2627"/>
      <c r="S59" s="2628"/>
      <c r="T59" s="2629"/>
      <c r="U59" s="2629"/>
      <c r="V59" s="2629"/>
      <c r="X59" s="2675"/>
      <c r="Y59" s="2675"/>
      <c r="Z59" s="2675"/>
    </row>
    <row r="60" spans="1:26">
      <c r="A60" s="2617" t="s">
        <v>2607</v>
      </c>
      <c r="B60" s="2630">
        <f t="shared" ref="B60:C62" si="146">B61+(B$59-B$63)*I60/SUM(I$59:I$62)</f>
        <v>149.00125628140702</v>
      </c>
      <c r="C60" s="2630">
        <f t="shared" si="146"/>
        <v>137.95592286501378</v>
      </c>
      <c r="D60" s="2630">
        <f t="shared" si="120"/>
        <v>137.95592286501378</v>
      </c>
      <c r="E60" s="2630">
        <f t="shared" ref="E60:F62" si="147">E61+(E$59-E$63)*K60/SUM(K$59:K$62)</f>
        <v>169.97231450719823</v>
      </c>
      <c r="F60" s="2630">
        <f t="shared" si="147"/>
        <v>116.21390374331551</v>
      </c>
      <c r="G60" s="3469">
        <v>2006</v>
      </c>
      <c r="H60" s="2641">
        <v>3</v>
      </c>
      <c r="I60" s="2641">
        <v>0.92</v>
      </c>
      <c r="J60" s="2641">
        <v>1.08</v>
      </c>
      <c r="K60" s="2641">
        <v>0.73</v>
      </c>
      <c r="L60" s="2642">
        <v>1.08</v>
      </c>
      <c r="N60" s="2673">
        <f t="shared" si="144"/>
        <v>1.7587939698492462E-2</v>
      </c>
      <c r="O60" s="2674">
        <f t="shared" si="144"/>
        <v>1.1355750425840628E-2</v>
      </c>
      <c r="P60" s="2674">
        <f t="shared" si="145"/>
        <v>2.0862358446754544E-2</v>
      </c>
      <c r="Q60" s="2674">
        <f t="shared" si="145"/>
        <v>1.0132282578103011E-2</v>
      </c>
      <c r="R60" s="2627"/>
      <c r="S60" s="2625"/>
      <c r="T60" s="2626"/>
      <c r="U60" s="2626"/>
      <c r="V60" s="2626"/>
      <c r="X60" s="2675"/>
      <c r="Y60" s="2675"/>
      <c r="Z60" s="2675"/>
    </row>
    <row r="61" spans="1:26">
      <c r="A61" s="2617" t="s">
        <v>2608</v>
      </c>
      <c r="B61" s="2630">
        <f t="shared" si="146"/>
        <v>146.57412060301507</v>
      </c>
      <c r="C61" s="2630">
        <f t="shared" si="146"/>
        <v>136.46831955922866</v>
      </c>
      <c r="D61" s="2630">
        <f t="shared" si="120"/>
        <v>136.46831955922866</v>
      </c>
      <c r="E61" s="2630">
        <f t="shared" si="147"/>
        <v>166.73864894795128</v>
      </c>
      <c r="F61" s="2630">
        <f t="shared" si="147"/>
        <v>115.05882352941177</v>
      </c>
      <c r="G61" s="3469">
        <v>2006</v>
      </c>
      <c r="H61" s="2621">
        <v>2</v>
      </c>
      <c r="I61" s="2621">
        <v>0.96</v>
      </c>
      <c r="J61" s="2621">
        <v>0.25</v>
      </c>
      <c r="K61" s="2621">
        <v>1.9</v>
      </c>
      <c r="L61" s="2632">
        <v>0.95</v>
      </c>
      <c r="N61" s="2673">
        <f t="shared" si="144"/>
        <v>1.8352632728861701E-2</v>
      </c>
      <c r="O61" s="2674">
        <f t="shared" si="144"/>
        <v>2.6286459319075526E-3</v>
      </c>
      <c r="P61" s="2674">
        <f t="shared" si="145"/>
        <v>5.4299289107991269E-2</v>
      </c>
      <c r="Q61" s="2674">
        <f t="shared" si="145"/>
        <v>8.9126559714794995E-3</v>
      </c>
      <c r="R61" s="2627"/>
      <c r="S61" s="2625"/>
      <c r="T61" s="2626"/>
      <c r="U61" s="2626"/>
      <c r="V61" s="2626"/>
      <c r="X61" s="2675"/>
      <c r="Y61" s="2675"/>
      <c r="Z61" s="2675"/>
    </row>
    <row r="62" spans="1:26">
      <c r="A62" s="2617" t="s">
        <v>2609</v>
      </c>
      <c r="B62" s="2630">
        <f t="shared" si="146"/>
        <v>144.04145728643215</v>
      </c>
      <c r="C62" s="2630">
        <f t="shared" si="146"/>
        <v>136.12396694214877</v>
      </c>
      <c r="D62" s="2630">
        <f t="shared" si="120"/>
        <v>136.12396694214877</v>
      </c>
      <c r="E62" s="2630">
        <f t="shared" si="147"/>
        <v>158.32225913621264</v>
      </c>
      <c r="F62" s="2630">
        <f t="shared" si="147"/>
        <v>114.04278074866311</v>
      </c>
      <c r="G62" s="3472">
        <v>2006</v>
      </c>
      <c r="H62" s="2620">
        <v>1</v>
      </c>
      <c r="I62" s="2620">
        <v>2.29</v>
      </c>
      <c r="J62" s="2620">
        <v>3.72</v>
      </c>
      <c r="K62" s="2620">
        <v>0.75</v>
      </c>
      <c r="L62" s="2631">
        <v>0.04</v>
      </c>
      <c r="N62" s="2676">
        <f t="shared" si="144"/>
        <v>4.3778675988638847E-2</v>
      </c>
      <c r="O62" s="2677">
        <f t="shared" si="144"/>
        <v>3.9114251466784385E-2</v>
      </c>
      <c r="P62" s="2677">
        <f t="shared" si="145"/>
        <v>2.1433929911049188E-2</v>
      </c>
      <c r="Q62" s="2677">
        <f t="shared" si="145"/>
        <v>3.7526972511492629E-4</v>
      </c>
      <c r="R62" s="2627"/>
      <c r="S62" s="2633">
        <f>B62/B63-1</f>
        <v>4.3778675988638716E-2</v>
      </c>
      <c r="T62" s="2634">
        <f>C62/C63-1</f>
        <v>3.91142514667846E-2</v>
      </c>
      <c r="U62" s="2634">
        <f>E62/E63-1</f>
        <v>2.143392991104931E-2</v>
      </c>
      <c r="V62" s="2634">
        <f>F62/F63-1</f>
        <v>3.7526972511492396E-4</v>
      </c>
      <c r="X62" s="2675"/>
      <c r="Y62" s="2675"/>
      <c r="Z62" s="2675"/>
    </row>
    <row r="63" spans="1:26" ht="13.5" thickBot="1">
      <c r="A63" s="2617" t="s">
        <v>2610</v>
      </c>
      <c r="B63" s="2644">
        <v>138</v>
      </c>
      <c r="C63" s="2644">
        <v>131</v>
      </c>
      <c r="D63" s="2644">
        <f t="shared" si="120"/>
        <v>131</v>
      </c>
      <c r="E63" s="2644">
        <v>155</v>
      </c>
      <c r="F63" s="2645">
        <v>114</v>
      </c>
      <c r="G63" s="3471">
        <v>2005</v>
      </c>
      <c r="H63" s="2636">
        <v>4</v>
      </c>
      <c r="I63" s="2636">
        <v>3.29</v>
      </c>
      <c r="J63" s="2636">
        <v>1.44</v>
      </c>
      <c r="K63" s="2636">
        <v>0.66</v>
      </c>
      <c r="L63" s="2637">
        <v>7.78</v>
      </c>
      <c r="N63" s="2673">
        <f t="shared" ref="N63:O66" si="148">I63/SUM(I$63:I$66)*(B$63/B$67-1)</f>
        <v>9.9404603216919935E-2</v>
      </c>
      <c r="O63" s="2674">
        <f t="shared" si="148"/>
        <v>4.7636550760861554E-2</v>
      </c>
      <c r="P63" s="2674">
        <f t="shared" ref="P63:Q66" si="149">K63/SUM(K$63:K$66)*(E$63/E$67-1)</f>
        <v>8.3756345177664976E-2</v>
      </c>
      <c r="Q63" s="2674">
        <f t="shared" si="149"/>
        <v>5.2148766661559584E-2</v>
      </c>
      <c r="R63" s="2627"/>
      <c r="S63" s="2628"/>
      <c r="T63" s="2629"/>
      <c r="U63" s="2629"/>
      <c r="V63" s="2629"/>
      <c r="X63" s="2675"/>
      <c r="Y63" s="2675"/>
      <c r="Z63" s="2675"/>
    </row>
    <row r="64" spans="1:26">
      <c r="A64" s="2617" t="s">
        <v>2611</v>
      </c>
      <c r="B64" s="2630">
        <f t="shared" ref="B64:C66" si="150">B65+(B$63-B$67)*I64/SUM(I$63:I$66)</f>
        <v>125.9720430107527</v>
      </c>
      <c r="C64" s="2630">
        <f t="shared" si="150"/>
        <v>125.1883408071749</v>
      </c>
      <c r="D64" s="2630">
        <f t="shared" si="120"/>
        <v>125.1883408071749</v>
      </c>
      <c r="E64" s="2630">
        <f t="shared" ref="E64:F66" si="151">E65+(E$63-E$67)*K64/SUM(K$63:K$66)</f>
        <v>144.61421319796952</v>
      </c>
      <c r="F64" s="2630">
        <f t="shared" si="151"/>
        <v>108.42008196721311</v>
      </c>
      <c r="G64" s="3469">
        <v>2005</v>
      </c>
      <c r="H64" s="2641">
        <v>3</v>
      </c>
      <c r="I64" s="2641">
        <v>0.46</v>
      </c>
      <c r="J64" s="2641">
        <v>0.32</v>
      </c>
      <c r="K64" s="2641">
        <v>0.42</v>
      </c>
      <c r="L64" s="2642">
        <v>0.64</v>
      </c>
      <c r="N64" s="2673">
        <f t="shared" si="148"/>
        <v>1.3898515951301874E-2</v>
      </c>
      <c r="O64" s="2674">
        <f t="shared" si="148"/>
        <v>1.0585900169080346E-2</v>
      </c>
      <c r="P64" s="2674">
        <f t="shared" si="149"/>
        <v>5.3299492385786795E-2</v>
      </c>
      <c r="Q64" s="2674">
        <f t="shared" si="149"/>
        <v>4.2898728359123568E-3</v>
      </c>
      <c r="R64" s="2627"/>
      <c r="S64" s="2625"/>
      <c r="T64" s="2626"/>
      <c r="U64" s="2626"/>
      <c r="V64" s="2626"/>
      <c r="X64" s="2675"/>
      <c r="Y64" s="2675"/>
      <c r="Z64" s="2675"/>
    </row>
    <row r="65" spans="1:26">
      <c r="A65" s="2617" t="s">
        <v>2612</v>
      </c>
      <c r="B65" s="2630">
        <f t="shared" si="150"/>
        <v>124.29032258064517</v>
      </c>
      <c r="C65" s="2630">
        <f t="shared" si="150"/>
        <v>123.8968609865471</v>
      </c>
      <c r="D65" s="2630">
        <f t="shared" si="120"/>
        <v>123.8968609865471</v>
      </c>
      <c r="E65" s="2630">
        <f t="shared" si="151"/>
        <v>138.00507614213197</v>
      </c>
      <c r="F65" s="2630">
        <f t="shared" si="151"/>
        <v>107.96106557377048</v>
      </c>
      <c r="G65" s="3469">
        <v>2005</v>
      </c>
      <c r="H65" s="2621">
        <v>2</v>
      </c>
      <c r="I65" s="2621">
        <v>0.47</v>
      </c>
      <c r="J65" s="2621">
        <v>0.1</v>
      </c>
      <c r="K65" s="2621">
        <v>0.52</v>
      </c>
      <c r="L65" s="2632">
        <v>0.79</v>
      </c>
      <c r="N65" s="2673">
        <f t="shared" si="148"/>
        <v>1.420065760241713E-2</v>
      </c>
      <c r="O65" s="2674">
        <f t="shared" si="148"/>
        <v>3.3080938028376083E-3</v>
      </c>
      <c r="P65" s="2674">
        <f t="shared" si="149"/>
        <v>6.598984771573603E-2</v>
      </c>
      <c r="Q65" s="2674">
        <f t="shared" si="149"/>
        <v>5.2953117818293153E-3</v>
      </c>
      <c r="R65" s="2627"/>
      <c r="S65" s="2625"/>
      <c r="T65" s="2626"/>
      <c r="U65" s="2626"/>
      <c r="V65" s="2626"/>
      <c r="X65" s="2675"/>
      <c r="Y65" s="2675"/>
      <c r="Z65" s="2675"/>
    </row>
    <row r="66" spans="1:26">
      <c r="A66" s="2617" t="s">
        <v>2613</v>
      </c>
      <c r="B66" s="2630">
        <f t="shared" si="150"/>
        <v>122.57204301075269</v>
      </c>
      <c r="C66" s="2630">
        <f t="shared" si="150"/>
        <v>123.4932735426009</v>
      </c>
      <c r="D66" s="2630">
        <f t="shared" si="120"/>
        <v>123.4932735426009</v>
      </c>
      <c r="E66" s="2630">
        <f t="shared" si="151"/>
        <v>129.82233502538071</v>
      </c>
      <c r="F66" s="2630">
        <f t="shared" si="151"/>
        <v>107.39446721311475</v>
      </c>
      <c r="G66" s="3472">
        <v>2005</v>
      </c>
      <c r="H66" s="2620">
        <v>1</v>
      </c>
      <c r="I66" s="2620">
        <v>0.43</v>
      </c>
      <c r="J66" s="2620">
        <v>0.37</v>
      </c>
      <c r="K66" s="2620">
        <v>0.37</v>
      </c>
      <c r="L66" s="2631">
        <v>0.55000000000000004</v>
      </c>
      <c r="N66" s="2676">
        <f t="shared" si="148"/>
        <v>1.2992090997956099E-2</v>
      </c>
      <c r="O66" s="2677">
        <f t="shared" si="148"/>
        <v>1.2239947070499151E-2</v>
      </c>
      <c r="P66" s="2677">
        <f t="shared" si="149"/>
        <v>4.6954314720812178E-2</v>
      </c>
      <c r="Q66" s="2677">
        <f t="shared" si="149"/>
        <v>3.6866094683621815E-3</v>
      </c>
      <c r="R66" s="2627"/>
      <c r="S66" s="2633">
        <f>B66/B67-1</f>
        <v>1.2992090997956174E-2</v>
      </c>
      <c r="T66" s="2634">
        <f>C66/C67-1</f>
        <v>1.2239947070499246E-2</v>
      </c>
      <c r="U66" s="2634">
        <f>E66/E67-1</f>
        <v>4.695431472081224E-2</v>
      </c>
      <c r="V66" s="2634">
        <f>F66/F67-1</f>
        <v>3.6866094683620787E-3</v>
      </c>
      <c r="X66" s="2675"/>
      <c r="Y66" s="2675"/>
      <c r="Z66" s="2675"/>
    </row>
    <row r="67" spans="1:26" ht="13.5" thickBot="1">
      <c r="A67" s="2617" t="s">
        <v>2614</v>
      </c>
      <c r="B67" s="2660">
        <v>121</v>
      </c>
      <c r="C67" s="2660">
        <v>122</v>
      </c>
      <c r="D67" s="2660">
        <f t="shared" si="120"/>
        <v>122</v>
      </c>
      <c r="E67" s="2660">
        <v>124</v>
      </c>
      <c r="F67" s="2661">
        <v>107</v>
      </c>
      <c r="G67" s="3471">
        <v>2004</v>
      </c>
      <c r="H67" s="2636">
        <v>4</v>
      </c>
      <c r="I67" s="2636">
        <v>0.33</v>
      </c>
      <c r="J67" s="2636">
        <v>0.5</v>
      </c>
      <c r="K67" s="2636">
        <v>0.5</v>
      </c>
      <c r="L67" s="2637">
        <v>0</v>
      </c>
      <c r="N67" s="2673">
        <f t="shared" ref="N67:O70" si="152">I67/SUM(I$67:I$70)*(B$67/B$71-1)</f>
        <v>1.3391770148526898E-2</v>
      </c>
      <c r="O67" s="2674">
        <f t="shared" si="152"/>
        <v>1.063264221158958E-2</v>
      </c>
      <c r="P67" s="2674">
        <f t="shared" ref="P67:Q70" si="153">K67/SUM(K$67:K$70)*(E$67/E$71-1)</f>
        <v>2.2244466688911134E-2</v>
      </c>
      <c r="Q67" s="2674">
        <f t="shared" si="153"/>
        <v>0</v>
      </c>
      <c r="R67" s="2627"/>
      <c r="S67" s="2628"/>
      <c r="T67" s="2629"/>
      <c r="U67" s="2629"/>
      <c r="V67" s="2629"/>
      <c r="X67" s="2675"/>
      <c r="Y67" s="2675"/>
      <c r="Z67" s="2675"/>
    </row>
    <row r="68" spans="1:26">
      <c r="A68" s="2617" t="s">
        <v>2615</v>
      </c>
      <c r="B68" s="2630">
        <f t="shared" ref="B68:C70" si="154">B69+(B$67-B$71)*I68/SUM(I$67:I$70)</f>
        <v>119.51351351351352</v>
      </c>
      <c r="C68" s="2630">
        <f t="shared" si="154"/>
        <v>120.7878787878788</v>
      </c>
      <c r="D68" s="2630">
        <f t="shared" si="120"/>
        <v>120.7878787878788</v>
      </c>
      <c r="E68" s="2630">
        <f t="shared" ref="E68:F70" si="155">E69+(E$67-E$71)*K68/SUM(K$67:K$70)</f>
        <v>121.5975975975976</v>
      </c>
      <c r="F68" s="2630">
        <f t="shared" si="155"/>
        <v>107</v>
      </c>
      <c r="G68" s="3469">
        <v>2004</v>
      </c>
      <c r="H68" s="2641">
        <v>3</v>
      </c>
      <c r="I68" s="2641">
        <v>0.56000000000000005</v>
      </c>
      <c r="J68" s="2641">
        <v>0.8</v>
      </c>
      <c r="K68" s="2641">
        <v>0.83</v>
      </c>
      <c r="L68" s="2642">
        <v>0.06</v>
      </c>
      <c r="N68" s="2673">
        <f t="shared" si="152"/>
        <v>2.2725428130833527E-2</v>
      </c>
      <c r="O68" s="2674">
        <f t="shared" si="152"/>
        <v>1.7012227538543329E-2</v>
      </c>
      <c r="P68" s="2674">
        <f t="shared" si="153"/>
        <v>3.6925814703592477E-2</v>
      </c>
      <c r="Q68" s="2674">
        <f t="shared" si="153"/>
        <v>2.8846153846153744E-2</v>
      </c>
      <c r="R68" s="2627"/>
      <c r="S68" s="2625"/>
      <c r="T68" s="2626"/>
      <c r="U68" s="2626"/>
      <c r="V68" s="2626"/>
      <c r="X68" s="2675"/>
      <c r="Y68" s="2675"/>
      <c r="Z68" s="2675"/>
    </row>
    <row r="69" spans="1:26">
      <c r="A69" s="2617" t="s">
        <v>2616</v>
      </c>
      <c r="B69" s="2630">
        <f t="shared" si="154"/>
        <v>116.99099099099099</v>
      </c>
      <c r="C69" s="2630">
        <f t="shared" si="154"/>
        <v>118.84848484848486</v>
      </c>
      <c r="D69" s="2630">
        <f t="shared" si="120"/>
        <v>118.84848484848486</v>
      </c>
      <c r="E69" s="2630">
        <f t="shared" si="155"/>
        <v>117.60960960960961</v>
      </c>
      <c r="F69" s="2630">
        <f t="shared" si="155"/>
        <v>104</v>
      </c>
      <c r="G69" s="3469">
        <v>2004</v>
      </c>
      <c r="H69" s="2621">
        <v>2</v>
      </c>
      <c r="I69" s="2621">
        <v>1</v>
      </c>
      <c r="J69" s="2621">
        <v>1.5</v>
      </c>
      <c r="K69" s="2621">
        <v>1.5</v>
      </c>
      <c r="L69" s="2632">
        <v>0</v>
      </c>
      <c r="N69" s="2673">
        <f t="shared" si="152"/>
        <v>4.0581121662202721E-2</v>
      </c>
      <c r="O69" s="2674">
        <f t="shared" si="152"/>
        <v>3.1897926634768738E-2</v>
      </c>
      <c r="P69" s="2674">
        <f t="shared" si="153"/>
        <v>6.6733400066733395E-2</v>
      </c>
      <c r="Q69" s="2674">
        <f t="shared" si="153"/>
        <v>0</v>
      </c>
      <c r="R69" s="2627"/>
      <c r="S69" s="2625"/>
      <c r="T69" s="2626"/>
      <c r="U69" s="2626"/>
      <c r="V69" s="2626"/>
      <c r="X69" s="2675"/>
      <c r="Y69" s="2675"/>
      <c r="Z69" s="2675"/>
    </row>
    <row r="70" spans="1:26" s="2666" customFormat="1" ht="13.5" thickBot="1">
      <c r="A70" s="2617" t="s">
        <v>2617</v>
      </c>
      <c r="B70" s="2663">
        <f t="shared" si="154"/>
        <v>112.48648648648648</v>
      </c>
      <c r="C70" s="2663">
        <f t="shared" si="154"/>
        <v>115.21212121212122</v>
      </c>
      <c r="D70" s="2663">
        <f t="shared" si="120"/>
        <v>115.21212121212122</v>
      </c>
      <c r="E70" s="2663">
        <f t="shared" si="155"/>
        <v>110.4024024024024</v>
      </c>
      <c r="F70" s="2663">
        <f t="shared" si="155"/>
        <v>104</v>
      </c>
      <c r="G70" s="3472">
        <v>2004</v>
      </c>
      <c r="H70" s="2664">
        <v>1</v>
      </c>
      <c r="I70" s="2664">
        <v>0.33</v>
      </c>
      <c r="J70" s="2664">
        <v>0.5</v>
      </c>
      <c r="K70" s="2664">
        <v>0.5</v>
      </c>
      <c r="L70" s="2665">
        <v>0</v>
      </c>
      <c r="N70" s="2678">
        <f t="shared" si="152"/>
        <v>1.3391770148526898E-2</v>
      </c>
      <c r="O70" s="2679">
        <f t="shared" si="152"/>
        <v>1.063264221158958E-2</v>
      </c>
      <c r="P70" s="2679">
        <f t="shared" si="153"/>
        <v>2.2244466688911134E-2</v>
      </c>
      <c r="Q70" s="2679">
        <f t="shared" si="153"/>
        <v>0</v>
      </c>
      <c r="R70" s="2669"/>
      <c r="S70" s="2667">
        <f>B70/B71-1</f>
        <v>1.3391770148526883E-2</v>
      </c>
      <c r="T70" s="2668">
        <f>C70/C71-1</f>
        <v>1.063264221158966E-2</v>
      </c>
      <c r="U70" s="2668">
        <f>E70/E71-1</f>
        <v>2.2244466688911224E-2</v>
      </c>
      <c r="V70" s="2668">
        <f>F70/F71-1</f>
        <v>0</v>
      </c>
      <c r="X70" s="2680"/>
      <c r="Y70" s="2680"/>
      <c r="Z70" s="2680"/>
    </row>
    <row r="71" spans="1:26" ht="13.5" thickBot="1">
      <c r="A71" s="2617" t="s">
        <v>2618</v>
      </c>
      <c r="B71" s="2681">
        <v>111</v>
      </c>
      <c r="C71" s="2681">
        <v>114</v>
      </c>
      <c r="D71" s="2681">
        <f t="shared" si="120"/>
        <v>114</v>
      </c>
      <c r="E71" s="2681">
        <v>108</v>
      </c>
      <c r="F71" s="2682">
        <v>104</v>
      </c>
      <c r="G71" s="3471">
        <v>2003</v>
      </c>
      <c r="H71" s="2671">
        <v>4</v>
      </c>
      <c r="I71" s="2683"/>
      <c r="J71" s="2683"/>
      <c r="K71" s="2683"/>
      <c r="L71" s="2683"/>
      <c r="N71" s="2684"/>
      <c r="O71" s="2683"/>
      <c r="P71" s="2683"/>
      <c r="Q71" s="2683"/>
      <c r="S71" s="2684"/>
      <c r="T71" s="2683"/>
      <c r="U71" s="2683"/>
      <c r="V71" s="2683"/>
      <c r="X71" s="2675"/>
      <c r="Y71" s="2675"/>
      <c r="Z71" s="2675"/>
    </row>
    <row r="72" spans="1:26">
      <c r="A72" s="2617" t="s">
        <v>2619</v>
      </c>
      <c r="B72" s="2685">
        <f t="shared" ref="B72:C74" si="156">B73+(B$71-B$75)/4</f>
        <v>109.75</v>
      </c>
      <c r="C72" s="2685">
        <f t="shared" si="156"/>
        <v>112.25</v>
      </c>
      <c r="D72" s="2685">
        <f t="shared" si="120"/>
        <v>112.25</v>
      </c>
      <c r="E72" s="2685">
        <f t="shared" ref="E72:F74" si="157">E73+(E$71-E$75)/4</f>
        <v>107.25</v>
      </c>
      <c r="F72" s="2685">
        <f t="shared" si="157"/>
        <v>103.5</v>
      </c>
      <c r="G72" s="3469">
        <v>2003</v>
      </c>
      <c r="H72" s="2641">
        <v>3</v>
      </c>
      <c r="I72" s="2683"/>
      <c r="J72" s="2683"/>
      <c r="K72" s="2683"/>
      <c r="L72" s="2683"/>
      <c r="X72" s="2675"/>
      <c r="Y72" s="2675"/>
      <c r="Z72" s="2675"/>
    </row>
    <row r="73" spans="1:26">
      <c r="A73" s="2617" t="s">
        <v>2620</v>
      </c>
      <c r="B73" s="2685">
        <f t="shared" si="156"/>
        <v>108.5</v>
      </c>
      <c r="C73" s="2685">
        <f t="shared" si="156"/>
        <v>110.5</v>
      </c>
      <c r="D73" s="2685">
        <f t="shared" si="120"/>
        <v>110.5</v>
      </c>
      <c r="E73" s="2685">
        <f t="shared" si="157"/>
        <v>106.5</v>
      </c>
      <c r="F73" s="2685">
        <f t="shared" si="157"/>
        <v>103</v>
      </c>
      <c r="G73" s="3469">
        <v>2003</v>
      </c>
      <c r="H73" s="2621">
        <v>2</v>
      </c>
      <c r="I73" s="2683"/>
      <c r="J73" s="2683"/>
      <c r="K73" s="2683"/>
      <c r="L73" s="2683"/>
      <c r="X73" s="2675"/>
      <c r="Y73" s="2675"/>
      <c r="Z73" s="2675"/>
    </row>
    <row r="74" spans="1:26" ht="13.5" thickBot="1">
      <c r="A74" s="2617" t="s">
        <v>2621</v>
      </c>
      <c r="B74" s="2685">
        <f t="shared" si="156"/>
        <v>107.25</v>
      </c>
      <c r="C74" s="2685">
        <f t="shared" si="156"/>
        <v>108.75</v>
      </c>
      <c r="D74" s="2685">
        <f t="shared" si="120"/>
        <v>108.75</v>
      </c>
      <c r="E74" s="2685">
        <f t="shared" si="157"/>
        <v>105.75</v>
      </c>
      <c r="F74" s="2685">
        <f t="shared" si="157"/>
        <v>102.5</v>
      </c>
      <c r="G74" s="3472">
        <v>2003</v>
      </c>
      <c r="H74" s="2686">
        <v>1</v>
      </c>
      <c r="I74" s="2683"/>
      <c r="J74" s="2683"/>
      <c r="K74" s="2683"/>
      <c r="L74" s="2683"/>
      <c r="S74" s="2625"/>
      <c r="T74" s="2626"/>
      <c r="U74" s="2626"/>
      <c r="X74" s="2675"/>
      <c r="Y74" s="2675"/>
      <c r="Z74" s="2675"/>
    </row>
    <row r="75" spans="1:26" ht="13.5" thickBot="1">
      <c r="A75" s="2617" t="s">
        <v>2622</v>
      </c>
      <c r="B75" s="2687">
        <v>106</v>
      </c>
      <c r="C75" s="2687">
        <v>107</v>
      </c>
      <c r="D75" s="2687">
        <f t="shared" si="120"/>
        <v>107</v>
      </c>
      <c r="E75" s="2687">
        <v>105</v>
      </c>
      <c r="F75" s="2688">
        <v>102</v>
      </c>
      <c r="G75" s="3471">
        <v>2002</v>
      </c>
      <c r="H75" s="2636">
        <v>4</v>
      </c>
      <c r="I75" s="2683"/>
      <c r="J75" s="2683"/>
      <c r="K75" s="2683"/>
      <c r="L75" s="2683"/>
      <c r="N75" s="2684"/>
      <c r="O75" s="2683"/>
      <c r="P75" s="2683"/>
      <c r="Q75" s="2683"/>
      <c r="S75" s="2684"/>
      <c r="T75" s="2683"/>
      <c r="U75" s="2683"/>
      <c r="V75" s="2683"/>
      <c r="X75" s="2675"/>
      <c r="Y75" s="2675"/>
      <c r="Z75" s="2675"/>
    </row>
    <row r="76" spans="1:26">
      <c r="A76" s="2617" t="s">
        <v>2623</v>
      </c>
      <c r="B76" s="2685">
        <f t="shared" ref="B76:C78" si="158">B77+(B$75-B$79)/4</f>
        <v>105</v>
      </c>
      <c r="C76" s="2685">
        <f t="shared" si="158"/>
        <v>106</v>
      </c>
      <c r="D76" s="2685">
        <f t="shared" si="120"/>
        <v>106</v>
      </c>
      <c r="E76" s="2685">
        <f t="shared" ref="E76:F78" si="159">E77+(E$75-E$79)/4</f>
        <v>104.5</v>
      </c>
      <c r="F76" s="2685">
        <f t="shared" si="159"/>
        <v>101.5</v>
      </c>
      <c r="G76" s="3469">
        <v>2002</v>
      </c>
      <c r="H76" s="2641">
        <v>3</v>
      </c>
      <c r="I76" s="2683"/>
      <c r="J76" s="2683"/>
      <c r="K76" s="2683"/>
      <c r="L76" s="2683"/>
      <c r="X76" s="2675"/>
      <c r="Y76" s="2675"/>
      <c r="Z76" s="2675"/>
    </row>
    <row r="77" spans="1:26">
      <c r="A77" s="2617" t="s">
        <v>2624</v>
      </c>
      <c r="B77" s="2685">
        <f t="shared" si="158"/>
        <v>104</v>
      </c>
      <c r="C77" s="2685">
        <f t="shared" si="158"/>
        <v>105</v>
      </c>
      <c r="D77" s="2685">
        <f t="shared" si="120"/>
        <v>105</v>
      </c>
      <c r="E77" s="2685">
        <f t="shared" si="159"/>
        <v>104</v>
      </c>
      <c r="F77" s="2685">
        <f t="shared" si="159"/>
        <v>101</v>
      </c>
      <c r="G77" s="3469">
        <v>2002</v>
      </c>
      <c r="H77" s="2621">
        <v>2</v>
      </c>
      <c r="I77" s="2683"/>
      <c r="J77" s="2683"/>
      <c r="K77" s="2683"/>
      <c r="L77" s="2683"/>
      <c r="X77" s="2675"/>
      <c r="Y77" s="2675"/>
      <c r="Z77" s="2675"/>
    </row>
    <row r="78" spans="1:26" s="2652" customFormat="1" ht="13.5" thickBot="1">
      <c r="A78" s="2648" t="s">
        <v>2625</v>
      </c>
      <c r="B78" s="2689">
        <f t="shared" si="158"/>
        <v>103</v>
      </c>
      <c r="C78" s="2689">
        <f t="shared" si="158"/>
        <v>104</v>
      </c>
      <c r="D78" s="2689">
        <f t="shared" si="120"/>
        <v>104</v>
      </c>
      <c r="E78" s="2689">
        <f t="shared" si="159"/>
        <v>103.5</v>
      </c>
      <c r="F78" s="2689">
        <f t="shared" si="159"/>
        <v>100.5</v>
      </c>
      <c r="G78" s="3472">
        <v>2002</v>
      </c>
      <c r="H78" s="2690">
        <v>1</v>
      </c>
      <c r="I78" s="2691"/>
      <c r="J78" s="2691"/>
      <c r="K78" s="2691"/>
      <c r="L78" s="2691"/>
      <c r="N78" s="2692"/>
      <c r="S78" s="2692"/>
      <c r="X78" s="2693"/>
      <c r="Y78" s="2693"/>
      <c r="Z78" s="2693"/>
    </row>
    <row r="79" spans="1:26" ht="13.5" thickBot="1">
      <c r="B79" s="2694">
        <v>102</v>
      </c>
      <c r="C79" s="2695">
        <v>103</v>
      </c>
      <c r="D79" s="2695">
        <f t="shared" si="120"/>
        <v>103</v>
      </c>
      <c r="E79" s="2695">
        <v>103</v>
      </c>
      <c r="F79" s="2696">
        <v>100</v>
      </c>
      <c r="I79" s="2683"/>
      <c r="J79" s="2683"/>
      <c r="K79" s="2683"/>
      <c r="L79" s="2683"/>
      <c r="N79" s="2684"/>
      <c r="O79" s="2683"/>
      <c r="P79" s="2683"/>
      <c r="Q79" s="2683"/>
      <c r="S79" s="2684"/>
      <c r="T79" s="2683"/>
      <c r="U79" s="2683"/>
      <c r="V79" s="2683"/>
      <c r="X79" s="2629"/>
      <c r="Y79" s="2629"/>
      <c r="Z79" s="2629"/>
    </row>
    <row r="81" spans="1:22" s="2698" customFormat="1">
      <c r="A81" s="2697" t="s">
        <v>2626</v>
      </c>
      <c r="G81" s="2699"/>
      <c r="N81" s="2699"/>
      <c r="S81" s="2699"/>
    </row>
    <row r="82" spans="1:22" s="2698" customFormat="1">
      <c r="A82" s="2698" t="s">
        <v>2627</v>
      </c>
      <c r="G82" s="2699"/>
      <c r="N82" s="2699"/>
      <c r="S82" s="2699"/>
    </row>
    <row r="83" spans="1:22" s="2698" customFormat="1">
      <c r="A83" s="2698" t="s">
        <v>2628</v>
      </c>
      <c r="G83" s="2699"/>
      <c r="I83" s="2700"/>
      <c r="J83" s="2700"/>
      <c r="K83" s="2700"/>
      <c r="L83" s="2700"/>
      <c r="N83" s="2701"/>
      <c r="O83" s="2700"/>
      <c r="P83" s="2700"/>
      <c r="Q83" s="2700"/>
      <c r="S83" s="2701"/>
      <c r="T83" s="2700"/>
      <c r="U83" s="2700"/>
      <c r="V83" s="2700"/>
    </row>
    <row r="84" spans="1:22" s="2698" customFormat="1">
      <c r="A84" s="2698" t="s">
        <v>2629</v>
      </c>
      <c r="G84" s="2699"/>
      <c r="N84" s="2699"/>
      <c r="S84" s="2699"/>
    </row>
    <row r="91" spans="1:22" ht="13.5" thickBot="1"/>
    <row r="92" spans="1:22">
      <c r="G92" s="2624"/>
      <c r="S92" s="2702" t="s">
        <v>2630</v>
      </c>
      <c r="T92" s="2703" t="s">
        <v>2631</v>
      </c>
      <c r="U92" s="2703" t="s">
        <v>2632</v>
      </c>
      <c r="V92" s="2703" t="s">
        <v>2633</v>
      </c>
    </row>
    <row r="93" spans="1:22">
      <c r="G93" s="2624"/>
      <c r="N93" s="2628"/>
      <c r="O93" s="2629"/>
      <c r="P93" s="2629"/>
      <c r="Q93" s="2629"/>
      <c r="S93" s="2704">
        <v>2006</v>
      </c>
      <c r="T93" s="2705">
        <v>15.1</v>
      </c>
      <c r="U93" s="2705">
        <v>7.43</v>
      </c>
      <c r="V93" s="2705">
        <v>26.26</v>
      </c>
    </row>
    <row r="94" spans="1:22">
      <c r="G94" s="2624"/>
      <c r="N94" s="2628"/>
      <c r="O94" s="2629"/>
      <c r="P94" s="2629"/>
      <c r="Q94" s="2629"/>
      <c r="S94" s="2707">
        <v>2005</v>
      </c>
      <c r="T94" s="2706">
        <v>13.9</v>
      </c>
      <c r="U94" s="2706">
        <v>7.49</v>
      </c>
      <c r="V94" s="2706">
        <v>24.92</v>
      </c>
    </row>
    <row r="95" spans="1:22">
      <c r="G95" s="2624"/>
      <c r="N95" s="2628"/>
      <c r="O95" s="2629"/>
      <c r="P95" s="2629"/>
      <c r="Q95" s="2629"/>
      <c r="S95" s="2704">
        <v>2004</v>
      </c>
      <c r="T95" s="2705">
        <v>9.48</v>
      </c>
      <c r="U95" s="2705">
        <v>7.2</v>
      </c>
      <c r="V95" s="2705">
        <v>14.68</v>
      </c>
    </row>
    <row r="96" spans="1:22">
      <c r="G96" s="2624"/>
      <c r="N96" s="2628"/>
      <c r="O96" s="2629"/>
      <c r="P96" s="2629"/>
      <c r="Q96" s="2629"/>
      <c r="S96" s="2707">
        <v>2003</v>
      </c>
      <c r="T96" s="2706">
        <v>4.5</v>
      </c>
      <c r="U96" s="2706">
        <v>6.12</v>
      </c>
      <c r="V96" s="2706">
        <v>2.34</v>
      </c>
    </row>
    <row r="97" spans="7:22" ht="13.5" thickBot="1">
      <c r="G97" s="2624"/>
      <c r="N97" s="2628"/>
      <c r="O97" s="2629"/>
      <c r="P97" s="2629"/>
      <c r="Q97" s="2629"/>
      <c r="S97" s="2708">
        <v>2002</v>
      </c>
      <c r="T97" s="2709">
        <v>3.59</v>
      </c>
      <c r="U97" s="2709">
        <v>4.54</v>
      </c>
      <c r="V97" s="2709">
        <v>2.5499999999999998</v>
      </c>
    </row>
    <row r="98" spans="7:22">
      <c r="G98" s="2624"/>
      <c r="N98" s="2628"/>
      <c r="O98" s="2629"/>
      <c r="P98" s="2629"/>
      <c r="Q98" s="2629"/>
    </row>
    <row r="99" spans="7:22">
      <c r="G99" s="2624"/>
      <c r="N99" s="2628"/>
      <c r="O99" s="2629"/>
      <c r="P99" s="2629"/>
      <c r="Q99" s="2629"/>
    </row>
    <row r="100" spans="7:22">
      <c r="G100" s="2624"/>
      <c r="N100" s="2628"/>
      <c r="O100" s="2629"/>
      <c r="P100" s="2629"/>
      <c r="Q100" s="2629"/>
    </row>
    <row r="101" spans="7:22">
      <c r="G101" s="2624"/>
      <c r="N101" s="2628"/>
      <c r="O101" s="2629"/>
      <c r="P101" s="2629"/>
      <c r="Q101" s="2629"/>
    </row>
    <row r="102" spans="7:22">
      <c r="G102" s="2624"/>
      <c r="N102" s="2628"/>
      <c r="O102" s="2629"/>
      <c r="P102" s="2629"/>
      <c r="Q102" s="2629"/>
    </row>
    <row r="103" spans="7:22">
      <c r="G103" s="2624"/>
      <c r="N103" s="2628"/>
      <c r="O103" s="2629"/>
      <c r="P103" s="2629"/>
      <c r="Q103" s="2629"/>
    </row>
    <row r="104" spans="7:22">
      <c r="G104" s="2624"/>
      <c r="N104" s="2628"/>
      <c r="O104" s="2629"/>
      <c r="P104" s="2629"/>
      <c r="Q104" s="2629"/>
    </row>
    <row r="105" spans="7:22">
      <c r="G105" s="2624"/>
      <c r="N105" s="2628"/>
      <c r="O105" s="2629"/>
      <c r="P105" s="2629"/>
      <c r="Q105" s="2629"/>
    </row>
    <row r="106" spans="7:22">
      <c r="G106" s="2624"/>
      <c r="N106" s="2628"/>
      <c r="O106" s="2629"/>
      <c r="P106" s="2629"/>
      <c r="Q106" s="2629"/>
    </row>
    <row r="107" spans="7:22">
      <c r="G107" s="2624"/>
      <c r="N107" s="2628"/>
      <c r="O107" s="2629"/>
      <c r="P107" s="2629"/>
      <c r="Q107" s="2629"/>
    </row>
    <row r="108" spans="7:22">
      <c r="G108" s="2624"/>
      <c r="N108" s="2628"/>
      <c r="O108" s="2629"/>
      <c r="P108" s="2629"/>
      <c r="Q108" s="2629"/>
      <c r="S108" s="2624"/>
    </row>
    <row r="109" spans="7:22">
      <c r="G109" s="2624"/>
      <c r="N109" s="2628"/>
      <c r="O109" s="2629"/>
      <c r="P109" s="2629"/>
      <c r="Q109" s="2629"/>
      <c r="S109" s="2624"/>
    </row>
    <row r="110" spans="7:22">
      <c r="G110" s="2624"/>
      <c r="N110" s="2628"/>
      <c r="O110" s="2629"/>
      <c r="P110" s="2629"/>
      <c r="Q110" s="2629"/>
      <c r="S110" s="2624"/>
    </row>
    <row r="111" spans="7:22">
      <c r="G111" s="2624"/>
      <c r="N111" s="2628"/>
      <c r="O111" s="2629"/>
      <c r="P111" s="2629"/>
      <c r="Q111" s="2629"/>
      <c r="S111" s="2624"/>
    </row>
    <row r="112" spans="7:22">
      <c r="G112" s="2624"/>
      <c r="N112" s="2628"/>
      <c r="O112" s="2629"/>
      <c r="P112" s="2629"/>
      <c r="Q112" s="2629"/>
      <c r="S112" s="2624"/>
    </row>
    <row r="113" spans="7:19">
      <c r="G113" s="2624"/>
      <c r="N113" s="2628"/>
      <c r="O113" s="2629"/>
      <c r="P113" s="2629"/>
      <c r="Q113" s="2629"/>
      <c r="S113" s="2624"/>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9"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2941</v>
      </c>
      <c r="B1" s="3053"/>
      <c r="C1" s="3053"/>
      <c r="D1" s="3053"/>
      <c r="E1" s="3053"/>
      <c r="F1" s="3053"/>
    </row>
    <row r="2" spans="1:6" ht="14.25">
      <c r="A2" s="3054" t="s">
        <v>2936</v>
      </c>
      <c r="B2" s="3055">
        <f ca="1">SUMIF(B7:B14,"&lt;&gt;#ref!",B7:B14)</f>
        <v>0</v>
      </c>
      <c r="C2" s="3054" t="s">
        <v>2937</v>
      </c>
      <c r="D2" s="3053"/>
      <c r="E2" s="3053"/>
      <c r="F2" s="3053"/>
    </row>
    <row r="3" spans="1:6" ht="14.25">
      <c r="A3" s="3054" t="s">
        <v>2969</v>
      </c>
      <c r="B3" s="3055" t="e">
        <f ca="1">ROUND(B2*10000/E3,0)</f>
        <v>#DIV/0!</v>
      </c>
      <c r="C3" s="3054" t="s">
        <v>2075</v>
      </c>
      <c r="D3" s="3054" t="s">
        <v>2938</v>
      </c>
      <c r="E3" s="3055">
        <f ca="1">SUMIF(E7:E14,"&lt;&gt;#ref!",E7:E14)</f>
        <v>0</v>
      </c>
      <c r="F3" s="3053"/>
    </row>
    <row r="4" spans="1:6" ht="14.25">
      <c r="A4" s="3054" t="s">
        <v>2945</v>
      </c>
      <c r="B4" s="3055" t="e">
        <f ca="1">ROUND(B2*10000/E4,0)</f>
        <v>#DIV/0!</v>
      </c>
      <c r="C4" s="3054" t="s">
        <v>2075</v>
      </c>
      <c r="D4" s="3054" t="s">
        <v>2946</v>
      </c>
      <c r="E4" s="3055">
        <f ca="1">SUMIF(F7:F14,"&lt;&gt;#ref!",F7:F14)</f>
        <v>0</v>
      </c>
      <c r="F4" s="3053"/>
    </row>
    <row r="5" spans="1:6" ht="14.25">
      <c r="A5" s="3056"/>
      <c r="B5" s="1864"/>
      <c r="C5" s="1864"/>
      <c r="D5" s="1864"/>
      <c r="E5" s="1864"/>
      <c r="F5" s="3053"/>
    </row>
    <row r="6" spans="1:6" ht="28.5">
      <c r="A6" s="3057" t="s">
        <v>2942</v>
      </c>
      <c r="B6" s="3054" t="s">
        <v>2939</v>
      </c>
      <c r="C6" s="3055"/>
      <c r="D6" s="1864"/>
      <c r="E6" s="3054" t="s">
        <v>2940</v>
      </c>
      <c r="F6" s="3054" t="s">
        <v>2944</v>
      </c>
    </row>
    <row r="7" spans="1:6" ht="14.25">
      <c r="A7" s="259" t="s">
        <v>2943</v>
      </c>
      <c r="B7" s="3058">
        <f ca="1">SUMIF(INDIRECT("'"&amp;A7&amp;"'"&amp;"!A:A"),"总价",INDIRECT("'"&amp;A7&amp;"'"&amp;"!B:B"))</f>
        <v>0</v>
      </c>
      <c r="C7" s="3054" t="s">
        <v>2937</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2937</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2937</v>
      </c>
      <c r="D9" s="1864"/>
      <c r="E9" s="3059" t="e">
        <f t="shared" ca="1" si="1"/>
        <v>#REF!</v>
      </c>
      <c r="F9" s="3059" t="e">
        <f t="shared" ca="1" si="2"/>
        <v>#REF!</v>
      </c>
    </row>
    <row r="10" spans="1:6" ht="14.25">
      <c r="A10" s="259"/>
      <c r="B10" s="3058" t="e">
        <f t="shared" ca="1" si="0"/>
        <v>#REF!</v>
      </c>
      <c r="C10" s="3054" t="s">
        <v>2937</v>
      </c>
      <c r="D10" s="1864"/>
      <c r="E10" s="3059" t="e">
        <f t="shared" ca="1" si="1"/>
        <v>#REF!</v>
      </c>
      <c r="F10" s="3059" t="e">
        <f t="shared" ca="1" si="2"/>
        <v>#REF!</v>
      </c>
    </row>
    <row r="11" spans="1:6" ht="14.25">
      <c r="A11" s="259"/>
      <c r="B11" s="3058" t="e">
        <f t="shared" ca="1" si="0"/>
        <v>#REF!</v>
      </c>
      <c r="C11" s="3054" t="s">
        <v>2937</v>
      </c>
      <c r="D11" s="1864"/>
      <c r="E11" s="3059" t="e">
        <f t="shared" ca="1" si="1"/>
        <v>#REF!</v>
      </c>
      <c r="F11" s="3059" t="e">
        <f t="shared" ca="1" si="2"/>
        <v>#REF!</v>
      </c>
    </row>
    <row r="12" spans="1:6" ht="14.25">
      <c r="A12" s="259"/>
      <c r="B12" s="3058" t="e">
        <f t="shared" ca="1" si="0"/>
        <v>#REF!</v>
      </c>
      <c r="C12" s="3054" t="s">
        <v>2937</v>
      </c>
      <c r="D12" s="1864"/>
      <c r="E12" s="3059" t="e">
        <f t="shared" ca="1" si="1"/>
        <v>#REF!</v>
      </c>
      <c r="F12" s="3059" t="e">
        <f t="shared" ca="1" si="2"/>
        <v>#REF!</v>
      </c>
    </row>
    <row r="13" spans="1:6" ht="14.25">
      <c r="A13" s="259"/>
      <c r="B13" s="3058" t="e">
        <f t="shared" ca="1" si="0"/>
        <v>#REF!</v>
      </c>
      <c r="C13" s="3054" t="s">
        <v>2937</v>
      </c>
      <c r="D13" s="1864"/>
      <c r="E13" s="3059" t="e">
        <f t="shared" ca="1" si="1"/>
        <v>#REF!</v>
      </c>
      <c r="F13" s="3059" t="e">
        <f t="shared" ca="1" si="2"/>
        <v>#REF!</v>
      </c>
    </row>
    <row r="14" spans="1:6" ht="14.25">
      <c r="A14" s="3052"/>
      <c r="B14" s="3058" t="e">
        <f t="shared" ca="1" si="0"/>
        <v>#REF!</v>
      </c>
      <c r="C14" s="3054" t="s">
        <v>2937</v>
      </c>
      <c r="D14" s="1864"/>
      <c r="E14" s="3059" t="e">
        <f t="shared" ca="1" si="1"/>
        <v>#REF!</v>
      </c>
      <c r="F14" s="3059"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北京融泰房地产开发有限公司：</v>
      </c>
    </row>
    <row r="4" spans="1:4" ht="56.25">
      <c r="A4" s="1774" t="str">
        <f>"受贵公司委托，我公司对"&amp;项目基本情况!K2&amp;项目基本情况!B9&amp;"进行了预评估。"</f>
        <v>受贵公司委托，我公司对北京市通州区马驹桥镇国家环保产业园区YZ00-073-6004、6006地块R2二类居住用地出让国有建设用地使用权抵押价格进行了预评估。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融泰房地产开发有限公司使用的、位于北京市通州区马驹桥镇国家环保产业园区YZ00-073-6004、6006地块R2二类居住用地出让国有建设用地使用权。根据《建设工程规划许可证》[2020规自（通）建字0025、0028号]及附件附图，估价对象（分摊）出让国有建设用地使用权面积为35973.68平方米，规划建筑面积为133190.67平方米。</v>
      </c>
    </row>
    <row r="7" spans="1:4" ht="56.25">
      <c r="A7" s="1778" t="s">
        <v>2741</v>
      </c>
    </row>
    <row r="8" spans="1:4" ht="18.75">
      <c r="A8" s="1777" t="s">
        <v>1906</v>
      </c>
    </row>
    <row r="9" spans="1:4" ht="56.25">
      <c r="A9" s="1779" t="str">
        <f>IF(项目基本情况!B8="抵押",IF(项目基本情况!B5=项目基本情况!B6,定义!C51,定义!B51),定义!D51)</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2020年4月21日（评估专业人员勘察现场之日）</v>
      </c>
    </row>
    <row r="12" spans="1:4" ht="18.75">
      <c r="A12" s="1780" t="s">
        <v>2022</v>
      </c>
    </row>
    <row r="13" spans="1:4" ht="18.75">
      <c r="A13" s="1774" t="s">
        <v>2934</v>
      </c>
    </row>
    <row r="14" spans="1:4" ht="56.25">
      <c r="A14" s="1774" t="str">
        <f>"根据"&amp;项目基本情况!F12&amp;"，本次评估估价对象证载（地类）用途为"&amp;项目基本情况!B12&amp;"。"</f>
        <v>根据《国有建设用地使用权出让合同》[电子监管号：1101002019B02949]及附件、《建设工程规划许可证》[2020规自（通）建字0025、0028号]及附件附图，本次评估估价对象证载（地类）用途为城镇住宅用地。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本次评估设定用途即为证载用途住宅、地下仓储、地下车库。</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根据委托估价方介绍及评估专业人员现场勘查，本次评估估价对象实际土地开发程度为红线外市政基础设施达“七通”（即通路、通电、通上水、燃气、、、）、宗地红线内场地平整。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2070</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根据《建设工程规划许可证》[2020规自（通）建字0025、0028号]及附件附图，估价对象（分摊）出让国有建设用地使用权面积为35973.68平方米，规划建筑面积为133190.67平方米。</v>
      </c>
    </row>
    <row r="21" spans="1:1" ht="18.75">
      <c r="A21" s="1774" t="s">
        <v>2071</v>
      </c>
    </row>
    <row r="22" spans="1:1" ht="11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电子监管号：1101002019B02949]及附件、《建设工程规划许可证》[2020规自（通）建字0025、0028号]及附件附图证载土地终止日期为住宅2089年10月30日车库2069年10月30日、仓储2069年10月30日。截至估价期日，出让国有建设用地使用权剩余土地使用年限为住宅69.5年、地下仓储及地下车库49.5年。</v>
      </c>
    </row>
    <row r="23" spans="1:1" ht="37.5">
      <c r="A23" s="1774" t="str">
        <f>IF(项目基本情况!B16="出让","本次评估设定估价对象剩余土地使用年限为"&amp;项目基本情况!D20&amp;"。","")</f>
        <v>本次评估设定估价对象剩余土地使用年限为住宅69.5年、地下仓储及地下车库49.5年。</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2020年4月21日，在规划利用条件下、设定土地开发程度为红线外“七通”、宗地内场地未平整，设定用途为住宅、地下仓储、地下车库，剩余土地使用年限为住宅69.5年、地下仓储及地下车库49.5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F33" sqref="F3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628</v>
      </c>
      <c r="B1" s="737"/>
      <c r="C1" s="772"/>
      <c r="D1" s="2033"/>
      <c r="E1" s="2349" t="s">
        <v>2370</v>
      </c>
      <c r="F1" s="2350">
        <f ca="1">J54</f>
        <v>-3</v>
      </c>
      <c r="G1" s="773">
        <f>MATCH(C1,'数据-取费表'!A6:A16,0)+5</f>
        <v>9</v>
      </c>
      <c r="H1" s="1344"/>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5"/>
      <c r="D2" s="2038"/>
      <c r="E2" s="2039"/>
      <c r="F2" s="2039"/>
      <c r="G2" s="1574"/>
      <c r="H2" s="1357"/>
      <c r="I2" s="2040"/>
      <c r="J2" s="2040"/>
      <c r="K2" s="2041"/>
      <c r="L2" s="2040"/>
      <c r="M2" s="2040"/>
    </row>
    <row r="3" spans="1:25" ht="18" customHeight="1">
      <c r="A3" s="1628" t="s">
        <v>1686</v>
      </c>
      <c r="B3" s="1385">
        <f ca="1">ROUND(B2*10000/'数据-汇总表'!E3,0)</f>
        <v>0</v>
      </c>
      <c r="C3" s="1345"/>
      <c r="D3" s="2038"/>
      <c r="E3" s="2039"/>
      <c r="F3" s="2039"/>
      <c r="G3" s="1574"/>
      <c r="H3" s="775" t="s">
        <v>695</v>
      </c>
      <c r="I3" s="2040"/>
      <c r="J3" s="2040"/>
      <c r="K3" s="2041"/>
      <c r="L3" s="2040"/>
      <c r="M3" s="2040"/>
    </row>
    <row r="4" spans="1:25" ht="18" customHeight="1">
      <c r="A4" s="1629" t="s">
        <v>696</v>
      </c>
      <c r="B4" s="1346">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2454</v>
      </c>
      <c r="C7" s="53">
        <f ca="1">C8+C12+C14</f>
        <v>0</v>
      </c>
      <c r="D7" s="2458" t="s">
        <v>2457</v>
      </c>
      <c r="E7" s="2452"/>
      <c r="F7" s="2453"/>
      <c r="G7" s="1576"/>
      <c r="H7" s="780">
        <v>1</v>
      </c>
      <c r="I7" s="781" t="s">
        <v>2454</v>
      </c>
      <c r="J7" s="53">
        <f ca="1">J8+J12+J14</f>
        <v>0</v>
      </c>
      <c r="K7" s="2458" t="s">
        <v>2457</v>
      </c>
      <c r="L7" s="2452"/>
      <c r="M7" s="2453"/>
    </row>
    <row r="8" spans="1:25" ht="18" customHeight="1">
      <c r="A8" s="1813" t="s">
        <v>1824</v>
      </c>
      <c r="B8" s="3480" t="s">
        <v>2459</v>
      </c>
      <c r="C8" s="1808">
        <f ca="1">ROUND(F8*F10*F9*(1-F11)/10000,0)</f>
        <v>0</v>
      </c>
      <c r="D8" s="1805" t="s">
        <v>2530</v>
      </c>
      <c r="E8" s="61" t="s">
        <v>637</v>
      </c>
      <c r="F8" s="784">
        <f ca="1">INDIRECT("'数据-取费表'!u"&amp;$G$1)</f>
        <v>0</v>
      </c>
      <c r="G8" s="1576"/>
      <c r="H8" s="2466" t="s">
        <v>1824</v>
      </c>
      <c r="I8" s="3480" t="s">
        <v>2459</v>
      </c>
      <c r="J8" s="782">
        <f ca="1">ROUND(M8*M10*M9*(1-M11)/10000,0)</f>
        <v>0</v>
      </c>
      <c r="K8" s="340" t="s">
        <v>2530</v>
      </c>
      <c r="L8" s="783" t="s">
        <v>1738</v>
      </c>
      <c r="M8" s="784">
        <f ca="1">INDIRECT("'数据-取费表'!z"&amp;$G$1)</f>
        <v>0</v>
      </c>
    </row>
    <row r="9" spans="1:25" ht="18" customHeight="1">
      <c r="A9" s="2462"/>
      <c r="B9" s="3481"/>
      <c r="C9" s="1809"/>
      <c r="D9" s="1806"/>
      <c r="E9" s="61" t="s">
        <v>638</v>
      </c>
      <c r="F9" s="784">
        <f ca="1">IF(INDIRECT("'数据-取费表'!ah"&amp;$G$1)="",INDIRECT("'数据-取费表'!k"&amp;$G$1),INDIRECT("'数据-取费表'!ah"&amp;$G$1))</f>
        <v>0</v>
      </c>
      <c r="G9" s="1576"/>
      <c r="H9" s="2451"/>
      <c r="I9" s="3481"/>
      <c r="J9" s="787"/>
      <c r="K9" s="788"/>
      <c r="L9" s="783" t="s">
        <v>1739</v>
      </c>
      <c r="M9" s="784">
        <f ca="1">F9</f>
        <v>0</v>
      </c>
    </row>
    <row r="10" spans="1:25" ht="18" customHeight="1">
      <c r="A10" s="2455"/>
      <c r="B10" s="3482"/>
      <c r="C10" s="1809"/>
      <c r="D10" s="1806"/>
      <c r="E10" s="61" t="s">
        <v>639</v>
      </c>
      <c r="F10" s="784">
        <f ca="1">INDIRECT("'数据-取费表'!ai"&amp;$G$1)</f>
        <v>0</v>
      </c>
      <c r="G10" s="1576"/>
      <c r="H10" s="2451"/>
      <c r="I10" s="3482"/>
      <c r="J10" s="787"/>
      <c r="K10" s="788"/>
      <c r="L10" s="783" t="s">
        <v>1740</v>
      </c>
      <c r="M10" s="784">
        <f ca="1">INDIRECT("'数据-取费表'!ai"&amp;$G$1)</f>
        <v>0</v>
      </c>
    </row>
    <row r="11" spans="1:25" ht="18" customHeight="1">
      <c r="A11" s="785"/>
      <c r="B11" s="3483"/>
      <c r="C11" s="1809"/>
      <c r="D11" s="1806"/>
      <c r="E11" s="61" t="s">
        <v>640</v>
      </c>
      <c r="F11" s="793">
        <f ca="1">INDIRECT("'数据-取费表'!w"&amp;$G$1)</f>
        <v>0</v>
      </c>
      <c r="G11" s="1576"/>
      <c r="H11" s="2467"/>
      <c r="I11" s="3482"/>
      <c r="J11" s="787"/>
      <c r="K11" s="788"/>
      <c r="L11" s="794" t="s">
        <v>1741</v>
      </c>
      <c r="M11" s="795">
        <f ca="1">INDIRECT("'数据-取费表'!ab"&amp;$G$1)</f>
        <v>0</v>
      </c>
    </row>
    <row r="12" spans="1:25" ht="18" customHeight="1">
      <c r="A12" s="1813" t="s">
        <v>1825</v>
      </c>
      <c r="B12" s="2456" t="s">
        <v>2455</v>
      </c>
      <c r="C12" s="798">
        <f ca="1">ROUND(IF(F12="押一",C8/12*F13,IF(F12="押二",C8/12*2*F13,IF(F12="押三",C8/12*3*F13,C13*F13))),0)</f>
        <v>0</v>
      </c>
      <c r="D12" s="2463" t="s">
        <v>2966</v>
      </c>
      <c r="E12" s="2460" t="s">
        <v>2460</v>
      </c>
      <c r="F12" s="2583"/>
      <c r="G12" s="1576"/>
      <c r="H12" s="2523" t="s">
        <v>1825</v>
      </c>
      <c r="I12" s="2528" t="s">
        <v>2455</v>
      </c>
      <c r="J12" s="782">
        <f ca="1">ROUND(IF(M12="押一",J8/12*M13,IF(M12="押二",J8/12*2*M13,IF(M12="押三",J8/12*3*M13,J13*M13))),0)</f>
        <v>0</v>
      </c>
      <c r="K12" s="2463" t="s">
        <v>2966</v>
      </c>
      <c r="L12" s="2460" t="s">
        <v>2460</v>
      </c>
      <c r="M12" s="2583"/>
    </row>
    <row r="13" spans="1:25" ht="18" customHeight="1">
      <c r="A13" s="789"/>
      <c r="B13" s="2457" t="s">
        <v>2569</v>
      </c>
      <c r="C13" s="2461"/>
      <c r="D13" s="788"/>
      <c r="E13" s="2460" t="s">
        <v>2452</v>
      </c>
      <c r="F13" s="795">
        <f ca="1">'数据-取费表'!B39</f>
        <v>1.4999999999999999E-2</v>
      </c>
      <c r="G13" s="1576"/>
      <c r="H13" s="2524"/>
      <c r="I13" s="2457" t="s">
        <v>2569</v>
      </c>
      <c r="J13" s="2461"/>
      <c r="K13" s="2525"/>
      <c r="L13" s="2460" t="s">
        <v>2452</v>
      </c>
      <c r="M13" s="2454">
        <f ca="1">'数据-取费表'!B39</f>
        <v>1.4999999999999999E-2</v>
      </c>
    </row>
    <row r="14" spans="1:25" ht="18" customHeight="1" thickBot="1">
      <c r="A14" s="2499" t="s">
        <v>2463</v>
      </c>
      <c r="B14" s="2500" t="s">
        <v>2456</v>
      </c>
      <c r="C14" s="2501"/>
      <c r="D14" s="2502"/>
      <c r="E14" s="2503"/>
      <c r="F14" s="2504"/>
      <c r="G14" s="1576"/>
      <c r="H14" s="2513" t="s">
        <v>2463</v>
      </c>
      <c r="I14" s="2526" t="s">
        <v>2456</v>
      </c>
      <c r="J14" s="2527"/>
      <c r="K14" s="2502"/>
      <c r="L14" s="2503"/>
      <c r="M14" s="2516"/>
    </row>
    <row r="15" spans="1:25" ht="18" customHeight="1" thickTop="1">
      <c r="A15" s="1812" t="s">
        <v>1874</v>
      </c>
      <c r="B15" s="1810" t="s">
        <v>641</v>
      </c>
      <c r="C15" s="791">
        <f ca="1">ROUND(C31*F15,0)</f>
        <v>0</v>
      </c>
      <c r="D15" s="1817" t="s">
        <v>642</v>
      </c>
      <c r="E15" s="794" t="s">
        <v>643</v>
      </c>
      <c r="F15" s="799">
        <f ca="1">INDIRECT("'数据-取费表'!y"&amp;$G$1)</f>
        <v>0</v>
      </c>
      <c r="G15" s="1576"/>
      <c r="H15" s="1812" t="s">
        <v>1826</v>
      </c>
      <c r="I15" s="1810" t="s">
        <v>644</v>
      </c>
      <c r="J15" s="1802">
        <f ca="1">ROUND(J16*J17,0)</f>
        <v>0</v>
      </c>
      <c r="K15" s="1804" t="s">
        <v>642</v>
      </c>
      <c r="L15" s="800"/>
      <c r="M15" s="801"/>
    </row>
    <row r="16" spans="1:25" ht="18" customHeight="1">
      <c r="A16" s="802" t="s">
        <v>1875</v>
      </c>
      <c r="B16" s="783" t="s">
        <v>645</v>
      </c>
      <c r="C16" s="803">
        <f ca="1">INDIRECT("'数据-取费表'!m"&amp;$G$1)+INDIRECT("'数据-取费表'!t"&amp;$G$1)</f>
        <v>0</v>
      </c>
      <c r="D16" s="1962" t="s">
        <v>646</v>
      </c>
      <c r="E16" s="1963"/>
      <c r="F16" s="804"/>
      <c r="G16" s="1576"/>
      <c r="H16" s="802" t="s">
        <v>2066</v>
      </c>
      <c r="I16" s="2214" t="s">
        <v>2819</v>
      </c>
      <c r="J16" s="53">
        <f ca="1">C31</f>
        <v>0</v>
      </c>
      <c r="K16" s="26"/>
      <c r="L16" s="800"/>
      <c r="M16" s="801"/>
    </row>
    <row r="17" spans="1:25" s="2047" customFormat="1" ht="18" customHeight="1">
      <c r="A17" s="802" t="s">
        <v>1849</v>
      </c>
      <c r="B17" s="783" t="s">
        <v>647</v>
      </c>
      <c r="C17" s="53">
        <f ca="1">ROUND(C16*F17,0)</f>
        <v>0</v>
      </c>
      <c r="D17" s="805" t="s">
        <v>648</v>
      </c>
      <c r="E17" s="805" t="s">
        <v>649</v>
      </c>
      <c r="F17" s="806">
        <f>'数据-取费表'!B33</f>
        <v>0.03</v>
      </c>
      <c r="G17" s="1577"/>
      <c r="H17" s="802" t="s">
        <v>2067</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6"/>
      <c r="H18" s="796" t="s">
        <v>1827</v>
      </c>
      <c r="I18" s="797" t="s">
        <v>651</v>
      </c>
      <c r="J18" s="798">
        <f ca="1">ROUND(J19+J24+J25+J26,0)</f>
        <v>0</v>
      </c>
      <c r="K18" s="26" t="s">
        <v>652</v>
      </c>
      <c r="L18" s="1965"/>
      <c r="M18" s="56"/>
    </row>
    <row r="19" spans="1:25" s="2047" customFormat="1" ht="18" customHeight="1">
      <c r="A19" s="802" t="s">
        <v>1851</v>
      </c>
      <c r="B19" s="783" t="s">
        <v>653</v>
      </c>
      <c r="C19" s="53">
        <f ca="1">ROUND(F19*(INDIRECT("'数据-取费表'!k"&amp;$G$1)+INDIRECT("'数据-取费表'!S"&amp;$G$1))/10000,0)</f>
        <v>0</v>
      </c>
      <c r="D19" s="783" t="s">
        <v>654</v>
      </c>
      <c r="E19" s="783" t="s">
        <v>655</v>
      </c>
      <c r="F19" s="56">
        <f>'数据-取费表'!B35</f>
        <v>200</v>
      </c>
      <c r="G19" s="1577"/>
      <c r="H19" s="802" t="s">
        <v>2066</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1852</v>
      </c>
      <c r="B20" s="783" t="s">
        <v>659</v>
      </c>
      <c r="C20" s="53">
        <f ca="1">ROUND(C16*F20,0)</f>
        <v>0</v>
      </c>
      <c r="D20" s="783" t="s">
        <v>648</v>
      </c>
      <c r="E20" s="783" t="s">
        <v>649</v>
      </c>
      <c r="F20" s="808">
        <f>'数据-取费表'!B36</f>
        <v>1.4999999999999999E-2</v>
      </c>
      <c r="G20" s="1577"/>
      <c r="H20" s="802" t="s">
        <v>1831</v>
      </c>
      <c r="I20" s="783" t="s">
        <v>660</v>
      </c>
      <c r="J20" s="53">
        <f ca="1">ROUND(J8*M20/(1+'数据-取费表'!C42),1)</f>
        <v>0</v>
      </c>
      <c r="K20" s="1960" t="s">
        <v>661</v>
      </c>
      <c r="L20" s="783" t="s">
        <v>649</v>
      </c>
      <c r="M20" s="808">
        <f>'数据-取费表'!B41</f>
        <v>5.5000000000000007E-2</v>
      </c>
      <c r="N20" s="2046"/>
      <c r="O20" s="2046"/>
      <c r="P20" s="2046"/>
      <c r="Q20" s="2046"/>
      <c r="R20" s="2046"/>
      <c r="S20" s="2046"/>
      <c r="T20" s="2046"/>
      <c r="U20" s="2046"/>
      <c r="V20" s="2046"/>
      <c r="W20" s="2046"/>
      <c r="X20" s="2046"/>
      <c r="Y20" s="2046"/>
    </row>
    <row r="21" spans="1:25" ht="18" customHeight="1">
      <c r="A21" s="802" t="s">
        <v>1876</v>
      </c>
      <c r="B21" s="783" t="s">
        <v>662</v>
      </c>
      <c r="C21" s="53">
        <f ca="1">SUM(C16:C20)</f>
        <v>0</v>
      </c>
      <c r="D21" s="260" t="s">
        <v>663</v>
      </c>
      <c r="E21" s="1965"/>
      <c r="F21" s="56"/>
      <c r="G21" s="1576"/>
      <c r="H21" s="1813"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1877</v>
      </c>
      <c r="B22" s="783" t="s">
        <v>666</v>
      </c>
      <c r="C22" s="53">
        <f ca="1">ROUND(C21*F22,0)</f>
        <v>0</v>
      </c>
      <c r="D22" s="811" t="s">
        <v>667</v>
      </c>
      <c r="E22" s="783" t="s">
        <v>649</v>
      </c>
      <c r="F22" s="808">
        <f>'数据-取费表'!B37</f>
        <v>0.02</v>
      </c>
      <c r="G22" s="1577"/>
      <c r="H22" s="1815" t="s">
        <v>1850</v>
      </c>
      <c r="I22" s="1805" t="s">
        <v>668</v>
      </c>
      <c r="J22" s="54">
        <f ca="1">ROUND(M22*M23/10000,0)</f>
        <v>0</v>
      </c>
      <c r="K22" s="813" t="s">
        <v>669</v>
      </c>
      <c r="L22" s="783" t="s">
        <v>670</v>
      </c>
      <c r="M22" s="639">
        <f>'数据-取费表'!B52</f>
        <v>1.5</v>
      </c>
      <c r="N22" s="2046"/>
      <c r="O22" s="2046"/>
      <c r="P22" s="2046"/>
      <c r="Q22" s="2046"/>
      <c r="R22" s="2046"/>
      <c r="S22" s="2046"/>
      <c r="T22" s="2046"/>
      <c r="U22" s="2046"/>
      <c r="V22" s="2046"/>
      <c r="W22" s="2046"/>
      <c r="X22" s="2046"/>
      <c r="Y22" s="2046"/>
    </row>
    <row r="23" spans="1:25" s="2047" customFormat="1" ht="18" customHeight="1">
      <c r="A23" s="802" t="s">
        <v>1878</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1879</v>
      </c>
      <c r="B24" s="783" t="s">
        <v>675</v>
      </c>
      <c r="C24" s="53"/>
      <c r="D24" s="2534" t="str">
        <f>IF(F25&lt;=1,"单利计息。","复利计息。")&amp;"建造成本、管理费用、销售费用产生的利息。"</f>
        <v>复利计息。建造成本、管理费用、销售费用产生的利息。</v>
      </c>
      <c r="E24" s="1965"/>
      <c r="F24" s="56"/>
      <c r="G24" s="1576"/>
      <c r="H24" s="1814" t="s">
        <v>2067</v>
      </c>
      <c r="I24" s="783" t="s">
        <v>676</v>
      </c>
      <c r="J24" s="53">
        <f ca="1">ROUND(J16*M24,0)</f>
        <v>0</v>
      </c>
      <c r="K24" s="1960" t="s">
        <v>677</v>
      </c>
      <c r="L24" s="783" t="s">
        <v>649</v>
      </c>
      <c r="M24" s="816">
        <f ca="1">INDIRECT("'数据-取费表'!Ak"&amp;$G$1)</f>
        <v>0</v>
      </c>
    </row>
    <row r="25" spans="1:25" s="2047" customFormat="1" ht="18" customHeight="1">
      <c r="A25" s="802" t="s">
        <v>1875</v>
      </c>
      <c r="B25" s="783" t="s">
        <v>2433</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3</v>
      </c>
      <c r="G25" s="1577"/>
      <c r="H25" s="802" t="s">
        <v>1878</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1849</v>
      </c>
      <c r="B26" s="783" t="s">
        <v>681</v>
      </c>
      <c r="C26" s="53">
        <f ca="1">ROUND(IF('数据-取费表'!B22&lt;=1,F23*F26*F25/2,F23*(POWER((1+F26),F25/2)-1)),4)</f>
        <v>1.4E-3</v>
      </c>
      <c r="D26" s="2533" t="str">
        <f>IF(F25&lt;=1,"销售费用×利率×(建设周期÷2)","销售费用×((1+利率)^(建设周期÷2)-1)")</f>
        <v>销售费用×((1+利率)^(建设周期÷2)-1)</v>
      </c>
      <c r="E26" s="783" t="s">
        <v>682</v>
      </c>
      <c r="F26" s="818">
        <f ca="1">'数据-取费表'!B40</f>
        <v>4.7500000000000001E-2</v>
      </c>
      <c r="G26" s="1577"/>
      <c r="H26" s="802" t="s">
        <v>1879</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1881</v>
      </c>
      <c r="B27" s="783" t="s">
        <v>684</v>
      </c>
      <c r="C27" s="53"/>
      <c r="D27" s="260" t="s">
        <v>685</v>
      </c>
      <c r="E27" s="1965"/>
      <c r="F27" s="56"/>
      <c r="G27" s="1576"/>
      <c r="H27" s="796" t="s">
        <v>1828</v>
      </c>
      <c r="I27" s="2961" t="s">
        <v>2816</v>
      </c>
      <c r="J27" s="798">
        <f ca="1">J7-J18</f>
        <v>0</v>
      </c>
      <c r="K27" s="1962" t="s">
        <v>700</v>
      </c>
      <c r="L27" s="1964"/>
      <c r="M27" s="819"/>
    </row>
    <row r="28" spans="1:25" ht="18" customHeight="1">
      <c r="A28" s="802" t="s">
        <v>1875</v>
      </c>
      <c r="B28" s="783" t="s">
        <v>2434</v>
      </c>
      <c r="C28" s="53">
        <f ca="1">ROUND((C21+C22)*F28,0)</f>
        <v>0</v>
      </c>
      <c r="D28" s="811" t="s">
        <v>701</v>
      </c>
      <c r="E28" s="794" t="s">
        <v>702</v>
      </c>
      <c r="F28" s="793">
        <f ca="1">INDIRECT("'数据-取费表'!q"&amp;$G$1)</f>
        <v>0</v>
      </c>
      <c r="G28" s="1576"/>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1882</v>
      </c>
      <c r="B30" s="783" t="s">
        <v>687</v>
      </c>
      <c r="C30" s="53">
        <f>ROUND(F30/(1+'数据-取费表'!C42),4)</f>
        <v>5.2400000000000002E-2</v>
      </c>
      <c r="D30" s="811" t="s">
        <v>709</v>
      </c>
      <c r="E30" s="783" t="s">
        <v>649</v>
      </c>
      <c r="F30" s="808">
        <f>'数据-取费表'!B41</f>
        <v>5.5000000000000007E-2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2817</v>
      </c>
      <c r="C31" s="2506">
        <f ca="1">ROUND((C21+C22+C25+C28)/(1-F23-C26-C29-C30),0)</f>
        <v>0</v>
      </c>
      <c r="D31" s="2507"/>
      <c r="E31" s="2508"/>
      <c r="F31" s="2509"/>
      <c r="G31" s="1577"/>
      <c r="H31" s="822" t="s">
        <v>1872</v>
      </c>
      <c r="I31" s="2962" t="s">
        <v>2818</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1876</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1875</v>
      </c>
      <c r="B34" s="783" t="s">
        <v>660</v>
      </c>
      <c r="C34" s="53">
        <f ca="1">ROUND(C8*F34/(1+'数据-取费表'!C42),1)</f>
        <v>0</v>
      </c>
      <c r="D34" s="1960" t="s">
        <v>661</v>
      </c>
      <c r="E34" s="783" t="s">
        <v>649</v>
      </c>
      <c r="F34" s="808">
        <f>'数据-取费表'!B41</f>
        <v>5.5000000000000007E-2</v>
      </c>
      <c r="G34" s="2045"/>
      <c r="H34" s="2054"/>
      <c r="I34" s="2055"/>
      <c r="J34" s="2056"/>
      <c r="K34" s="2057"/>
      <c r="L34" s="2058"/>
      <c r="M34" s="2059"/>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5"/>
      <c r="H35" s="2060"/>
      <c r="I35" s="2060"/>
      <c r="J35" s="2060"/>
      <c r="K35" s="2061"/>
      <c r="L35" s="2060"/>
      <c r="M35" s="2060"/>
    </row>
    <row r="36" spans="1:18" ht="18" customHeight="1">
      <c r="A36" s="812" t="s">
        <v>1880</v>
      </c>
      <c r="B36" s="340" t="s">
        <v>668</v>
      </c>
      <c r="C36" s="54">
        <f ca="1">ROUND(F36*F37/10000,1)</f>
        <v>0</v>
      </c>
      <c r="D36" s="813" t="s">
        <v>669</v>
      </c>
      <c r="E36" s="783" t="s">
        <v>670</v>
      </c>
      <c r="F36" s="639">
        <f>'数据-取费表'!B52</f>
        <v>1.5</v>
      </c>
      <c r="G36" s="2045"/>
      <c r="H36" s="2048"/>
      <c r="I36" s="3479"/>
      <c r="J36" s="2062"/>
      <c r="K36" s="2063"/>
      <c r="L36" s="2062"/>
      <c r="M36" s="2062"/>
    </row>
    <row r="37" spans="1:18" ht="18" customHeight="1">
      <c r="A37" s="814"/>
      <c r="B37" s="792"/>
      <c r="C37" s="69"/>
      <c r="D37" s="815"/>
      <c r="E37" s="783" t="s">
        <v>674</v>
      </c>
      <c r="F37" s="784">
        <f ca="1">INDIRECT("'数据-取费表'!r"&amp;$G$1)</f>
        <v>0</v>
      </c>
      <c r="G37" s="2045"/>
      <c r="H37" s="2048"/>
      <c r="I37" s="3479"/>
      <c r="J37" s="2060"/>
      <c r="K37" s="2061"/>
      <c r="L37" s="2060"/>
      <c r="M37" s="2060"/>
    </row>
    <row r="38" spans="1:18" ht="18" customHeight="1">
      <c r="A38" s="802" t="s">
        <v>1877</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1878</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2" t="s">
        <v>1876</v>
      </c>
      <c r="B42" s="834" t="s">
        <v>693</v>
      </c>
      <c r="C42" s="828">
        <f ca="1">C7-C32</f>
        <v>0</v>
      </c>
      <c r="D42" s="1962" t="s">
        <v>694</v>
      </c>
      <c r="E42" s="1964"/>
      <c r="F42" s="819"/>
      <c r="G42" s="2045"/>
      <c r="H42" s="2045"/>
      <c r="I42" s="2045"/>
      <c r="J42" s="2045"/>
      <c r="K42" s="2066"/>
      <c r="L42" s="2045"/>
      <c r="M42" s="2045"/>
    </row>
    <row r="43" spans="1:18" ht="18" customHeight="1">
      <c r="A43" s="802" t="s">
        <v>1877</v>
      </c>
      <c r="B43" s="834" t="s">
        <v>711</v>
      </c>
      <c r="C43" s="835">
        <f ca="1">ROUND(C15*F43,0)</f>
        <v>0</v>
      </c>
      <c r="D43" s="1350" t="s">
        <v>712</v>
      </c>
      <c r="E43" s="3070" t="s">
        <v>2954</v>
      </c>
      <c r="F43" s="3071">
        <f ca="1">INDIRECT("'数据-取费表'!j"&amp;$G$1)</f>
        <v>0</v>
      </c>
      <c r="G43" s="2045"/>
      <c r="H43" s="2045"/>
      <c r="I43" s="2045"/>
      <c r="J43" s="2045"/>
      <c r="K43" s="2066"/>
      <c r="L43" s="2045"/>
      <c r="M43" s="2045"/>
    </row>
    <row r="44" spans="1:18" ht="18" customHeight="1">
      <c r="A44" s="802" t="s">
        <v>1878</v>
      </c>
      <c r="B44" s="834" t="s">
        <v>713</v>
      </c>
      <c r="C44" s="1351">
        <f ca="1">C42-C43</f>
        <v>0</v>
      </c>
      <c r="D44" s="462" t="s">
        <v>714</v>
      </c>
      <c r="E44" s="463"/>
      <c r="F44" s="464"/>
      <c r="G44" s="2045"/>
      <c r="H44" s="2045"/>
      <c r="I44" s="2045"/>
      <c r="J44" s="2045"/>
      <c r="K44" s="2066"/>
      <c r="L44" s="2045"/>
      <c r="M44" s="2045"/>
    </row>
    <row r="45" spans="1:18" ht="18" customHeight="1">
      <c r="A45" s="802" t="s">
        <v>1879</v>
      </c>
      <c r="B45" s="1350" t="s">
        <v>715</v>
      </c>
      <c r="C45" s="2986">
        <f ca="1">ROUND(-PV(F45,F46,C44,0),0)</f>
        <v>0</v>
      </c>
      <c r="D45" s="1352" t="s">
        <v>716</v>
      </c>
      <c r="E45" s="805" t="s">
        <v>717</v>
      </c>
      <c r="F45" s="829">
        <f ca="1">INDIRECT("'数据-取费表'!h"&amp;$G$1)</f>
        <v>0</v>
      </c>
      <c r="G45" s="2045"/>
      <c r="H45" s="2045"/>
      <c r="I45" s="2045"/>
      <c r="J45" s="2045"/>
      <c r="K45" s="2066"/>
      <c r="L45" s="2045"/>
      <c r="M45" s="2045"/>
    </row>
    <row r="46" spans="1:18" ht="18" customHeight="1" thickBot="1">
      <c r="A46" s="830"/>
      <c r="B46" s="1353"/>
      <c r="C46" s="1354"/>
      <c r="D46" s="1355"/>
      <c r="E46" s="3072" t="s">
        <v>2957</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2339</v>
      </c>
      <c r="J47" s="2341"/>
      <c r="K47" s="2342"/>
      <c r="L47" s="3104" t="str">
        <f ca="1">IF(M48="住宅",0,IF(L49&gt;J52,L61,J61))</f>
        <v>0</v>
      </c>
      <c r="O47" s="2356" t="s">
        <v>2406</v>
      </c>
      <c r="P47" s="1576"/>
      <c r="Q47" s="1587"/>
      <c r="R47" s="1576"/>
    </row>
    <row r="48" spans="1:18" s="2042" customFormat="1" ht="18" customHeight="1" thickBot="1">
      <c r="A48" s="2067"/>
      <c r="C48" s="2070"/>
      <c r="D48" s="2071"/>
      <c r="E48" s="2071"/>
      <c r="F48" s="2072"/>
      <c r="G48" s="2073"/>
      <c r="I48" s="3095" t="s">
        <v>2340</v>
      </c>
      <c r="J48" s="2343"/>
      <c r="K48" s="3101" t="s">
        <v>2345</v>
      </c>
      <c r="L48" s="3105">
        <f ca="1">INDIRECT("'数据-取费表'!d"&amp;$G$1)</f>
        <v>0</v>
      </c>
      <c r="M48" s="3069" t="str">
        <f>IF(ISNUMBER(FIND("住宅",C1)),"住宅","非住宅")</f>
        <v>非住宅</v>
      </c>
      <c r="O48" s="2357" t="s">
        <v>2371</v>
      </c>
      <c r="P48" s="2358" t="s">
        <v>2372</v>
      </c>
      <c r="Q48" s="2359" t="s">
        <v>2373</v>
      </c>
      <c r="R48" s="2358" t="s">
        <v>2374</v>
      </c>
    </row>
    <row r="49" spans="1:18" s="2042" customFormat="1" ht="18" customHeight="1" thickBot="1">
      <c r="A49" s="2067"/>
      <c r="D49" s="2074"/>
      <c r="E49" s="2075"/>
      <c r="F49" s="2072"/>
      <c r="G49" s="2073"/>
      <c r="H49" s="2076"/>
      <c r="I49" s="3074" t="s">
        <v>2341</v>
      </c>
      <c r="J49" s="2344"/>
      <c r="K49" s="3102" t="s">
        <v>2347</v>
      </c>
      <c r="L49" s="1891">
        <f ca="1">INDIRECT("'数据-取费表'!f"&amp;$G$1)</f>
        <v>0</v>
      </c>
      <c r="O49" s="2360" t="s">
        <v>2375</v>
      </c>
      <c r="P49" s="2361" t="s">
        <v>2401</v>
      </c>
      <c r="Q49" s="2362">
        <f ca="1">C41+J31</f>
        <v>0</v>
      </c>
      <c r="R49" s="2361" t="s">
        <v>2376</v>
      </c>
    </row>
    <row r="50" spans="1:18" s="2042" customFormat="1" ht="18" customHeight="1" thickBot="1">
      <c r="A50" s="2067"/>
      <c r="D50" s="2077"/>
      <c r="E50" s="2077"/>
      <c r="F50" s="2071"/>
      <c r="G50" s="2078"/>
      <c r="H50" s="2076"/>
      <c r="I50" s="3074" t="s">
        <v>2342</v>
      </c>
      <c r="J50" s="2345"/>
      <c r="K50" s="3103" t="s">
        <v>2348</v>
      </c>
      <c r="L50" s="2346"/>
      <c r="O50" s="2360" t="s">
        <v>2377</v>
      </c>
      <c r="P50" s="2361" t="s">
        <v>2402</v>
      </c>
      <c r="Q50" s="2362" t="str">
        <f ca="1">J61</f>
        <v>0</v>
      </c>
      <c r="R50" s="2361" t="s">
        <v>2378</v>
      </c>
    </row>
    <row r="51" spans="1:18" s="2042" customFormat="1" ht="18" customHeight="1" thickBot="1">
      <c r="A51" s="2079"/>
      <c r="D51" s="2077"/>
      <c r="E51" s="2077"/>
      <c r="F51" s="2068"/>
      <c r="H51" s="2076"/>
      <c r="I51" s="3074" t="s">
        <v>2343</v>
      </c>
      <c r="J51" s="3099">
        <f>SUMPRODUCT((I64:I66=J48)*(J63:L63=J49)*(J64:L66))</f>
        <v>0</v>
      </c>
      <c r="K51" s="3103" t="s">
        <v>2349</v>
      </c>
      <c r="L51" s="2346"/>
      <c r="O51" s="2363" t="s">
        <v>2379</v>
      </c>
      <c r="P51" s="2361" t="s">
        <v>2403</v>
      </c>
      <c r="Q51" s="2362">
        <f ca="1">C31</f>
        <v>0</v>
      </c>
      <c r="R51" s="2361" t="s">
        <v>2376</v>
      </c>
    </row>
    <row r="52" spans="1:18" s="2042" customFormat="1" ht="18" customHeight="1" thickBot="1">
      <c r="A52" s="2079"/>
      <c r="F52" s="2068"/>
      <c r="I52" s="3096" t="s">
        <v>2344</v>
      </c>
      <c r="J52" s="3100">
        <f>IF(J50="",J51,J50+J51-YEAR('数据-取费表'!B3))</f>
        <v>0</v>
      </c>
      <c r="K52" s="3074" t="s">
        <v>2350</v>
      </c>
      <c r="L52" s="3106">
        <f ca="1">ROUND(-PV(INDIRECT("'数据-取费表'!h"&amp;$G$1),L49,(C40-C14*J36),0),0)</f>
        <v>0</v>
      </c>
      <c r="O52" s="2363" t="s">
        <v>2380</v>
      </c>
      <c r="P52" s="2361" t="s">
        <v>2381</v>
      </c>
      <c r="Q52" s="2364" t="e">
        <f ca="1">J59</f>
        <v>#VALUE!</v>
      </c>
      <c r="R52" s="2365"/>
    </row>
    <row r="53" spans="1:18" s="2042" customFormat="1" ht="18" customHeight="1" thickBot="1">
      <c r="A53" s="2079"/>
      <c r="F53" s="2068"/>
      <c r="I53" s="3097" t="s">
        <v>2417</v>
      </c>
      <c r="J53" s="2347"/>
      <c r="K53" s="3097" t="s">
        <v>2416</v>
      </c>
      <c r="L53" s="2347"/>
      <c r="O53" s="2363" t="s">
        <v>2382</v>
      </c>
      <c r="P53" s="2361" t="s">
        <v>2383</v>
      </c>
      <c r="Q53" s="2364">
        <f>J53</f>
        <v>0</v>
      </c>
      <c r="R53" s="2365"/>
    </row>
    <row r="54" spans="1:18" s="2042" customFormat="1" ht="29.25" thickBot="1">
      <c r="A54" s="2079"/>
      <c r="I54" s="3098" t="s">
        <v>2970</v>
      </c>
      <c r="J54" s="3177">
        <f ca="1">IF(M48="住宅",MAX(J52,L49-'数据-取费表'!B20),MIN(J52,L49-'数据-取费表'!B20))</f>
        <v>-3</v>
      </c>
      <c r="K54" s="3484"/>
      <c r="L54" s="3485"/>
      <c r="O54" s="2363" t="s">
        <v>2384</v>
      </c>
      <c r="P54" s="2361" t="s">
        <v>2385</v>
      </c>
      <c r="Q54" s="2362">
        <f ca="1">J54</f>
        <v>-3</v>
      </c>
      <c r="R54" s="2361" t="s">
        <v>2386</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60" t="s">
        <v>2387</v>
      </c>
      <c r="P55" s="2361" t="s">
        <v>2404</v>
      </c>
      <c r="Q55" s="2362">
        <f ca="1">Q49+Q50</f>
        <v>0</v>
      </c>
      <c r="R55" s="2365" t="s">
        <v>2388</v>
      </c>
    </row>
    <row r="56" spans="1:18" s="2042" customFormat="1" ht="16.5" thickBot="1">
      <c r="A56" s="2079"/>
      <c r="B56" s="2080"/>
      <c r="C56" s="2080"/>
      <c r="I56" s="3109" t="s">
        <v>2351</v>
      </c>
      <c r="J56" s="3049" t="e">
        <f ca="1">ROUND(IF(J48="钢混",J58/J51,1-(1-2%)*(J51-J58)/J51),3)</f>
        <v>#VALUE!</v>
      </c>
      <c r="K56" s="3110" t="s">
        <v>2352</v>
      </c>
      <c r="L56" s="2348"/>
      <c r="O56" s="2366" t="s">
        <v>2407</v>
      </c>
      <c r="P56" s="1576"/>
      <c r="Q56" s="1587"/>
      <c r="R56" s="1576"/>
    </row>
    <row r="57" spans="1:18" s="2042" customFormat="1" ht="43.5" thickBot="1">
      <c r="A57" s="2079"/>
      <c r="B57" s="2080"/>
      <c r="C57" s="2080"/>
      <c r="I57" s="3111" t="s">
        <v>2353</v>
      </c>
      <c r="J57" s="3121" t="s">
        <v>1678</v>
      </c>
      <c r="K57" s="3074" t="s">
        <v>2358</v>
      </c>
      <c r="L57" s="1891">
        <f ca="1">IF(L49&lt;J52,"——",L49-J52)</f>
        <v>0</v>
      </c>
      <c r="O57" s="2357" t="s">
        <v>2371</v>
      </c>
      <c r="P57" s="2358" t="s">
        <v>2372</v>
      </c>
      <c r="Q57" s="2359" t="s">
        <v>2373</v>
      </c>
      <c r="R57" s="2358" t="s">
        <v>2374</v>
      </c>
    </row>
    <row r="58" spans="1:18" s="2042" customFormat="1" ht="29.25" thickBot="1">
      <c r="A58" s="2079"/>
      <c r="B58" s="2080"/>
      <c r="C58" s="2080"/>
      <c r="I58" s="3112" t="s">
        <v>2354</v>
      </c>
      <c r="J58" s="3113" t="str">
        <f ca="1">IF(OR(M48="住宅",J52&lt;L49,J57="是"),"——",J52-L49)</f>
        <v>——</v>
      </c>
      <c r="K58" s="3074" t="s">
        <v>2359</v>
      </c>
      <c r="L58" s="1891">
        <f ca="1">IF(L49&lt;J52,"——",IF(L56="比较法",L50,IF(L56="基准地价",L51,L52)))</f>
        <v>0</v>
      </c>
      <c r="O58" s="2360" t="s">
        <v>2375</v>
      </c>
      <c r="P58" s="2361" t="s">
        <v>2401</v>
      </c>
      <c r="Q58" s="2362">
        <f ca="1">C41+J31</f>
        <v>0</v>
      </c>
      <c r="R58" s="2361" t="s">
        <v>2376</v>
      </c>
    </row>
    <row r="59" spans="1:18" s="2042" customFormat="1" ht="29.25" thickBot="1">
      <c r="A59" s="2079"/>
      <c r="B59" s="2080"/>
      <c r="C59" s="2080"/>
      <c r="I59" s="3112" t="s">
        <v>2355</v>
      </c>
      <c r="J59" s="3050" t="e">
        <f ca="1">IF(J56&lt;0.4,0.4,J56)</f>
        <v>#VALUE!</v>
      </c>
      <c r="K59" s="3074" t="s">
        <v>2360</v>
      </c>
      <c r="L59" s="1891">
        <f ca="1">IF(ISERROR(POWER(1+L53,L48-L49)*(POWER(1+L53,L49)-1)/(POWER(1+L53,L48)-1)),0,POWER(1+L53,L48-L49)*(POWER(1+L53,L49)-1)/(POWER(1+L53,L48)-1))</f>
        <v>0</v>
      </c>
      <c r="O59" s="2360" t="s">
        <v>2377</v>
      </c>
      <c r="P59" s="2361" t="s">
        <v>2408</v>
      </c>
      <c r="Q59" s="2362" t="e">
        <f ca="1">L61</f>
        <v>#DIV/0!</v>
      </c>
      <c r="R59" s="2365" t="s">
        <v>2410</v>
      </c>
    </row>
    <row r="60" spans="1:18" s="2042" customFormat="1" ht="29.25" thickBot="1">
      <c r="A60" s="2079"/>
      <c r="B60" s="2080"/>
      <c r="C60" s="2080"/>
      <c r="I60" s="3112" t="s">
        <v>2356</v>
      </c>
      <c r="J60" s="3113" t="str">
        <f ca="1">IF(OR(M48="住宅",J52&lt;L49,J57="是"),"——",ROUND(C30*J59,0))</f>
        <v>——</v>
      </c>
      <c r="K60" s="3074" t="s">
        <v>2361</v>
      </c>
      <c r="L60" s="1891">
        <f ca="1">IF(ISERROR(POWER(1+L53,L48-J52)*(POWER(1+L53,J52)-1)/(POWER(1+L53,L48)-1)),0,POWER(1+L53,L48-J52)*(POWER(1+L53,J52)-1)/(POWER(1+L53,L48)-1))</f>
        <v>0</v>
      </c>
      <c r="O60" s="2363" t="s">
        <v>2379</v>
      </c>
      <c r="P60" s="2361" t="s">
        <v>2409</v>
      </c>
      <c r="Q60" s="2362">
        <f>IF(L56="比较法",L50,IF(L56="基准地价",L51,0))</f>
        <v>0</v>
      </c>
      <c r="R60" s="2361" t="s">
        <v>2376</v>
      </c>
    </row>
    <row r="61" spans="1:18" s="2042" customFormat="1" ht="15.75" thickBot="1">
      <c r="A61" s="2079"/>
      <c r="B61" s="2080"/>
      <c r="C61" s="2080"/>
      <c r="I61" s="3114" t="s">
        <v>2357</v>
      </c>
      <c r="J61" s="3115" t="str">
        <f ca="1">IF(OR(M48="住宅",J52&lt;L49,J57="是"),"0",ROUND(J60/(1+J53)^J54,0))</f>
        <v>0</v>
      </c>
      <c r="K61" s="3116" t="s">
        <v>2362</v>
      </c>
      <c r="L61" s="3115" t="e">
        <f ca="1">IF(OR(M48="住宅",L49&lt;J52),0,ROUND(L58*(L59/L60-1),0))</f>
        <v>#DIV/0!</v>
      </c>
      <c r="O61" s="2363" t="s">
        <v>2380</v>
      </c>
      <c r="P61" s="2361" t="s">
        <v>2389</v>
      </c>
      <c r="Q61" s="2364">
        <f>L53</f>
        <v>0</v>
      </c>
      <c r="R61" s="2365"/>
    </row>
    <row r="62" spans="1:18" s="2042" customFormat="1" ht="20.25" thickBot="1">
      <c r="A62" s="2079"/>
      <c r="B62" s="2080"/>
      <c r="C62" s="2080"/>
      <c r="K62" s="2069"/>
      <c r="O62" s="2363" t="s">
        <v>2382</v>
      </c>
      <c r="P62" s="2361" t="s">
        <v>2390</v>
      </c>
      <c r="Q62" s="2362">
        <f ca="1">L59</f>
        <v>0</v>
      </c>
      <c r="R62" s="2365" t="s">
        <v>2391</v>
      </c>
    </row>
    <row r="63" spans="1:18" s="2042" customFormat="1" ht="20.25" thickBot="1">
      <c r="A63" s="2079"/>
      <c r="B63" s="2080"/>
      <c r="C63" s="2080"/>
      <c r="I63" s="3117" t="s">
        <v>2363</v>
      </c>
      <c r="J63" s="3118" t="s">
        <v>2364</v>
      </c>
      <c r="K63" s="3118" t="s">
        <v>2365</v>
      </c>
      <c r="L63" s="3118" t="s">
        <v>2346</v>
      </c>
      <c r="M63" s="3119" t="s">
        <v>2935</v>
      </c>
      <c r="O63" s="2363" t="s">
        <v>2384</v>
      </c>
      <c r="P63" s="2361" t="s">
        <v>2392</v>
      </c>
      <c r="Q63" s="2362">
        <f ca="1">L60</f>
        <v>0</v>
      </c>
      <c r="R63" s="2365" t="s">
        <v>2393</v>
      </c>
    </row>
    <row r="64" spans="1:18" s="2042" customFormat="1" ht="15.75" thickBot="1">
      <c r="A64" s="2079"/>
      <c r="B64" s="2080"/>
      <c r="C64" s="2080"/>
      <c r="I64" s="3117" t="s">
        <v>2366</v>
      </c>
      <c r="J64" s="3118">
        <v>70</v>
      </c>
      <c r="K64" s="3118">
        <v>50</v>
      </c>
      <c r="L64" s="3118">
        <v>80</v>
      </c>
      <c r="M64" s="3120">
        <v>0.02</v>
      </c>
      <c r="O64" s="2360" t="s">
        <v>2387</v>
      </c>
      <c r="P64" s="2361" t="s">
        <v>2404</v>
      </c>
      <c r="Q64" s="2362" t="e">
        <f ca="1">Q58+Q59</f>
        <v>#DIV/0!</v>
      </c>
      <c r="R64" s="2365" t="s">
        <v>2388</v>
      </c>
    </row>
    <row r="65" spans="1:18" s="2042" customFormat="1" ht="16.5" thickBot="1">
      <c r="A65" s="2079"/>
      <c r="B65" s="2080"/>
      <c r="C65" s="2080"/>
      <c r="I65" s="3117" t="s">
        <v>2367</v>
      </c>
      <c r="J65" s="3118">
        <v>50</v>
      </c>
      <c r="K65" s="3118">
        <v>35</v>
      </c>
      <c r="L65" s="3118">
        <v>60</v>
      </c>
      <c r="M65" s="845">
        <v>0</v>
      </c>
      <c r="O65" s="2366" t="s">
        <v>2411</v>
      </c>
      <c r="P65" s="1576"/>
      <c r="Q65" s="1587"/>
      <c r="R65" s="1576"/>
    </row>
    <row r="66" spans="1:18" s="2042" customFormat="1" ht="15.75" thickBot="1">
      <c r="A66" s="2079"/>
      <c r="B66" s="2080"/>
      <c r="C66" s="2080"/>
      <c r="I66" s="3117" t="s">
        <v>2368</v>
      </c>
      <c r="J66" s="3118">
        <v>40</v>
      </c>
      <c r="K66" s="3118">
        <v>30</v>
      </c>
      <c r="L66" s="3118">
        <v>50</v>
      </c>
      <c r="M66" s="3120">
        <v>0.02</v>
      </c>
      <c r="O66" s="2357" t="s">
        <v>2371</v>
      </c>
      <c r="P66" s="2358" t="s">
        <v>2372</v>
      </c>
      <c r="Q66" s="2359" t="s">
        <v>2373</v>
      </c>
      <c r="R66" s="2358" t="s">
        <v>2374</v>
      </c>
    </row>
    <row r="67" spans="1:18" s="2042" customFormat="1" ht="15.75" thickBot="1">
      <c r="A67" s="2079"/>
      <c r="B67" s="2080"/>
      <c r="C67" s="2080"/>
      <c r="K67" s="2069"/>
      <c r="O67" s="2360" t="s">
        <v>2375</v>
      </c>
      <c r="P67" s="2361" t="s">
        <v>2401</v>
      </c>
      <c r="Q67" s="2362">
        <f ca="1">C41+J31</f>
        <v>0</v>
      </c>
      <c r="R67" s="2361" t="s">
        <v>2376</v>
      </c>
    </row>
    <row r="68" spans="1:18" s="2042" customFormat="1" ht="20.25" thickBot="1">
      <c r="A68" s="2079"/>
      <c r="B68" s="2080"/>
      <c r="C68" s="2080"/>
      <c r="K68" s="2069"/>
      <c r="O68" s="2360" t="s">
        <v>2377</v>
      </c>
      <c r="P68" s="2361" t="s">
        <v>2408</v>
      </c>
      <c r="Q68" s="2362" t="e">
        <f ca="1">L61</f>
        <v>#DIV/0!</v>
      </c>
      <c r="R68" s="2365" t="s">
        <v>2410</v>
      </c>
    </row>
    <row r="69" spans="1:18" s="2042" customFormat="1" ht="21.75" thickBot="1">
      <c r="A69" s="2079"/>
      <c r="B69" s="2080"/>
      <c r="C69" s="2080"/>
      <c r="K69" s="2069"/>
      <c r="O69" s="2363" t="s">
        <v>2379</v>
      </c>
      <c r="P69" s="2361" t="s">
        <v>2409</v>
      </c>
      <c r="Q69" s="2367">
        <f ca="1">L52</f>
        <v>0</v>
      </c>
      <c r="R69" s="2368" t="s">
        <v>2412</v>
      </c>
    </row>
    <row r="70" spans="1:18" s="2042" customFormat="1" ht="20.25" thickBot="1">
      <c r="A70" s="2079"/>
      <c r="B70" s="2080"/>
      <c r="C70" s="2080"/>
      <c r="K70" s="2069"/>
      <c r="O70" s="2363" t="s">
        <v>2380</v>
      </c>
      <c r="P70" s="2369" t="s">
        <v>2394</v>
      </c>
      <c r="Q70" s="2362">
        <f ca="1">ROUND(Q71-Q72*Q73,0)</f>
        <v>0</v>
      </c>
      <c r="R70" s="2365"/>
    </row>
    <row r="71" spans="1:18" s="2042" customFormat="1" ht="15.75" thickBot="1">
      <c r="A71" s="2079"/>
      <c r="B71" s="2080"/>
      <c r="C71" s="2080"/>
      <c r="K71" s="2069"/>
      <c r="O71" s="2363" t="s">
        <v>2395</v>
      </c>
      <c r="P71" s="2369" t="s">
        <v>2396</v>
      </c>
      <c r="Q71" s="2362">
        <f ca="1">C42</f>
        <v>0</v>
      </c>
      <c r="R71" s="2361" t="s">
        <v>2376</v>
      </c>
    </row>
    <row r="72" spans="1:18" s="2042" customFormat="1" ht="15.75" thickBot="1">
      <c r="A72" s="2079"/>
      <c r="B72" s="2080"/>
      <c r="C72" s="2080"/>
      <c r="K72" s="2069"/>
      <c r="O72" s="2363" t="s">
        <v>2397</v>
      </c>
      <c r="P72" s="2369" t="s">
        <v>2398</v>
      </c>
      <c r="Q72" s="2362">
        <f ca="1">C15</f>
        <v>0</v>
      </c>
      <c r="R72" s="2361" t="s">
        <v>2376</v>
      </c>
    </row>
    <row r="73" spans="1:18" s="2042" customFormat="1" ht="15.75" thickBot="1">
      <c r="A73" s="2079"/>
      <c r="B73" s="2080"/>
      <c r="C73" s="2080"/>
      <c r="K73" s="2069"/>
      <c r="O73" s="2363" t="s">
        <v>2399</v>
      </c>
      <c r="P73" s="2369" t="s">
        <v>2400</v>
      </c>
      <c r="Q73" s="2364">
        <f ca="1">F43</f>
        <v>0</v>
      </c>
      <c r="R73" s="2365"/>
    </row>
    <row r="74" spans="1:18" s="2042" customFormat="1" ht="15.75" thickBot="1">
      <c r="A74" s="2079"/>
      <c r="B74" s="2080"/>
      <c r="C74" s="2080"/>
      <c r="K74" s="2069"/>
      <c r="O74" s="2363" t="s">
        <v>2382</v>
      </c>
      <c r="P74" s="2361" t="s">
        <v>2389</v>
      </c>
      <c r="Q74" s="2364">
        <f>L53</f>
        <v>0</v>
      </c>
      <c r="R74" s="2365"/>
    </row>
    <row r="75" spans="1:18" s="2042" customFormat="1" ht="20.25" thickBot="1">
      <c r="A75" s="2079"/>
      <c r="B75" s="2080"/>
      <c r="C75" s="2080"/>
      <c r="K75" s="2069"/>
      <c r="O75" s="2363" t="s">
        <v>2384</v>
      </c>
      <c r="P75" s="2361" t="s">
        <v>2390</v>
      </c>
      <c r="Q75" s="2362">
        <f ca="1">L59</f>
        <v>0</v>
      </c>
      <c r="R75" s="2365" t="s">
        <v>2391</v>
      </c>
    </row>
    <row r="76" spans="1:18" s="2042" customFormat="1" ht="20.25" thickBot="1">
      <c r="A76" s="2079"/>
      <c r="B76" s="2080"/>
      <c r="C76" s="2080"/>
      <c r="K76" s="2069"/>
      <c r="O76" s="2363" t="s">
        <v>2413</v>
      </c>
      <c r="P76" s="2361" t="s">
        <v>2392</v>
      </c>
      <c r="Q76" s="2362">
        <f ca="1">L60</f>
        <v>0</v>
      </c>
      <c r="R76" s="2365" t="s">
        <v>2393</v>
      </c>
    </row>
    <row r="77" spans="1:18" s="2042" customFormat="1" ht="15.75" thickBot="1">
      <c r="A77" s="2079"/>
      <c r="B77" s="2080"/>
      <c r="C77" s="2080"/>
      <c r="K77" s="2069"/>
      <c r="O77" s="2360" t="s">
        <v>2387</v>
      </c>
      <c r="P77" s="2361" t="s">
        <v>2404</v>
      </c>
      <c r="Q77" s="2362" t="e">
        <f ca="1">Q67+Q68</f>
        <v>#DIV/0!</v>
      </c>
      <c r="R77" s="2365" t="s">
        <v>2388</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5" sqref="E35"/>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1725</v>
      </c>
      <c r="B1" s="737"/>
      <c r="C1" s="772" t="s">
        <v>2995</v>
      </c>
      <c r="D1" s="3073" t="s">
        <v>952</v>
      </c>
      <c r="E1" s="2349" t="s">
        <v>2370</v>
      </c>
      <c r="F1" s="2350">
        <f ca="1">J53</f>
        <v>49.55</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1726</v>
      </c>
      <c r="B2" s="774">
        <f ca="1">C40+J29+L46</f>
        <v>0</v>
      </c>
      <c r="C2" s="2040"/>
      <c r="D2" s="2038"/>
      <c r="E2" s="2039"/>
      <c r="F2" s="2039"/>
      <c r="G2" s="1574"/>
      <c r="H2" s="2040"/>
      <c r="I2" s="2040"/>
      <c r="J2" s="2040"/>
      <c r="K2" s="2041"/>
      <c r="L2" s="2040"/>
      <c r="M2" s="2040"/>
    </row>
    <row r="3" spans="1:33" ht="18" customHeight="1" thickBot="1">
      <c r="A3" s="832" t="s">
        <v>1727</v>
      </c>
      <c r="B3" s="833">
        <f ca="1">IF(ISERROR(B2*10000/F43),0,ROUND(B2*10000/F43,0))</f>
        <v>0</v>
      </c>
      <c r="C3" s="2040"/>
      <c r="D3" s="2038"/>
      <c r="E3" s="2039"/>
      <c r="F3" s="2039"/>
      <c r="G3" s="1574"/>
      <c r="H3" s="775" t="s">
        <v>695</v>
      </c>
      <c r="I3" s="1357"/>
      <c r="J3" s="1357"/>
      <c r="K3" s="1575"/>
      <c r="L3" s="1357"/>
      <c r="M3" s="1357"/>
    </row>
    <row r="4" spans="1:33" ht="18" customHeight="1">
      <c r="A4" s="776" t="s">
        <v>1728</v>
      </c>
      <c r="B4" s="777" t="s">
        <v>1729</v>
      </c>
      <c r="C4" s="777" t="s">
        <v>1730</v>
      </c>
      <c r="D4" s="777" t="s">
        <v>633</v>
      </c>
      <c r="E4" s="778" t="s">
        <v>1731</v>
      </c>
      <c r="F4" s="779"/>
      <c r="G4" s="1576"/>
      <c r="H4" s="776" t="s">
        <v>1732</v>
      </c>
      <c r="I4" s="777" t="s">
        <v>1733</v>
      </c>
      <c r="J4" s="777" t="s">
        <v>1734</v>
      </c>
      <c r="K4" s="777" t="s">
        <v>1735</v>
      </c>
      <c r="L4" s="778" t="s">
        <v>1736</v>
      </c>
      <c r="M4" s="779"/>
    </row>
    <row r="5" spans="1:33" ht="18" customHeight="1">
      <c r="A5" s="780">
        <v>1</v>
      </c>
      <c r="B5" s="781" t="s">
        <v>2454</v>
      </c>
      <c r="C5" s="55">
        <f ca="1">C6+C10+C12</f>
        <v>0</v>
      </c>
      <c r="D5" s="2458" t="s">
        <v>2457</v>
      </c>
      <c r="E5" s="2452"/>
      <c r="F5" s="2453"/>
      <c r="G5" s="1576"/>
      <c r="H5" s="780">
        <v>1</v>
      </c>
      <c r="I5" s="781" t="s">
        <v>2454</v>
      </c>
      <c r="J5" s="55">
        <f ca="1">J6+J10+J12</f>
        <v>0</v>
      </c>
      <c r="K5" s="2458" t="s">
        <v>2457</v>
      </c>
      <c r="L5" s="2452"/>
      <c r="M5" s="2453"/>
    </row>
    <row r="6" spans="1:33" ht="18" customHeight="1">
      <c r="A6" s="1813" t="s">
        <v>1824</v>
      </c>
      <c r="B6" s="3480" t="s">
        <v>2459</v>
      </c>
      <c r="C6" s="782">
        <f ca="1">ROUND(F6*F8*F7*(1-F9)/10000,0)</f>
        <v>0</v>
      </c>
      <c r="D6" s="2459" t="s">
        <v>2458</v>
      </c>
      <c r="E6" s="783" t="s">
        <v>1738</v>
      </c>
      <c r="F6" s="784">
        <f ca="1">INDIRECT("'数据-取费表'!u"&amp;$G$1)</f>
        <v>0</v>
      </c>
      <c r="G6" s="1576"/>
      <c r="H6" s="2466" t="s">
        <v>2464</v>
      </c>
      <c r="I6" s="3480" t="s">
        <v>2459</v>
      </c>
      <c r="J6" s="782">
        <f ca="1">ROUND(M6*M8*M7*(1-M9)/10000,0)</f>
        <v>0</v>
      </c>
      <c r="K6" s="340" t="s">
        <v>1737</v>
      </c>
      <c r="L6" s="783" t="s">
        <v>1738</v>
      </c>
      <c r="M6" s="784">
        <f ca="1">INDIRECT("'数据-取费表'!z"&amp;$G$1)</f>
        <v>0</v>
      </c>
    </row>
    <row r="7" spans="1:33" ht="18" customHeight="1">
      <c r="A7" s="2462"/>
      <c r="B7" s="3481"/>
      <c r="C7" s="787"/>
      <c r="D7" s="788"/>
      <c r="E7" s="783" t="s">
        <v>1739</v>
      </c>
      <c r="F7" s="784">
        <f ca="1">IF(INDIRECT("'数据-取费表'!ah"&amp;$G$1)="",INDIRECT("'数据-取费表'!k"&amp;$G$1),INDIRECT("'数据-取费表'!ah"&amp;$G$1))</f>
        <v>5572.52</v>
      </c>
      <c r="G7" s="1576"/>
      <c r="H7" s="2451"/>
      <c r="I7" s="3481"/>
      <c r="J7" s="787"/>
      <c r="K7" s="788"/>
      <c r="L7" s="783" t="s">
        <v>1739</v>
      </c>
      <c r="M7" s="784">
        <f ca="1">F7</f>
        <v>5572.52</v>
      </c>
    </row>
    <row r="8" spans="1:33" ht="18" customHeight="1">
      <c r="A8" s="2455"/>
      <c r="B8" s="3482"/>
      <c r="C8" s="787"/>
      <c r="D8" s="788"/>
      <c r="E8" s="783" t="s">
        <v>1740</v>
      </c>
      <c r="F8" s="784">
        <f ca="1">INDIRECT("'数据-取费表'!ai"&amp;$G$1)</f>
        <v>365</v>
      </c>
      <c r="G8" s="1576"/>
      <c r="H8" s="2451"/>
      <c r="I8" s="3482"/>
      <c r="J8" s="787"/>
      <c r="K8" s="788"/>
      <c r="L8" s="783" t="s">
        <v>1740</v>
      </c>
      <c r="M8" s="784">
        <f ca="1">INDIRECT("'数据-取费表'!ai"&amp;$G$1)</f>
        <v>365</v>
      </c>
    </row>
    <row r="9" spans="1:33" ht="18" customHeight="1">
      <c r="A9" s="785"/>
      <c r="B9" s="3483"/>
      <c r="C9" s="787"/>
      <c r="D9" s="788"/>
      <c r="E9" s="783" t="s">
        <v>1741</v>
      </c>
      <c r="F9" s="793">
        <f ca="1">INDIRECT("'数据-取费表'!w"&amp;$G$1)</f>
        <v>0</v>
      </c>
      <c r="G9" s="1576"/>
      <c r="H9" s="2467"/>
      <c r="I9" s="3482"/>
      <c r="J9" s="787"/>
      <c r="K9" s="788"/>
      <c r="L9" s="794" t="s">
        <v>1741</v>
      </c>
      <c r="M9" s="795">
        <f ca="1">INDIRECT("'数据-取费表'!ab"&amp;$G$1)</f>
        <v>0</v>
      </c>
    </row>
    <row r="10" spans="1:33" ht="18" customHeight="1">
      <c r="A10" s="1813" t="s">
        <v>2462</v>
      </c>
      <c r="B10" s="2456" t="s">
        <v>2455</v>
      </c>
      <c r="C10" s="798">
        <f ca="1">ROUND(IF(F10="押一",C6/12*F11,IF(F10="押二",C6/12*2*F11,IF(F10="押三",C6/12*3*F11,C11*F11))),0)</f>
        <v>0</v>
      </c>
      <c r="D10" s="2463" t="s">
        <v>2966</v>
      </c>
      <c r="E10" s="2460" t="s">
        <v>2460</v>
      </c>
      <c r="F10" s="2583" t="s">
        <v>3197</v>
      </c>
      <c r="G10" s="1576"/>
      <c r="H10" s="2523" t="s">
        <v>2465</v>
      </c>
      <c r="I10" s="2528" t="s">
        <v>2455</v>
      </c>
      <c r="J10" s="782">
        <f ca="1">ROUND(IF(M10="押一",J6/12*M11,IF(M10="押二",J6/12*2*M11,IF(M10="押三",J6/12*3*M11,J11*M11))),0)</f>
        <v>0</v>
      </c>
      <c r="K10" s="2463" t="s">
        <v>2966</v>
      </c>
      <c r="L10" s="2460" t="s">
        <v>2460</v>
      </c>
      <c r="M10" s="2583"/>
    </row>
    <row r="11" spans="1:33" ht="18" customHeight="1">
      <c r="A11" s="789"/>
      <c r="B11" s="2457" t="s">
        <v>2569</v>
      </c>
      <c r="C11" s="2461"/>
      <c r="D11" s="788"/>
      <c r="E11" s="2460" t="s">
        <v>2461</v>
      </c>
      <c r="F11" s="795">
        <f ca="1">'数据-取费表'!B39</f>
        <v>1.4999999999999999E-2</v>
      </c>
      <c r="G11" s="1576"/>
      <c r="H11" s="2524"/>
      <c r="I11" s="2457" t="s">
        <v>2569</v>
      </c>
      <c r="J11" s="2461"/>
      <c r="K11" s="2525"/>
      <c r="L11" s="2460" t="s">
        <v>2461</v>
      </c>
      <c r="M11" s="2454">
        <f ca="1">'数据-取费表'!B39</f>
        <v>1.4999999999999999E-2</v>
      </c>
    </row>
    <row r="12" spans="1:33" ht="18" customHeight="1" thickBot="1">
      <c r="A12" s="2499" t="s">
        <v>2463</v>
      </c>
      <c r="B12" s="2500" t="s">
        <v>2456</v>
      </c>
      <c r="C12" s="2501"/>
      <c r="D12" s="2502"/>
      <c r="E12" s="2503"/>
      <c r="F12" s="2504"/>
      <c r="G12" s="1576"/>
      <c r="H12" s="2513" t="s">
        <v>2466</v>
      </c>
      <c r="I12" s="2526" t="s">
        <v>2456</v>
      </c>
      <c r="J12" s="2527"/>
      <c r="K12" s="2502"/>
      <c r="L12" s="2503"/>
      <c r="M12" s="2516"/>
    </row>
    <row r="13" spans="1:33" ht="18" customHeight="1" thickTop="1">
      <c r="A13" s="1812">
        <v>2</v>
      </c>
      <c r="B13" s="1810" t="s">
        <v>1742</v>
      </c>
      <c r="C13" s="791">
        <f ca="1">ROUND(C29*F13,0)</f>
        <v>3702</v>
      </c>
      <c r="D13" s="1817" t="s">
        <v>2294</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3" t="s">
        <v>645</v>
      </c>
      <c r="C14" s="803">
        <f ca="1">INDIRECT("'数据-取费表'!m"&amp;$G$1)+INDIRECT("'数据-取费表'!t"&amp;$G$1)</f>
        <v>2625</v>
      </c>
      <c r="D14" s="1962" t="s">
        <v>1745</v>
      </c>
      <c r="E14" s="1963"/>
      <c r="F14" s="804"/>
      <c r="G14" s="1576"/>
      <c r="H14" s="1632" t="s">
        <v>1830</v>
      </c>
      <c r="I14" s="2214" t="s">
        <v>2820</v>
      </c>
      <c r="J14" s="53">
        <f ca="1">C29</f>
        <v>3702</v>
      </c>
      <c r="K14" s="26"/>
      <c r="L14" s="800"/>
      <c r="M14" s="801"/>
    </row>
    <row r="15" spans="1:33" s="2047" customFormat="1" ht="18" customHeight="1" thickBot="1">
      <c r="A15" s="1631" t="s">
        <v>1885</v>
      </c>
      <c r="B15" s="783" t="s">
        <v>647</v>
      </c>
      <c r="C15" s="53">
        <f ca="1">ROUND(C14*F15,0)</f>
        <v>79</v>
      </c>
      <c r="D15" s="805" t="s">
        <v>1746</v>
      </c>
      <c r="E15" s="805" t="s">
        <v>1747</v>
      </c>
      <c r="F15" s="806">
        <f>'数据-取费表'!B33</f>
        <v>0.03</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3" t="s">
        <v>650</v>
      </c>
      <c r="C16" s="53">
        <f ca="1">ROUND(INDIRECT("'数据-取费表'!m"&amp;$G$1)*F16,0)</f>
        <v>0</v>
      </c>
      <c r="D16" s="783" t="s">
        <v>1746</v>
      </c>
      <c r="E16" s="783" t="s">
        <v>1747</v>
      </c>
      <c r="F16" s="808">
        <f ca="1">IF(INDIRECT("'数据-取费表'!c"&amp;$G$1)="住宅",'数据-取费表'!B34,0)</f>
        <v>0</v>
      </c>
      <c r="G16" s="1576"/>
      <c r="H16" s="1812" t="s">
        <v>1748</v>
      </c>
      <c r="I16" s="1810" t="s">
        <v>1749</v>
      </c>
      <c r="J16" s="791">
        <f ca="1">ROUND(J17+J22+J23+J24,0)</f>
        <v>311</v>
      </c>
      <c r="K16" s="1804" t="s">
        <v>1750</v>
      </c>
      <c r="L16" s="2448"/>
      <c r="M16" s="2453"/>
    </row>
    <row r="17" spans="1:33" s="2047" customFormat="1" ht="18" customHeight="1">
      <c r="A17" s="1631" t="s">
        <v>1887</v>
      </c>
      <c r="B17" s="783" t="s">
        <v>653</v>
      </c>
      <c r="C17" s="53">
        <f ca="1">ROUND(F17*(F43+INDIRECT("'数据-取费表'!S"&amp;$G$1))/10000,0)</f>
        <v>119</v>
      </c>
      <c r="D17" s="783" t="s">
        <v>1751</v>
      </c>
      <c r="E17" s="783" t="s">
        <v>1752</v>
      </c>
      <c r="F17" s="56">
        <f>'数据-取费表'!B35</f>
        <v>200</v>
      </c>
      <c r="G17" s="1577"/>
      <c r="H17" s="1632" t="s">
        <v>1830</v>
      </c>
      <c r="I17" s="783" t="s">
        <v>656</v>
      </c>
      <c r="J17" s="53">
        <f ca="1">ROUND(IF(项目基本情况!B11="自然人",J6*M17/(1+'数据-取费表'!C42),J18+J19+J20),0)</f>
        <v>311</v>
      </c>
      <c r="K17" s="2447" t="s">
        <v>1753</v>
      </c>
      <c r="L17" s="2446" t="s">
        <v>1754</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3" t="s">
        <v>659</v>
      </c>
      <c r="C18" s="53">
        <f ca="1">ROUND(C14*F18,0)</f>
        <v>39</v>
      </c>
      <c r="D18" s="783" t="s">
        <v>1746</v>
      </c>
      <c r="E18" s="783" t="s">
        <v>1747</v>
      </c>
      <c r="F18" s="808">
        <f>'数据-取费表'!B36</f>
        <v>1.4999999999999999E-2</v>
      </c>
      <c r="G18" s="1577"/>
      <c r="H18" s="1631" t="s">
        <v>1884</v>
      </c>
      <c r="I18" s="783" t="s">
        <v>1755</v>
      </c>
      <c r="J18" s="53">
        <f ca="1">ROUND(J6*M18/(1+'数据-取费表'!C42),1)</f>
        <v>0</v>
      </c>
      <c r="K18" s="2446" t="s">
        <v>1756</v>
      </c>
      <c r="L18" s="783" t="s">
        <v>1747</v>
      </c>
      <c r="M18" s="808">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3" t="s">
        <v>662</v>
      </c>
      <c r="C19" s="53">
        <f ca="1">SUM(C14:C18)</f>
        <v>2862</v>
      </c>
      <c r="D19" s="260" t="s">
        <v>1757</v>
      </c>
      <c r="E19" s="1965"/>
      <c r="F19" s="56"/>
      <c r="G19" s="1576"/>
      <c r="H19" s="1631" t="s">
        <v>1885</v>
      </c>
      <c r="I19" s="783" t="s">
        <v>1758</v>
      </c>
      <c r="J19" s="53">
        <f ca="1">IF(K19="按租金收入计税",ROUND(J6*M19/(1+'数据-取费表'!C42),1),ROUND(C29*F33*0.7,1))</f>
        <v>311</v>
      </c>
      <c r="K19" s="810" t="s">
        <v>665</v>
      </c>
      <c r="L19" s="783" t="s">
        <v>1747</v>
      </c>
      <c r="M19" s="808">
        <f>IF(K19="按租金收入计税",'数据-取费表'!B51,'数据-取费表'!B50)</f>
        <v>1.2E-2</v>
      </c>
    </row>
    <row r="20" spans="1:33" s="2047" customFormat="1" ht="18" customHeight="1">
      <c r="A20" s="1632" t="s">
        <v>1889</v>
      </c>
      <c r="B20" s="783" t="s">
        <v>666</v>
      </c>
      <c r="C20" s="53">
        <f ca="1">ROUND(C19*F20,0)</f>
        <v>57</v>
      </c>
      <c r="D20" s="811" t="s">
        <v>1759</v>
      </c>
      <c r="E20" s="783" t="s">
        <v>1747</v>
      </c>
      <c r="F20" s="808">
        <f>'数据-取费表'!B37</f>
        <v>0.02</v>
      </c>
      <c r="G20" s="1577"/>
      <c r="H20" s="1634" t="s">
        <v>1880</v>
      </c>
      <c r="I20" s="340" t="s">
        <v>1760</v>
      </c>
      <c r="J20" s="54">
        <f ca="1">ROUND(M20*M21/10000,0)</f>
        <v>0</v>
      </c>
      <c r="K20" s="813" t="s">
        <v>1761</v>
      </c>
      <c r="L20" s="783" t="s">
        <v>1762</v>
      </c>
      <c r="M20" s="639">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3" t="s">
        <v>1763</v>
      </c>
      <c r="C21" s="53" t="s">
        <v>1764</v>
      </c>
      <c r="D21" s="811" t="s">
        <v>2295</v>
      </c>
      <c r="E21" s="783" t="s">
        <v>1765</v>
      </c>
      <c r="F21" s="808">
        <f>'数据-取费表'!B38</f>
        <v>0.02</v>
      </c>
      <c r="G21" s="1577"/>
      <c r="H21" s="2468"/>
      <c r="I21" s="792"/>
      <c r="J21" s="69"/>
      <c r="K21" s="815"/>
      <c r="L21" s="783" t="s">
        <v>1766</v>
      </c>
      <c r="M21" s="784">
        <f ca="1">INDIRECT("'数据-取费表'!r"&amp;$G$1)</f>
        <v>1611.07</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3" t="s">
        <v>1767</v>
      </c>
      <c r="C22" s="53"/>
      <c r="D22" s="2534" t="str">
        <f>IF(F23&lt;=1,"单利计息。","复利计息。")&amp;"建造成本、管理费用、销售费用产生的利息。"</f>
        <v>复利计息。建造成本、管理费用、销售费用产生的利息。</v>
      </c>
      <c r="E22" s="1965"/>
      <c r="F22" s="56"/>
      <c r="G22" s="1576"/>
      <c r="H22" s="1632" t="s">
        <v>1889</v>
      </c>
      <c r="I22" s="783" t="s">
        <v>1768</v>
      </c>
      <c r="J22" s="53">
        <f ca="1">ROUND(J14*M22,0)</f>
        <v>0</v>
      </c>
      <c r="K22" s="2446" t="s">
        <v>1769</v>
      </c>
      <c r="L22" s="783" t="s">
        <v>1747</v>
      </c>
      <c r="M22" s="816">
        <f ca="1">INDIRECT("'数据-取费表'!Ak"&amp;$G$1)</f>
        <v>0</v>
      </c>
    </row>
    <row r="23" spans="1:33" s="2047" customFormat="1" ht="18" customHeight="1">
      <c r="A23" s="1631" t="s">
        <v>1831</v>
      </c>
      <c r="B23" s="783" t="s">
        <v>2531</v>
      </c>
      <c r="C23" s="53">
        <f ca="1">ROUND(IF('数据-取费表'!B22&lt;=1,(C19+C20)*F24*F23/2,(C19+C20)*(POWER((1+F24),F23/2)-1)),0)</f>
        <v>210</v>
      </c>
      <c r="D23" s="2533" t="str">
        <f>IF(F23&lt;=1,"(建造成本+管理费用)×利率×(建设周期÷2)","(建造成本+管理费用)×((1+利率)^(建设周期÷2)-1)")</f>
        <v>(建造成本+管理费用)×((1+利率)^(建设周期÷2)-1)</v>
      </c>
      <c r="E23" s="783" t="s">
        <v>1770</v>
      </c>
      <c r="F23" s="639">
        <f>'数据-取费表'!B20</f>
        <v>3</v>
      </c>
      <c r="G23" s="1577"/>
      <c r="H23" s="1632" t="s">
        <v>1890</v>
      </c>
      <c r="I23" s="783" t="s">
        <v>679</v>
      </c>
      <c r="J23" s="53">
        <f ca="1">ROUND(J13*M23,0)</f>
        <v>0</v>
      </c>
      <c r="K23" s="2446" t="s">
        <v>1771</v>
      </c>
      <c r="L23" s="783" t="s">
        <v>1747</v>
      </c>
      <c r="M23" s="817">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3" t="s">
        <v>1772</v>
      </c>
      <c r="C24" s="53">
        <f ca="1">ROUND(IF('数据-取费表'!B22&lt;=1,F21*F24*F23/2,F21*(POWER((1+F24),F23/2)-1)),4)</f>
        <v>1.4E-3</v>
      </c>
      <c r="D24" s="2533" t="str">
        <f>IF(F23&lt;=1,"销售费用×利率×(建设周期÷2)","销售费用×((1+利率)^(建设周期÷2)-1)")</f>
        <v>销售费用×((1+利率)^(建设周期÷2)-1)</v>
      </c>
      <c r="E24" s="783" t="s">
        <v>1773</v>
      </c>
      <c r="F24" s="818">
        <f ca="1">'数据-取费表'!B40</f>
        <v>4.7500000000000001E-2</v>
      </c>
      <c r="G24" s="1577"/>
      <c r="H24" s="2513" t="s">
        <v>1891</v>
      </c>
      <c r="I24" s="2508" t="s">
        <v>666</v>
      </c>
      <c r="J24" s="2506">
        <f ca="1">ROUND(J5*M24,0)</f>
        <v>0</v>
      </c>
      <c r="K24" s="2507" t="s">
        <v>1774</v>
      </c>
      <c r="L24" s="2508" t="s">
        <v>1747</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3" t="s">
        <v>684</v>
      </c>
      <c r="C25" s="53"/>
      <c r="D25" s="260" t="s">
        <v>1775</v>
      </c>
      <c r="E25" s="1965"/>
      <c r="F25" s="56"/>
      <c r="G25" s="1576"/>
      <c r="H25" s="1812" t="s">
        <v>1776</v>
      </c>
      <c r="I25" s="2960" t="s">
        <v>2816</v>
      </c>
      <c r="J25" s="791">
        <f ca="1">J5-J16</f>
        <v>-311</v>
      </c>
      <c r="K25" s="2510" t="s">
        <v>1777</v>
      </c>
      <c r="L25" s="2511"/>
      <c r="M25" s="2512"/>
    </row>
    <row r="26" spans="1:33" ht="18" customHeight="1">
      <c r="A26" s="1631" t="s">
        <v>1831</v>
      </c>
      <c r="B26" s="783" t="s">
        <v>2434</v>
      </c>
      <c r="C26" s="53">
        <f ca="1">ROUND((C19+C20)*F26,0)</f>
        <v>292</v>
      </c>
      <c r="D26" s="811" t="s">
        <v>1778</v>
      </c>
      <c r="E26" s="794" t="s">
        <v>1779</v>
      </c>
      <c r="F26" s="793">
        <f ca="1">INDIRECT("'数据-取费表'!q"&amp;$G$1)</f>
        <v>0.1</v>
      </c>
      <c r="G26" s="1576"/>
      <c r="H26" s="2464" t="s">
        <v>1780</v>
      </c>
      <c r="I26" s="2215" t="s">
        <v>2821</v>
      </c>
      <c r="J26" s="782">
        <f ca="1">IF(J5&lt;&gt;0,ROUND(J25*(1-((1+M28)/(1+M26))^M27)/(M26-M28),0),0)</f>
        <v>0</v>
      </c>
      <c r="K26" s="813" t="s">
        <v>1781</v>
      </c>
      <c r="L26" s="783" t="s">
        <v>2415</v>
      </c>
      <c r="M26" s="793">
        <f ca="1">INDIRECT("'数据-取费表'!I"&amp;$G$1)</f>
        <v>0.05</v>
      </c>
    </row>
    <row r="27" spans="1:33" ht="18" customHeight="1">
      <c r="A27" s="1631" t="s">
        <v>1832</v>
      </c>
      <c r="B27" s="783" t="s">
        <v>686</v>
      </c>
      <c r="C27" s="53">
        <f ca="1">ROUND(F21*F26,4)</f>
        <v>2E-3</v>
      </c>
      <c r="D27" s="811" t="s">
        <v>1782</v>
      </c>
      <c r="E27" s="805"/>
      <c r="F27" s="806"/>
      <c r="G27" s="1576"/>
      <c r="H27" s="2465"/>
      <c r="I27" s="786"/>
      <c r="J27" s="787"/>
      <c r="K27" s="820" t="s">
        <v>1783</v>
      </c>
      <c r="L27" s="783" t="s">
        <v>1784</v>
      </c>
      <c r="M27" s="821">
        <f ca="1">INDIRECT("'数据-取费表'!ag"&amp;$G$1)</f>
        <v>0</v>
      </c>
    </row>
    <row r="28" spans="1:33" s="2047" customFormat="1" ht="18" customHeight="1">
      <c r="A28" s="1633" t="s">
        <v>1841</v>
      </c>
      <c r="B28" s="783" t="s">
        <v>687</v>
      </c>
      <c r="C28" s="53">
        <f>ROUND(F28/(1+'数据-取费表'!C42),4)</f>
        <v>5.2400000000000002E-2</v>
      </c>
      <c r="D28" s="811" t="s">
        <v>2296</v>
      </c>
      <c r="E28" s="783" t="s">
        <v>1785</v>
      </c>
      <c r="F28" s="808">
        <f>'数据-取费表'!B41</f>
        <v>5.5000000000000007E-2</v>
      </c>
      <c r="G28" s="1577"/>
      <c r="H28" s="1812"/>
      <c r="I28" s="790"/>
      <c r="J28" s="791"/>
      <c r="K28" s="815"/>
      <c r="L28" s="783" t="s">
        <v>1786</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2297</v>
      </c>
      <c r="C29" s="2506">
        <f ca="1">ROUND((C19+C20+C23+C26)/(1-F21-C24-C27-C28),0)</f>
        <v>3702</v>
      </c>
      <c r="D29" s="2507"/>
      <c r="E29" s="2508"/>
      <c r="F29" s="2509"/>
      <c r="G29" s="1577"/>
      <c r="H29" s="822" t="s">
        <v>1787</v>
      </c>
      <c r="I29" s="823" t="s">
        <v>1788</v>
      </c>
      <c r="J29" s="824">
        <f ca="1">ROUND(J26/(1+F40)^F41,0)</f>
        <v>0</v>
      </c>
      <c r="K29" s="825" t="s">
        <v>1789</v>
      </c>
      <c r="L29" s="826"/>
      <c r="M29" s="827">
        <f ca="1">INDIRECT("'数据-取费表'!k"&amp;$G$1)</f>
        <v>5572.52</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1">
        <f ca="1">ROUND(C31+C36+C37+C38,0)</f>
        <v>0</v>
      </c>
      <c r="D30" s="1804" t="s">
        <v>1791</v>
      </c>
      <c r="E30" s="2448"/>
      <c r="F30" s="2453"/>
      <c r="G30" s="2045"/>
      <c r="H30" s="2048"/>
      <c r="I30" s="2049"/>
      <c r="J30" s="2050"/>
      <c r="K30" s="2051"/>
      <c r="L30" s="2052"/>
      <c r="M30" s="2053"/>
    </row>
    <row r="31" spans="1:33" ht="18" customHeight="1">
      <c r="A31" s="1632" t="s">
        <v>1830</v>
      </c>
      <c r="B31" s="783" t="s">
        <v>656</v>
      </c>
      <c r="C31" s="53">
        <f ca="1">ROUND(IF(项目基本情况!B11="自然人",C6*F31/(1+'数据-取费表'!C42),C32+C33+C34),1)</f>
        <v>0.2</v>
      </c>
      <c r="D31" s="1962" t="s">
        <v>1792</v>
      </c>
      <c r="E31" s="1960" t="s">
        <v>1793</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3" t="s">
        <v>1794</v>
      </c>
      <c r="C32" s="53">
        <f ca="1">ROUND(C6*F32/(1+'数据-取费表'!C42),1)</f>
        <v>0</v>
      </c>
      <c r="D32" s="1960" t="s">
        <v>1795</v>
      </c>
      <c r="E32" s="783" t="s">
        <v>1796</v>
      </c>
      <c r="F32" s="808">
        <f>'数据-取费表'!B41</f>
        <v>5.5000000000000007E-2</v>
      </c>
      <c r="G32" s="2045"/>
      <c r="H32" s="2054"/>
      <c r="I32" s="2055"/>
      <c r="J32" s="2056"/>
      <c r="K32" s="2057"/>
      <c r="L32" s="2058"/>
      <c r="M32" s="2059"/>
    </row>
    <row r="33" spans="1:18" ht="18" customHeight="1">
      <c r="A33" s="1631" t="s">
        <v>1832</v>
      </c>
      <c r="B33" s="783" t="s">
        <v>1797</v>
      </c>
      <c r="C33" s="53">
        <f ca="1">IF(D33="按租金收入计税",ROUND(C6*F33/(1+'数据-取费表'!C42),1),IF(D33="按房产原值计税",ROUND(C29*F33*0.7,1),INDIRECT("'数据-取费表'!Aj"&amp;$G$1)))</f>
        <v>0</v>
      </c>
      <c r="D33" s="810" t="s">
        <v>3198</v>
      </c>
      <c r="E33" s="783" t="s">
        <v>1796</v>
      </c>
      <c r="F33" s="808">
        <f>IF(D33="按租金收入计税",'数据-取费表'!B51,'数据-取费表'!B50)</f>
        <v>0.12</v>
      </c>
      <c r="G33" s="2045"/>
      <c r="H33" s="2060"/>
      <c r="I33" s="2060"/>
      <c r="J33" s="2060"/>
      <c r="K33" s="2061"/>
      <c r="L33" s="2060"/>
      <c r="M33" s="2060"/>
    </row>
    <row r="34" spans="1:18" ht="18" customHeight="1">
      <c r="A34" s="1634" t="s">
        <v>1833</v>
      </c>
      <c r="B34" s="340" t="s">
        <v>1798</v>
      </c>
      <c r="C34" s="54">
        <f ca="1">ROUND(F34*F35/10000,1)</f>
        <v>0.2</v>
      </c>
      <c r="D34" s="813" t="s">
        <v>1799</v>
      </c>
      <c r="E34" s="783" t="s">
        <v>1800</v>
      </c>
      <c r="F34" s="639">
        <f>'数据-取费表'!B52</f>
        <v>1.5</v>
      </c>
      <c r="G34" s="2045"/>
      <c r="H34" s="2048"/>
      <c r="I34" s="834" t="s">
        <v>1813</v>
      </c>
      <c r="J34" s="835"/>
      <c r="K34" s="2063"/>
      <c r="L34" s="2062"/>
      <c r="M34" s="2062"/>
    </row>
    <row r="35" spans="1:18" ht="18" customHeight="1">
      <c r="A35" s="814"/>
      <c r="B35" s="792"/>
      <c r="C35" s="69"/>
      <c r="D35" s="815"/>
      <c r="E35" s="783" t="s">
        <v>1801</v>
      </c>
      <c r="F35" s="784">
        <f ca="1">INDIRECT("'数据-取费表'!r"&amp;$G$1)</f>
        <v>1611.07</v>
      </c>
      <c r="G35" s="2045"/>
      <c r="H35" s="2048"/>
      <c r="I35" s="836" t="s">
        <v>1814</v>
      </c>
      <c r="J35" s="837">
        <f ca="1">ROUND(C13*J36,0)</f>
        <v>315</v>
      </c>
      <c r="K35" s="2061"/>
      <c r="L35" s="2060"/>
      <c r="M35" s="2060"/>
    </row>
    <row r="36" spans="1:18" ht="18" customHeight="1">
      <c r="A36" s="1632" t="s">
        <v>1889</v>
      </c>
      <c r="B36" s="783" t="s">
        <v>1802</v>
      </c>
      <c r="C36" s="53">
        <f ca="1">ROUND(C29*F36,1)</f>
        <v>0</v>
      </c>
      <c r="D36" s="1960" t="s">
        <v>1803</v>
      </c>
      <c r="E36" s="783" t="s">
        <v>1796</v>
      </c>
      <c r="F36" s="816">
        <f ca="1">INDIRECT("'数据-取费表'!Ak"&amp;$G$1)</f>
        <v>0</v>
      </c>
      <c r="G36" s="2045"/>
      <c r="H36" s="2060"/>
      <c r="I36" s="838" t="s">
        <v>1815</v>
      </c>
      <c r="J36" s="839">
        <f ca="1">INDIRECT("'数据-取费表'!j"&amp;$G$1)</f>
        <v>8.5000000000000006E-2</v>
      </c>
      <c r="K36" s="2065"/>
      <c r="L36" s="2060"/>
      <c r="M36" s="2060"/>
    </row>
    <row r="37" spans="1:18" ht="18" customHeight="1">
      <c r="A37" s="1632" t="s">
        <v>1890</v>
      </c>
      <c r="B37" s="783" t="s">
        <v>679</v>
      </c>
      <c r="C37" s="53">
        <f ca="1">ROUND(C13*F37,1)</f>
        <v>0</v>
      </c>
      <c r="D37" s="1960" t="s">
        <v>1804</v>
      </c>
      <c r="E37" s="783" t="s">
        <v>1796</v>
      </c>
      <c r="F37" s="817">
        <f ca="1">INDIRECT("'数据-取费表'!Al"&amp;$G$1)</f>
        <v>0</v>
      </c>
      <c r="G37" s="2045"/>
      <c r="H37" s="2060"/>
      <c r="I37" s="840" t="s">
        <v>1816</v>
      </c>
      <c r="J37" s="841"/>
      <c r="K37" s="2065"/>
      <c r="L37" s="2060"/>
      <c r="M37" s="2060"/>
    </row>
    <row r="38" spans="1:18" ht="18" customHeight="1" thickBot="1">
      <c r="A38" s="2513" t="s">
        <v>1891</v>
      </c>
      <c r="B38" s="2508" t="s">
        <v>666</v>
      </c>
      <c r="C38" s="2506">
        <f ca="1">ROUND(C5*F38,1)</f>
        <v>0</v>
      </c>
      <c r="D38" s="2507" t="s">
        <v>1805</v>
      </c>
      <c r="E38" s="2508" t="s">
        <v>1796</v>
      </c>
      <c r="F38" s="2504">
        <f ca="1">INDIRECT("'数据-取费表'!Am"&amp;$G$1)</f>
        <v>0</v>
      </c>
      <c r="G38" s="2045"/>
      <c r="H38" s="2060"/>
      <c r="I38" s="842" t="s">
        <v>1817</v>
      </c>
      <c r="J38" s="843"/>
      <c r="K38" s="2066"/>
      <c r="L38" s="2060"/>
      <c r="M38" s="2060"/>
    </row>
    <row r="39" spans="1:18" ht="24.6" customHeight="1" thickTop="1">
      <c r="A39" s="1812" t="s">
        <v>1894</v>
      </c>
      <c r="B39" s="2960" t="s">
        <v>2816</v>
      </c>
      <c r="C39" s="791">
        <f ca="1">C5-C30</f>
        <v>0</v>
      </c>
      <c r="D39" s="2510" t="s">
        <v>1806</v>
      </c>
      <c r="E39" s="2511"/>
      <c r="F39" s="2512"/>
      <c r="G39" s="2045"/>
      <c r="H39" s="2060"/>
      <c r="I39" s="836" t="s">
        <v>1818</v>
      </c>
      <c r="J39" s="844" t="e">
        <f ca="1">ROUND(J35/C39,3)</f>
        <v>#DIV/0!</v>
      </c>
      <c r="K39" s="2066"/>
      <c r="L39" s="2060"/>
      <c r="M39" s="2060"/>
    </row>
    <row r="40" spans="1:18" ht="18" customHeight="1">
      <c r="A40" s="780" t="s">
        <v>1895</v>
      </c>
      <c r="B40" s="2215" t="s">
        <v>2298</v>
      </c>
      <c r="C40" s="782">
        <f ca="1">ROUND(C39*(1-((1+F42)/(1+F40))^F41)/(F40-F42),0)</f>
        <v>0</v>
      </c>
      <c r="D40" s="813" t="s">
        <v>1807</v>
      </c>
      <c r="E40" s="783" t="s">
        <v>2415</v>
      </c>
      <c r="F40" s="793">
        <f ca="1">INDIRECT("'数据-取费表'!I"&amp;$G$1)</f>
        <v>0.05</v>
      </c>
      <c r="G40" s="2045"/>
      <c r="H40" s="2045"/>
      <c r="I40" s="836" t="s">
        <v>1819</v>
      </c>
      <c r="J40" s="844" t="e">
        <f ca="1">1-J39</f>
        <v>#DIV/0!</v>
      </c>
      <c r="K40" s="2066"/>
      <c r="L40" s="2045"/>
      <c r="M40" s="2045"/>
    </row>
    <row r="41" spans="1:18" ht="18" customHeight="1">
      <c r="A41" s="785"/>
      <c r="B41" s="786"/>
      <c r="C41" s="787"/>
      <c r="D41" s="820" t="s">
        <v>1808</v>
      </c>
      <c r="E41" s="783" t="s">
        <v>2956</v>
      </c>
      <c r="F41" s="821">
        <f ca="1">IF(INDIRECT("'数据-取费表'!af"&amp;$G$1)=0,INDIRECT("'数据-取费表'!ae"&amp;$G$1),INDIRECT("'数据-取费表'!af"&amp;$G$1))</f>
        <v>0</v>
      </c>
      <c r="G41" s="2045"/>
      <c r="H41" s="1971"/>
      <c r="I41" s="842" t="s">
        <v>1820</v>
      </c>
      <c r="J41" s="845"/>
      <c r="K41" s="2065"/>
      <c r="L41" s="1971"/>
      <c r="M41" s="1971"/>
    </row>
    <row r="42" spans="1:18" ht="18" customHeight="1">
      <c r="A42" s="789"/>
      <c r="B42" s="790"/>
      <c r="C42" s="791"/>
      <c r="D42" s="815"/>
      <c r="E42" s="783" t="s">
        <v>1809</v>
      </c>
      <c r="F42" s="793">
        <f ca="1">INDIRECT("'数据-取费表'!v"&amp;$G$1)</f>
        <v>0</v>
      </c>
      <c r="G42" s="2045"/>
      <c r="H42" s="1971"/>
      <c r="I42" s="846" t="s">
        <v>1821</v>
      </c>
      <c r="J42" s="844" t="e">
        <f ca="1">ROUND(C13/C40,3)</f>
        <v>#DIV/0!</v>
      </c>
      <c r="K42" s="2065"/>
      <c r="L42" s="1971"/>
      <c r="M42" s="1971"/>
    </row>
    <row r="43" spans="1:18" ht="18" customHeight="1" thickBot="1">
      <c r="A43" s="822" t="s">
        <v>1787</v>
      </c>
      <c r="B43" s="823" t="s">
        <v>1810</v>
      </c>
      <c r="C43" s="824">
        <f ca="1">ROUND(C40*10000/F43,0)</f>
        <v>0</v>
      </c>
      <c r="D43" s="825" t="s">
        <v>1811</v>
      </c>
      <c r="E43" s="826" t="s">
        <v>1812</v>
      </c>
      <c r="F43" s="827">
        <f ca="1">INDIRECT("'数据-取费表'!k"&amp;$G$1)</f>
        <v>5572.52</v>
      </c>
      <c r="G43" s="2045"/>
      <c r="H43" s="1971"/>
      <c r="I43" s="846" t="s">
        <v>1822</v>
      </c>
      <c r="J43" s="847"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f ca="1">C67-C40</f>
        <v>0</v>
      </c>
      <c r="D46" s="2068"/>
      <c r="E46" s="2068"/>
      <c r="F46" s="2068"/>
      <c r="I46" s="2340" t="s">
        <v>2339</v>
      </c>
      <c r="J46" s="2341"/>
      <c r="K46" s="2342"/>
      <c r="L46" s="3104" t="str">
        <f ca="1">IF(OR(M47="住宅",D1="土地（套用方法）"),0,IF(L48&gt;J51,L60,J60))</f>
        <v>0</v>
      </c>
      <c r="O46" s="2356" t="s">
        <v>2406</v>
      </c>
      <c r="P46" s="1576"/>
      <c r="Q46" s="1587"/>
      <c r="R46" s="1576"/>
    </row>
    <row r="47" spans="1:18" s="2042" customFormat="1" ht="18" customHeight="1" thickBot="1">
      <c r="A47" s="2334">
        <v>1</v>
      </c>
      <c r="B47" s="2335" t="s">
        <v>635</v>
      </c>
      <c r="C47" s="2536">
        <f ca="1">C48+C52+C54</f>
        <v>0</v>
      </c>
      <c r="D47" s="2068"/>
      <c r="E47" s="2068"/>
      <c r="F47" s="2068"/>
      <c r="I47" s="3095" t="s">
        <v>2340</v>
      </c>
      <c r="J47" s="2343" t="s">
        <v>3158</v>
      </c>
      <c r="K47" s="3101" t="s">
        <v>2345</v>
      </c>
      <c r="L47" s="3105">
        <f ca="1">INDIRECT("'数据-取费表'!d"&amp;$G$1)</f>
        <v>50</v>
      </c>
      <c r="M47" s="1587" t="str">
        <f>IF(ISNUMBER(FIND("住宅",C1)),"住宅","非住宅")</f>
        <v>非住宅</v>
      </c>
      <c r="O47" s="2357" t="s">
        <v>2371</v>
      </c>
      <c r="P47" s="2358" t="s">
        <v>2372</v>
      </c>
      <c r="Q47" s="2359" t="s">
        <v>2373</v>
      </c>
      <c r="R47" s="2358" t="s">
        <v>2374</v>
      </c>
    </row>
    <row r="48" spans="1:18" s="2042" customFormat="1" ht="18" customHeight="1" thickBot="1">
      <c r="A48" s="2604" t="s">
        <v>2533</v>
      </c>
      <c r="B48" s="2605" t="s">
        <v>2534</v>
      </c>
      <c r="C48" s="2336">
        <f ca="1">ROUND(F48*F50*F49*(1-F51)/10000,0)</f>
        <v>0</v>
      </c>
      <c r="D48" s="2337" t="s">
        <v>636</v>
      </c>
      <c r="E48" s="2338" t="s">
        <v>2293</v>
      </c>
      <c r="F48" s="2339"/>
      <c r="G48" s="2073"/>
      <c r="I48" s="3074" t="s">
        <v>2341</v>
      </c>
      <c r="J48" s="2344" t="s">
        <v>2346</v>
      </c>
      <c r="K48" s="3102" t="s">
        <v>2347</v>
      </c>
      <c r="L48" s="1891">
        <f ca="1">INDIRECT("'数据-取费表'!f"&amp;$G$1)</f>
        <v>49.55</v>
      </c>
      <c r="O48" s="2360" t="s">
        <v>2375</v>
      </c>
      <c r="P48" s="2361" t="s">
        <v>2401</v>
      </c>
      <c r="Q48" s="2362">
        <f ca="1">C40+J29</f>
        <v>0</v>
      </c>
      <c r="R48" s="2361" t="s">
        <v>2376</v>
      </c>
    </row>
    <row r="49" spans="1:18" s="2042" customFormat="1" ht="18" customHeight="1" thickBot="1">
      <c r="A49" s="785"/>
      <c r="B49" s="786"/>
      <c r="C49" s="787"/>
      <c r="D49" s="788"/>
      <c r="E49" s="783" t="s">
        <v>1739</v>
      </c>
      <c r="F49" s="784">
        <f ca="1">F7</f>
        <v>5572.52</v>
      </c>
      <c r="G49" s="2073"/>
      <c r="H49" s="2076"/>
      <c r="I49" s="3074" t="s">
        <v>2342</v>
      </c>
      <c r="J49" s="2345"/>
      <c r="K49" s="3103" t="s">
        <v>2348</v>
      </c>
      <c r="L49" s="2346"/>
      <c r="O49" s="2360" t="s">
        <v>2377</v>
      </c>
      <c r="P49" s="2361" t="s">
        <v>2402</v>
      </c>
      <c r="Q49" s="2362" t="str">
        <f ca="1">J60</f>
        <v>0</v>
      </c>
      <c r="R49" s="2361" t="s">
        <v>2378</v>
      </c>
    </row>
    <row r="50" spans="1:18" s="2042" customFormat="1" ht="18" customHeight="1" thickBot="1">
      <c r="A50" s="785"/>
      <c r="B50" s="786"/>
      <c r="C50" s="787"/>
      <c r="D50" s="788"/>
      <c r="E50" s="783" t="s">
        <v>1740</v>
      </c>
      <c r="F50" s="784">
        <f ca="1">F8</f>
        <v>365</v>
      </c>
      <c r="G50" s="2078"/>
      <c r="H50" s="2076"/>
      <c r="I50" s="3074" t="s">
        <v>2343</v>
      </c>
      <c r="J50" s="3099">
        <f>SUMPRODUCT((I63:I65=J47)*(J62:L62=J48)*(J63:L65))</f>
        <v>60</v>
      </c>
      <c r="K50" s="3103" t="s">
        <v>2349</v>
      </c>
      <c r="L50" s="2346"/>
      <c r="O50" s="2363" t="s">
        <v>2379</v>
      </c>
      <c r="P50" s="2361" t="s">
        <v>2403</v>
      </c>
      <c r="Q50" s="2362">
        <f ca="1">C29</f>
        <v>3702</v>
      </c>
      <c r="R50" s="2361" t="s">
        <v>2376</v>
      </c>
    </row>
    <row r="51" spans="1:18" s="2042" customFormat="1" ht="18" customHeight="1" thickBot="1">
      <c r="A51" s="785"/>
      <c r="B51" s="786"/>
      <c r="C51" s="787"/>
      <c r="D51" s="788"/>
      <c r="E51" s="783" t="s">
        <v>640</v>
      </c>
      <c r="F51" s="2333"/>
      <c r="H51" s="2076"/>
      <c r="I51" s="3096" t="s">
        <v>2344</v>
      </c>
      <c r="J51" s="3100">
        <f>IF(J49="",J50,J49+J50-YEAR('数据-取费表'!B2))</f>
        <v>60</v>
      </c>
      <c r="K51" s="3074" t="s">
        <v>2350</v>
      </c>
      <c r="L51" s="3106">
        <f ca="1">ROUND(-PV(INDIRECT("'数据-取费表'!h"&amp;$G$1),L48,(C39-C13*J36),0),0)</f>
        <v>-6203</v>
      </c>
      <c r="O51" s="2363" t="s">
        <v>2380</v>
      </c>
      <c r="P51" s="2361" t="s">
        <v>2381</v>
      </c>
      <c r="Q51" s="2364" t="e">
        <f ca="1">J58</f>
        <v>#VALUE!</v>
      </c>
      <c r="R51" s="2365"/>
    </row>
    <row r="52" spans="1:18" s="2042" customFormat="1" ht="18" customHeight="1" thickBot="1">
      <c r="A52" s="780" t="s">
        <v>2532</v>
      </c>
      <c r="B52" s="2456" t="s">
        <v>2455</v>
      </c>
      <c r="C52" s="798">
        <f ca="1">ROUND(IF(F52="押一",C48/12*F11,IF(F52="押二",C48/12*2*F11,IF(F52="押三",C48/12*3*F11,C53*F11))),0)</f>
        <v>0</v>
      </c>
      <c r="D52" s="2463" t="s">
        <v>2967</v>
      </c>
      <c r="E52" s="2460" t="s">
        <v>2460</v>
      </c>
      <c r="F52" s="2583"/>
      <c r="I52" s="3097" t="s">
        <v>2417</v>
      </c>
      <c r="J52" s="2347"/>
      <c r="K52" s="3097" t="s">
        <v>2416</v>
      </c>
      <c r="L52" s="2347"/>
      <c r="O52" s="2363" t="s">
        <v>2382</v>
      </c>
      <c r="P52" s="2361" t="s">
        <v>2383</v>
      </c>
      <c r="Q52" s="2364">
        <f>J52</f>
        <v>0</v>
      </c>
      <c r="R52" s="2365"/>
    </row>
    <row r="53" spans="1:18" s="2042" customFormat="1" ht="39.75" customHeight="1" thickBot="1">
      <c r="A53" s="785"/>
      <c r="B53" s="2457" t="s">
        <v>2569</v>
      </c>
      <c r="C53" s="2461"/>
      <c r="D53" s="2463"/>
      <c r="E53" s="2460"/>
      <c r="F53" s="799"/>
      <c r="I53" s="3098" t="s">
        <v>2970</v>
      </c>
      <c r="J53" s="3177">
        <f ca="1">IF(M47="住宅",IF(D1="——",MAX(J51,L48),MAX(J51,L48-'数据-取费表'!B20)),IF(D1="——",MIN(J51,L48),MIN(J51,L48-'数据-取费表'!B20)))</f>
        <v>49.55</v>
      </c>
      <c r="K53" s="3486" t="s">
        <v>2958</v>
      </c>
      <c r="L53" s="3487"/>
      <c r="O53" s="2363" t="s">
        <v>2384</v>
      </c>
      <c r="P53" s="2361" t="s">
        <v>2385</v>
      </c>
      <c r="Q53" s="2362">
        <f ca="1">J53</f>
        <v>49.55</v>
      </c>
      <c r="R53" s="2361" t="s">
        <v>2386</v>
      </c>
    </row>
    <row r="54" spans="1:18" s="2042" customFormat="1" ht="18" customHeight="1" thickBot="1">
      <c r="A54" s="2499" t="s">
        <v>2463</v>
      </c>
      <c r="B54" s="2500" t="s">
        <v>2456</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2387</v>
      </c>
      <c r="P54" s="2361" t="s">
        <v>2404</v>
      </c>
      <c r="Q54" s="2362">
        <f ca="1">Q48+Q49</f>
        <v>0</v>
      </c>
      <c r="R54" s="2365" t="s">
        <v>2388</v>
      </c>
    </row>
    <row r="55" spans="1:18" s="2042" customFormat="1" ht="18" customHeight="1" thickTop="1" thickBot="1">
      <c r="A55" s="796">
        <v>2</v>
      </c>
      <c r="B55" s="797" t="s">
        <v>644</v>
      </c>
      <c r="C55" s="798">
        <f ca="1">C13</f>
        <v>3702</v>
      </c>
      <c r="D55" s="794"/>
      <c r="E55" s="794"/>
      <c r="F55" s="799"/>
      <c r="I55" s="3109" t="s">
        <v>2351</v>
      </c>
      <c r="J55" s="3049" t="e">
        <f ca="1">ROUND(IF(J47="钢混",J57/J50,1-(1-2%)*(J50-J57)/J50),3)</f>
        <v>#VALUE!</v>
      </c>
      <c r="K55" s="3110" t="s">
        <v>2352</v>
      </c>
      <c r="L55" s="2348"/>
      <c r="O55" s="2366" t="s">
        <v>2407</v>
      </c>
      <c r="P55" s="1576"/>
      <c r="Q55" s="1587"/>
      <c r="R55" s="1576"/>
    </row>
    <row r="56" spans="1:18" s="2042" customFormat="1" ht="42.75" customHeight="1" thickBot="1">
      <c r="A56" s="1633"/>
      <c r="B56" s="2214" t="s">
        <v>2299</v>
      </c>
      <c r="C56" s="53">
        <f ca="1">C29</f>
        <v>3702</v>
      </c>
      <c r="D56" s="2601"/>
      <c r="E56" s="783"/>
      <c r="F56" s="808"/>
      <c r="I56" s="3111" t="s">
        <v>2353</v>
      </c>
      <c r="J56" s="3121" t="s">
        <v>1678</v>
      </c>
      <c r="K56" s="3074" t="s">
        <v>2358</v>
      </c>
      <c r="L56" s="1891" t="str">
        <f ca="1">IF(L48&lt;J51,"——",L48-J51)</f>
        <v>——</v>
      </c>
      <c r="O56" s="2357" t="s">
        <v>2371</v>
      </c>
      <c r="P56" s="2358" t="s">
        <v>2372</v>
      </c>
      <c r="Q56" s="2359" t="s">
        <v>2373</v>
      </c>
      <c r="R56" s="2358" t="s">
        <v>2374</v>
      </c>
    </row>
    <row r="57" spans="1:18" s="2042" customFormat="1" ht="28.5" customHeight="1" thickBot="1">
      <c r="A57" s="796" t="s">
        <v>1748</v>
      </c>
      <c r="B57" s="797" t="s">
        <v>651</v>
      </c>
      <c r="C57" s="798">
        <f ca="1">ROUND(C58+C63+C64+C65,0)</f>
        <v>0</v>
      </c>
      <c r="D57" s="26" t="s">
        <v>1750</v>
      </c>
      <c r="E57" s="2602"/>
      <c r="F57" s="56"/>
      <c r="I57" s="3112" t="s">
        <v>2354</v>
      </c>
      <c r="J57" s="3113" t="str">
        <f ca="1">IF(OR(M47="住宅",J51&lt;L48,J56="是"),"——",J51-L48)</f>
        <v>——</v>
      </c>
      <c r="K57" s="3074" t="s">
        <v>2359</v>
      </c>
      <c r="L57" s="1891" t="str">
        <f ca="1">IF(L48&lt;J51,"——",IF(L55="比较法",L49,IF(L55="基准地价",L50,L51)))</f>
        <v>——</v>
      </c>
      <c r="O57" s="2360" t="s">
        <v>2375</v>
      </c>
      <c r="P57" s="2361" t="s">
        <v>2405</v>
      </c>
      <c r="Q57" s="2362">
        <f ca="1">C40+J29</f>
        <v>0</v>
      </c>
      <c r="R57" s="2361" t="s">
        <v>2376</v>
      </c>
    </row>
    <row r="58" spans="1:18" s="2042" customFormat="1" ht="28.5" customHeight="1" thickBot="1">
      <c r="A58" s="1632" t="s">
        <v>1824</v>
      </c>
      <c r="B58" s="783" t="s">
        <v>656</v>
      </c>
      <c r="C58" s="53">
        <f ca="1">ROUND(IF(项目基本情况!B11="自然人",C47*F58,C59+C60+C61),1)</f>
        <v>0.2</v>
      </c>
      <c r="D58" s="2600" t="s">
        <v>657</v>
      </c>
      <c r="E58" s="2601" t="s">
        <v>690</v>
      </c>
      <c r="F58" s="809" t="str">
        <f ca="1">IF(项目基本情况!B11="企业","",IF(INDIRECT("'数据-取费表'!c"&amp;$G$1)="住宅",5%,IF(F48*F49*F50/12/(1+'数据-取费表'!C42)&gt;20000,12%,7%)))</f>
        <v/>
      </c>
      <c r="I58" s="3112" t="s">
        <v>2355</v>
      </c>
      <c r="J58" s="3050" t="e">
        <f ca="1">IF(J55&lt;0.4,0.4,J55)</f>
        <v>#VALUE!</v>
      </c>
      <c r="K58" s="3074" t="s">
        <v>2360</v>
      </c>
      <c r="L58" s="1891" t="e">
        <f ca="1">ROUND(POWER(1+L52,L47-L48)*(POWER(1+L52,L48)-1)/(POWER(1+L52,L47)-1),4)</f>
        <v>#DIV/0!</v>
      </c>
      <c r="O58" s="2360" t="s">
        <v>2377</v>
      </c>
      <c r="P58" s="2361" t="s">
        <v>2408</v>
      </c>
      <c r="Q58" s="2362">
        <f ca="1">L60</f>
        <v>0</v>
      </c>
      <c r="R58" s="2365" t="s">
        <v>2410</v>
      </c>
    </row>
    <row r="59" spans="1:18" s="2042" customFormat="1" ht="28.5" customHeight="1" thickBot="1">
      <c r="A59" s="1631" t="s">
        <v>1831</v>
      </c>
      <c r="B59" s="783" t="s">
        <v>660</v>
      </c>
      <c r="C59" s="53">
        <f ca="1">ROUND(C47*F59/1.05,1)</f>
        <v>0</v>
      </c>
      <c r="D59" s="2601" t="s">
        <v>1756</v>
      </c>
      <c r="E59" s="783" t="s">
        <v>1747</v>
      </c>
      <c r="F59" s="808">
        <f t="shared" ref="F59:F65" si="0">F32</f>
        <v>5.5000000000000007E-2</v>
      </c>
      <c r="I59" s="3112" t="s">
        <v>2356</v>
      </c>
      <c r="J59" s="3113" t="str">
        <f ca="1">IF(OR(M47="住宅",J51&lt;L48,J56="是"),"——",ROUND(C29*J58,0))</f>
        <v>——</v>
      </c>
      <c r="K59" s="3074"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2379</v>
      </c>
      <c r="P59" s="2361" t="s">
        <v>2409</v>
      </c>
      <c r="Q59" s="2362">
        <f>IF(L55="比较法",L49,IF(L55="基准地价",L50,0))</f>
        <v>0</v>
      </c>
      <c r="R59" s="2361" t="s">
        <v>2376</v>
      </c>
    </row>
    <row r="60" spans="1:18" s="2042" customFormat="1" ht="18" customHeight="1" thickBot="1">
      <c r="A60" s="1631" t="s">
        <v>1832</v>
      </c>
      <c r="B60" s="783" t="s">
        <v>1758</v>
      </c>
      <c r="C60" s="53">
        <f ca="1">IF(D60="按租金收入计税",ROUND(C47*F60,1),IF(D60="按房产原值计税",ROUND(C56*F60*0.7,1),INDIRECT("'数据-取费表'!Aj"&amp;$G$1)))</f>
        <v>0</v>
      </c>
      <c r="D60" s="2601" t="str">
        <f>D33</f>
        <v>按租金收入计税</v>
      </c>
      <c r="E60" s="783" t="s">
        <v>1747</v>
      </c>
      <c r="F60" s="808">
        <f t="shared" si="0"/>
        <v>0.12</v>
      </c>
      <c r="I60" s="3114" t="s">
        <v>2357</v>
      </c>
      <c r="J60" s="3115" t="str">
        <f ca="1">IF(OR(M47="住宅",J51&lt;L48,J56="是"),"0",ROUND(J59/(1+J52)^J53,0))</f>
        <v>0</v>
      </c>
      <c r="K60" s="3116" t="s">
        <v>2362</v>
      </c>
      <c r="L60" s="3115">
        <f ca="1">IF(OR(M47="住宅",L48&lt;J51),0,ROUND(L57*(L58/L59-1),0))</f>
        <v>0</v>
      </c>
      <c r="O60" s="2363" t="s">
        <v>2380</v>
      </c>
      <c r="P60" s="2361" t="s">
        <v>2389</v>
      </c>
      <c r="Q60" s="2364">
        <f>L52</f>
        <v>0</v>
      </c>
      <c r="R60" s="2365"/>
    </row>
    <row r="61" spans="1:18" s="2042" customFormat="1" ht="18" customHeight="1" thickBot="1">
      <c r="A61" s="1634" t="s">
        <v>1833</v>
      </c>
      <c r="B61" s="340" t="s">
        <v>668</v>
      </c>
      <c r="C61" s="54">
        <f ca="1">ROUND(F61*F62/10000,1)</f>
        <v>0.2</v>
      </c>
      <c r="D61" s="813" t="s">
        <v>669</v>
      </c>
      <c r="E61" s="783" t="s">
        <v>670</v>
      </c>
      <c r="F61" s="639">
        <f t="shared" si="0"/>
        <v>1.5</v>
      </c>
      <c r="K61" s="2069"/>
      <c r="O61" s="2363" t="s">
        <v>2382</v>
      </c>
      <c r="P61" s="2361" t="s">
        <v>2390</v>
      </c>
      <c r="Q61" s="2362" t="e">
        <f ca="1">L58</f>
        <v>#DIV/0!</v>
      </c>
      <c r="R61" s="2365" t="s">
        <v>2391</v>
      </c>
    </row>
    <row r="62" spans="1:18" s="2042" customFormat="1" ht="15.75" thickBot="1">
      <c r="A62" s="814"/>
      <c r="B62" s="792"/>
      <c r="C62" s="69"/>
      <c r="D62" s="815"/>
      <c r="E62" s="783" t="s">
        <v>674</v>
      </c>
      <c r="F62" s="784">
        <f t="shared" ca="1" si="0"/>
        <v>1611.07</v>
      </c>
      <c r="I62" s="3117" t="s">
        <v>2363</v>
      </c>
      <c r="J62" s="3118" t="s">
        <v>2364</v>
      </c>
      <c r="K62" s="3118" t="s">
        <v>2365</v>
      </c>
      <c r="L62" s="3118" t="s">
        <v>2346</v>
      </c>
      <c r="M62" s="3119" t="s">
        <v>2935</v>
      </c>
      <c r="O62" s="2363" t="s">
        <v>2384</v>
      </c>
      <c r="P62" s="2361" t="str">
        <f>K59</f>
        <v>建筑物剩余耐用年限下的土地年期修正系数Kn</v>
      </c>
      <c r="Q62" s="2362" t="e">
        <f ca="1">L59</f>
        <v>#DIV/0!</v>
      </c>
      <c r="R62" s="2365" t="s">
        <v>2393</v>
      </c>
    </row>
    <row r="63" spans="1:18" s="2042" customFormat="1" ht="15.75" thickBot="1">
      <c r="A63" s="1632" t="s">
        <v>1889</v>
      </c>
      <c r="B63" s="783" t="s">
        <v>676</v>
      </c>
      <c r="C63" s="53">
        <f ca="1">ROUND(C56*F63,1)</f>
        <v>0</v>
      </c>
      <c r="D63" s="2601" t="s">
        <v>1803</v>
      </c>
      <c r="E63" s="783" t="s">
        <v>1747</v>
      </c>
      <c r="F63" s="816">
        <f t="shared" ca="1" si="0"/>
        <v>0</v>
      </c>
      <c r="I63" s="3117" t="s">
        <v>2366</v>
      </c>
      <c r="J63" s="3118">
        <v>70</v>
      </c>
      <c r="K63" s="3118">
        <v>50</v>
      </c>
      <c r="L63" s="3118">
        <v>80</v>
      </c>
      <c r="M63" s="3120">
        <v>0.02</v>
      </c>
      <c r="O63" s="2360" t="s">
        <v>2387</v>
      </c>
      <c r="P63" s="2361" t="s">
        <v>2404</v>
      </c>
      <c r="Q63" s="2362">
        <f ca="1">Q57+Q58</f>
        <v>0</v>
      </c>
      <c r="R63" s="2365" t="s">
        <v>2388</v>
      </c>
    </row>
    <row r="64" spans="1:18" s="2042" customFormat="1" ht="16.5" thickBot="1">
      <c r="A64" s="1632" t="s">
        <v>1890</v>
      </c>
      <c r="B64" s="783" t="s">
        <v>679</v>
      </c>
      <c r="C64" s="53">
        <f ca="1">ROUND(C55*F64,1)</f>
        <v>0</v>
      </c>
      <c r="D64" s="2601" t="s">
        <v>680</v>
      </c>
      <c r="E64" s="783" t="s">
        <v>1747</v>
      </c>
      <c r="F64" s="817">
        <f t="shared" ca="1" si="0"/>
        <v>0</v>
      </c>
      <c r="I64" s="3117" t="s">
        <v>2367</v>
      </c>
      <c r="J64" s="3118">
        <v>50</v>
      </c>
      <c r="K64" s="3118">
        <v>35</v>
      </c>
      <c r="L64" s="3118">
        <v>60</v>
      </c>
      <c r="M64" s="845">
        <v>0</v>
      </c>
      <c r="O64" s="2366" t="s">
        <v>2411</v>
      </c>
      <c r="P64" s="1576"/>
      <c r="Q64" s="1587"/>
      <c r="R64" s="1576"/>
    </row>
    <row r="65" spans="1:18" s="2042" customFormat="1" ht="15.75" thickBot="1">
      <c r="A65" s="1632" t="s">
        <v>1891</v>
      </c>
      <c r="B65" s="783" t="s">
        <v>666</v>
      </c>
      <c r="C65" s="53">
        <f ca="1">ROUND(C47*F65,1)</f>
        <v>0</v>
      </c>
      <c r="D65" s="2601" t="s">
        <v>683</v>
      </c>
      <c r="E65" s="783" t="s">
        <v>1747</v>
      </c>
      <c r="F65" s="793">
        <f t="shared" ca="1" si="0"/>
        <v>0</v>
      </c>
      <c r="I65" s="3117" t="s">
        <v>2368</v>
      </c>
      <c r="J65" s="3118">
        <v>40</v>
      </c>
      <c r="K65" s="3118">
        <v>30</v>
      </c>
      <c r="L65" s="3118">
        <v>50</v>
      </c>
      <c r="M65" s="3120">
        <v>0.02</v>
      </c>
      <c r="O65" s="2357" t="s">
        <v>2371</v>
      </c>
      <c r="P65" s="2358" t="s">
        <v>2372</v>
      </c>
      <c r="Q65" s="2359" t="s">
        <v>2373</v>
      </c>
      <c r="R65" s="2358" t="s">
        <v>2374</v>
      </c>
    </row>
    <row r="66" spans="1:18" s="2042" customFormat="1" ht="24.75" thickBot="1">
      <c r="A66" s="796" t="s">
        <v>1776</v>
      </c>
      <c r="B66" s="2961" t="s">
        <v>2816</v>
      </c>
      <c r="C66" s="798">
        <f ca="1">C47-C57</f>
        <v>0</v>
      </c>
      <c r="D66" s="2600" t="s">
        <v>700</v>
      </c>
      <c r="E66" s="2599"/>
      <c r="F66" s="819"/>
      <c r="K66" s="2069"/>
      <c r="O66" s="2360" t="s">
        <v>2375</v>
      </c>
      <c r="P66" s="2361" t="s">
        <v>2405</v>
      </c>
      <c r="Q66" s="2362">
        <f ca="1">C40+J29</f>
        <v>0</v>
      </c>
      <c r="R66" s="2361" t="s">
        <v>2376</v>
      </c>
    </row>
    <row r="67" spans="1:18" s="2042" customFormat="1" ht="20.25" thickBot="1">
      <c r="A67" s="780" t="s">
        <v>1780</v>
      </c>
      <c r="B67" s="2215" t="s">
        <v>2298</v>
      </c>
      <c r="C67" s="782">
        <f ca="1">ROUND(C66*(1-((1+F69)/(1+F67))^F68)/(F67-F69),0)</f>
        <v>0</v>
      </c>
      <c r="D67" s="813" t="s">
        <v>704</v>
      </c>
      <c r="E67" s="783" t="s">
        <v>705</v>
      </c>
      <c r="F67" s="793">
        <f ca="1">F40</f>
        <v>0.05</v>
      </c>
      <c r="K67" s="2069"/>
      <c r="O67" s="2360" t="s">
        <v>2377</v>
      </c>
      <c r="P67" s="2361" t="s">
        <v>2408</v>
      </c>
      <c r="Q67" s="2362">
        <f ca="1">L60</f>
        <v>0</v>
      </c>
      <c r="R67" s="2365" t="s">
        <v>2410</v>
      </c>
    </row>
    <row r="68" spans="1:18" ht="21.75" thickBot="1">
      <c r="A68" s="785"/>
      <c r="B68" s="786"/>
      <c r="C68" s="787"/>
      <c r="D68" s="820" t="s">
        <v>1808</v>
      </c>
      <c r="E68" s="783" t="s">
        <v>1784</v>
      </c>
      <c r="F68" s="821">
        <f ca="1">F41</f>
        <v>0</v>
      </c>
      <c r="O68" s="2363" t="s">
        <v>2379</v>
      </c>
      <c r="P68" s="2361" t="s">
        <v>2409</v>
      </c>
      <c r="Q68" s="2367">
        <f ca="1">L51</f>
        <v>-6203</v>
      </c>
      <c r="R68" s="2368" t="s">
        <v>2412</v>
      </c>
    </row>
    <row r="69" spans="1:18" ht="20.25" thickBot="1">
      <c r="A69" s="789"/>
      <c r="B69" s="790"/>
      <c r="C69" s="791"/>
      <c r="D69" s="815"/>
      <c r="E69" s="783" t="s">
        <v>710</v>
      </c>
      <c r="F69" s="2333"/>
      <c r="O69" s="2363" t="s">
        <v>2380</v>
      </c>
      <c r="P69" s="2369" t="s">
        <v>2394</v>
      </c>
      <c r="Q69" s="2362">
        <f ca="1">ROUND(Q70-Q71*Q72,0)</f>
        <v>-315</v>
      </c>
      <c r="R69" s="2365"/>
    </row>
    <row r="70" spans="1:18" ht="15.75" thickBot="1">
      <c r="A70" s="822" t="s">
        <v>1787</v>
      </c>
      <c r="B70" s="823" t="s">
        <v>1810</v>
      </c>
      <c r="C70" s="824">
        <f ca="1">ROUND(C67*10000/F70,0)</f>
        <v>0</v>
      </c>
      <c r="D70" s="825" t="s">
        <v>1811</v>
      </c>
      <c r="E70" s="826" t="s">
        <v>1812</v>
      </c>
      <c r="F70" s="827">
        <f ca="1">F43</f>
        <v>5572.52</v>
      </c>
      <c r="O70" s="2363" t="s">
        <v>2395</v>
      </c>
      <c r="P70" s="2369" t="s">
        <v>2396</v>
      </c>
      <c r="Q70" s="2362">
        <f ca="1">C39</f>
        <v>0</v>
      </c>
      <c r="R70" s="2361" t="s">
        <v>2376</v>
      </c>
    </row>
    <row r="71" spans="1:18" ht="15.75" thickBot="1">
      <c r="O71" s="2363" t="s">
        <v>2397</v>
      </c>
      <c r="P71" s="2369" t="s">
        <v>2398</v>
      </c>
      <c r="Q71" s="2362">
        <f ca="1">C13</f>
        <v>3702</v>
      </c>
      <c r="R71" s="2361" t="s">
        <v>2376</v>
      </c>
    </row>
    <row r="72" spans="1:18" ht="15.75" thickBot="1">
      <c r="O72" s="2363" t="s">
        <v>2399</v>
      </c>
      <c r="P72" s="2369" t="s">
        <v>2400</v>
      </c>
      <c r="Q72" s="2364">
        <f ca="1">J36</f>
        <v>8.5000000000000006E-2</v>
      </c>
      <c r="R72" s="2365"/>
    </row>
    <row r="73" spans="1:18" ht="15.75" thickBot="1">
      <c r="O73" s="2363" t="s">
        <v>2382</v>
      </c>
      <c r="P73" s="2361" t="s">
        <v>2389</v>
      </c>
      <c r="Q73" s="2364">
        <f>L52</f>
        <v>0</v>
      </c>
      <c r="R73" s="2365"/>
    </row>
    <row r="74" spans="1:18" ht="20.25" thickBot="1">
      <c r="O74" s="2363" t="s">
        <v>2384</v>
      </c>
      <c r="P74" s="2361" t="s">
        <v>2390</v>
      </c>
      <c r="Q74" s="2362" t="e">
        <f ca="1">L58</f>
        <v>#DIV/0!</v>
      </c>
      <c r="R74" s="2365" t="s">
        <v>2391</v>
      </c>
    </row>
    <row r="75" spans="1:18" ht="15.75" thickBot="1">
      <c r="O75" s="2363" t="s">
        <v>2413</v>
      </c>
      <c r="P75" s="2361" t="str">
        <f>K59</f>
        <v>建筑物剩余耐用年限下的土地年期修正系数Kn</v>
      </c>
      <c r="Q75" s="2362" t="e">
        <f ca="1">L59</f>
        <v>#DIV/0!</v>
      </c>
      <c r="R75" s="2365" t="s">
        <v>2393</v>
      </c>
    </row>
    <row r="76" spans="1:18" ht="15.75" thickBot="1">
      <c r="O76" s="2360" t="s">
        <v>2387</v>
      </c>
      <c r="P76" s="2361" t="s">
        <v>2404</v>
      </c>
      <c r="Q76" s="2362">
        <f ca="1">Q66+Q67</f>
        <v>0</v>
      </c>
      <c r="R76" s="2365" t="s">
        <v>2388</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88" t="s">
        <v>2467</v>
      </c>
      <c r="B1" s="3489"/>
      <c r="C1" s="3490"/>
      <c r="D1" s="3491">
        <f>SUM(I10,I15,I20,I21,I23)</f>
        <v>0</v>
      </c>
      <c r="E1" s="3491"/>
      <c r="F1" s="3491"/>
      <c r="G1" s="3491"/>
      <c r="H1" s="3491"/>
      <c r="I1" s="3492"/>
    </row>
    <row r="2" spans="1:9">
      <c r="A2" s="3493" t="s">
        <v>2468</v>
      </c>
      <c r="B2" s="3494" t="s">
        <v>2469</v>
      </c>
      <c r="C2" s="3494"/>
      <c r="D2" s="2469" t="s">
        <v>2470</v>
      </c>
      <c r="E2" s="2469" t="s">
        <v>2471</v>
      </c>
      <c r="F2" s="2469" t="s">
        <v>2472</v>
      </c>
      <c r="G2" s="2469" t="s">
        <v>2473</v>
      </c>
      <c r="H2" s="2469" t="s">
        <v>2474</v>
      </c>
      <c r="I2" s="2470" t="s">
        <v>2475</v>
      </c>
    </row>
    <row r="3" spans="1:9">
      <c r="A3" s="3493"/>
      <c r="B3" s="3494" t="s">
        <v>2476</v>
      </c>
      <c r="C3" s="3494"/>
      <c r="D3" s="2471"/>
      <c r="E3" s="2469"/>
      <c r="F3" s="2472"/>
      <c r="G3" s="2472"/>
      <c r="H3" s="2473"/>
      <c r="I3" s="2474">
        <f>ROUND(D3*E3*F3*G3*H3/10000,0)</f>
        <v>0</v>
      </c>
    </row>
    <row r="4" spans="1:9">
      <c r="A4" s="3493"/>
      <c r="B4" s="3494" t="s">
        <v>2477</v>
      </c>
      <c r="C4" s="3494"/>
      <c r="D4" s="2471"/>
      <c r="E4" s="2469"/>
      <c r="F4" s="2472"/>
      <c r="G4" s="2472"/>
      <c r="H4" s="2473"/>
      <c r="I4" s="2474">
        <f t="shared" ref="I4:I9" si="0">ROUND(D4*E4*F4*G4*H4/10000,0)</f>
        <v>0</v>
      </c>
    </row>
    <row r="5" spans="1:9">
      <c r="A5" s="3493"/>
      <c r="B5" s="3494" t="s">
        <v>2478</v>
      </c>
      <c r="C5" s="3494"/>
      <c r="D5" s="2471"/>
      <c r="E5" s="2469"/>
      <c r="F5" s="2472"/>
      <c r="G5" s="2472"/>
      <c r="H5" s="2473"/>
      <c r="I5" s="2474">
        <f t="shared" si="0"/>
        <v>0</v>
      </c>
    </row>
    <row r="6" spans="1:9">
      <c r="A6" s="3493"/>
      <c r="B6" s="3494" t="s">
        <v>2479</v>
      </c>
      <c r="C6" s="3494"/>
      <c r="D6" s="2471"/>
      <c r="E6" s="2469"/>
      <c r="F6" s="2472"/>
      <c r="G6" s="2472"/>
      <c r="H6" s="2473"/>
      <c r="I6" s="2474">
        <f t="shared" si="0"/>
        <v>0</v>
      </c>
    </row>
    <row r="7" spans="1:9">
      <c r="A7" s="3493"/>
      <c r="B7" s="3494" t="s">
        <v>2480</v>
      </c>
      <c r="C7" s="3494"/>
      <c r="D7" s="2471"/>
      <c r="E7" s="2469"/>
      <c r="F7" s="2472"/>
      <c r="G7" s="2472"/>
      <c r="H7" s="2473"/>
      <c r="I7" s="2474">
        <f t="shared" si="0"/>
        <v>0</v>
      </c>
    </row>
    <row r="8" spans="1:9">
      <c r="A8" s="3493"/>
      <c r="B8" s="3494" t="s">
        <v>2481</v>
      </c>
      <c r="C8" s="3494"/>
      <c r="D8" s="2471"/>
      <c r="E8" s="2469"/>
      <c r="F8" s="2472"/>
      <c r="G8" s="2472"/>
      <c r="H8" s="2473"/>
      <c r="I8" s="2474">
        <f t="shared" si="0"/>
        <v>0</v>
      </c>
    </row>
    <row r="9" spans="1:9">
      <c r="A9" s="3493"/>
      <c r="B9" s="3494" t="s">
        <v>2482</v>
      </c>
      <c r="C9" s="3494"/>
      <c r="D9" s="2471"/>
      <c r="E9" s="2469"/>
      <c r="F9" s="2472"/>
      <c r="G9" s="2472"/>
      <c r="H9" s="2473"/>
      <c r="I9" s="2474">
        <f t="shared" si="0"/>
        <v>0</v>
      </c>
    </row>
    <row r="10" spans="1:9">
      <c r="A10" s="3493"/>
      <c r="B10" s="3495" t="s">
        <v>2483</v>
      </c>
      <c r="C10" s="3495"/>
      <c r="D10" s="2475">
        <v>527</v>
      </c>
      <c r="E10" s="2475" t="e">
        <f>ROUND(D1*10000/D10/H9,0)</f>
        <v>#DIV/0!</v>
      </c>
      <c r="F10" s="2476"/>
      <c r="G10" s="2476"/>
      <c r="H10" s="2477"/>
      <c r="I10" s="2478">
        <f>SUM(I3:I9)</f>
        <v>0</v>
      </c>
    </row>
    <row r="11" spans="1:9" ht="14.25">
      <c r="A11" s="3493" t="s">
        <v>2484</v>
      </c>
      <c r="B11" s="3494" t="s">
        <v>2485</v>
      </c>
      <c r="C11" s="3494"/>
      <c r="D11" s="2471" t="s">
        <v>2486</v>
      </c>
      <c r="E11" s="2471" t="s">
        <v>2487</v>
      </c>
      <c r="F11" s="2472" t="s">
        <v>2488</v>
      </c>
      <c r="G11" s="2472" t="s">
        <v>2489</v>
      </c>
      <c r="H11" s="2479" t="s">
        <v>2490</v>
      </c>
      <c r="I11" s="2470" t="s">
        <v>2491</v>
      </c>
    </row>
    <row r="12" spans="1:9">
      <c r="A12" s="3493"/>
      <c r="B12" s="3494" t="s">
        <v>2492</v>
      </c>
      <c r="C12" s="3494"/>
      <c r="D12" s="2471"/>
      <c r="E12" s="2471"/>
      <c r="F12" s="2472"/>
      <c r="G12" s="2473"/>
      <c r="H12" s="2480"/>
      <c r="I12" s="2470">
        <f>ROUND(D12*E12*F12*G12/10000,0)</f>
        <v>0</v>
      </c>
    </row>
    <row r="13" spans="1:9">
      <c r="A13" s="3493"/>
      <c r="B13" s="3494" t="s">
        <v>2493</v>
      </c>
      <c r="C13" s="3494"/>
      <c r="D13" s="2471"/>
      <c r="E13" s="2471"/>
      <c r="F13" s="2472"/>
      <c r="G13" s="2473"/>
      <c r="H13" s="2480"/>
      <c r="I13" s="2470">
        <f>ROUND(D13*E13*F13*G13/10000,0)</f>
        <v>0</v>
      </c>
    </row>
    <row r="14" spans="1:9">
      <c r="A14" s="3493"/>
      <c r="B14" s="3494" t="s">
        <v>2494</v>
      </c>
      <c r="C14" s="3494"/>
      <c r="D14" s="2471"/>
      <c r="E14" s="2471"/>
      <c r="F14" s="2472"/>
      <c r="G14" s="2473"/>
      <c r="H14" s="2480"/>
      <c r="I14" s="2470">
        <f>ROUND(D14*E14*F14*G14/10000,0)</f>
        <v>0</v>
      </c>
    </row>
    <row r="15" spans="1:9">
      <c r="A15" s="3493"/>
      <c r="B15" s="3495" t="s">
        <v>2483</v>
      </c>
      <c r="C15" s="3495"/>
      <c r="D15" s="2475"/>
      <c r="E15" s="2475">
        <f>SUM(E12:E14)</f>
        <v>0</v>
      </c>
      <c r="F15" s="2476"/>
      <c r="G15" s="2473"/>
      <c r="H15" s="2480"/>
      <c r="I15" s="2481">
        <f>SUM(I12:I14)</f>
        <v>0</v>
      </c>
    </row>
    <row r="16" spans="1:9" ht="24">
      <c r="A16" s="3493" t="s">
        <v>2495</v>
      </c>
      <c r="B16" s="3494" t="s">
        <v>2496</v>
      </c>
      <c r="C16" s="3494"/>
      <c r="D16" s="2471" t="s">
        <v>2497</v>
      </c>
      <c r="E16" s="2482" t="s">
        <v>2498</v>
      </c>
      <c r="F16" s="2472" t="s">
        <v>2499</v>
      </c>
      <c r="G16" s="2473" t="s">
        <v>2489</v>
      </c>
      <c r="H16" s="2479" t="s">
        <v>2490</v>
      </c>
      <c r="I16" s="2470" t="s">
        <v>2491</v>
      </c>
    </row>
    <row r="17" spans="1:9" ht="14.25">
      <c r="A17" s="3493"/>
      <c r="B17" s="3494" t="s">
        <v>2500</v>
      </c>
      <c r="C17" s="3494"/>
      <c r="D17" s="2471"/>
      <c r="E17" s="2471"/>
      <c r="F17" s="2472"/>
      <c r="G17" s="2473"/>
      <c r="H17" s="2483"/>
      <c r="I17" s="2484">
        <f>ROUND(D17*E17*F17*G17/10000,0)</f>
        <v>0</v>
      </c>
    </row>
    <row r="18" spans="1:9" ht="14.25">
      <c r="A18" s="3493"/>
      <c r="B18" s="3494" t="s">
        <v>2501</v>
      </c>
      <c r="C18" s="3494"/>
      <c r="D18" s="2471"/>
      <c r="E18" s="2471"/>
      <c r="F18" s="2472"/>
      <c r="G18" s="2473"/>
      <c r="H18" s="2483"/>
      <c r="I18" s="2484">
        <f>ROUND(D18*E18*F18*G18/10000,0)</f>
        <v>0</v>
      </c>
    </row>
    <row r="19" spans="1:9" ht="14.25">
      <c r="A19" s="3493"/>
      <c r="B19" s="3494" t="s">
        <v>2502</v>
      </c>
      <c r="C19" s="3494"/>
      <c r="D19" s="2471"/>
      <c r="E19" s="2471"/>
      <c r="F19" s="2472"/>
      <c r="G19" s="2473"/>
      <c r="H19" s="2483"/>
      <c r="I19" s="2484">
        <f>ROUND(D19*E19*F19*G19/10000,0)</f>
        <v>0</v>
      </c>
    </row>
    <row r="20" spans="1:9">
      <c r="A20" s="3493"/>
      <c r="B20" s="3495" t="s">
        <v>2483</v>
      </c>
      <c r="C20" s="3495"/>
      <c r="D20" s="2475">
        <f>SUM(D17:D19)</f>
        <v>0</v>
      </c>
      <c r="E20" s="2475"/>
      <c r="F20" s="2476"/>
      <c r="G20" s="2473"/>
      <c r="H20" s="2480"/>
      <c r="I20" s="2481">
        <f>SUM(I17:I19)</f>
        <v>0</v>
      </c>
    </row>
    <row r="21" spans="1:9">
      <c r="A21" s="3493" t="s">
        <v>2503</v>
      </c>
      <c r="B21" s="3497"/>
      <c r="C21" s="3497"/>
      <c r="D21" s="3497"/>
      <c r="E21" s="3497"/>
      <c r="F21" s="3497"/>
      <c r="G21" s="3497"/>
      <c r="H21" s="2485">
        <v>0.1</v>
      </c>
      <c r="I21" s="2478">
        <f>ROUND(I10*H21,0)</f>
        <v>0</v>
      </c>
    </row>
    <row r="22" spans="1:9" ht="14.25">
      <c r="A22" s="3498" t="s">
        <v>2504</v>
      </c>
      <c r="B22" s="3499"/>
      <c r="C22" s="3500"/>
      <c r="D22" s="2486" t="s">
        <v>2505</v>
      </c>
      <c r="E22" s="2486" t="s">
        <v>2506</v>
      </c>
      <c r="F22" s="2487" t="s">
        <v>2507</v>
      </c>
      <c r="G22" s="2487" t="s">
        <v>2508</v>
      </c>
      <c r="H22" s="2479" t="s">
        <v>2509</v>
      </c>
      <c r="I22" s="2470" t="s">
        <v>2510</v>
      </c>
    </row>
    <row r="23" spans="1:9" ht="14.25" thickBot="1">
      <c r="A23" s="3501"/>
      <c r="B23" s="3502"/>
      <c r="C23" s="3503"/>
      <c r="D23" s="2488"/>
      <c r="E23" s="2488"/>
      <c r="F23" s="2488"/>
      <c r="G23" s="2489"/>
      <c r="H23" s="2490"/>
      <c r="I23" s="2491">
        <f>ROUND(E23*D23*F23*(1-G23)/10000,0)</f>
        <v>0</v>
      </c>
    </row>
    <row r="26" spans="1:9">
      <c r="A26" s="2492" t="s">
        <v>2511</v>
      </c>
      <c r="B26" s="2492"/>
      <c r="C26" s="2492"/>
      <c r="D26" s="2492"/>
      <c r="E26" s="3504">
        <f>C27-C30-C31-C32</f>
        <v>0</v>
      </c>
      <c r="F26" s="3504"/>
      <c r="G26" s="3504"/>
      <c r="H26" s="2991" t="s">
        <v>2837</v>
      </c>
    </row>
    <row r="27" spans="1:9">
      <c r="A27" s="2493">
        <v>1</v>
      </c>
      <c r="B27" s="2494" t="s">
        <v>2512</v>
      </c>
      <c r="C27" s="2494"/>
      <c r="D27" s="2494"/>
      <c r="E27" s="3505"/>
      <c r="F27" s="3505"/>
      <c r="G27" s="3505"/>
    </row>
    <row r="28" spans="1:9">
      <c r="A28" s="2495" t="s">
        <v>2513</v>
      </c>
      <c r="B28" s="2494" t="s">
        <v>2514</v>
      </c>
      <c r="C28" s="2494"/>
      <c r="D28" s="2494"/>
      <c r="E28" s="3505"/>
      <c r="F28" s="3505"/>
      <c r="G28" s="3505"/>
    </row>
    <row r="29" spans="1:9">
      <c r="A29" s="2495" t="s">
        <v>2515</v>
      </c>
      <c r="B29" s="2494" t="s">
        <v>2456</v>
      </c>
      <c r="C29" s="2494"/>
      <c r="D29" s="2494"/>
      <c r="E29" s="2494" t="s">
        <v>2516</v>
      </c>
      <c r="F29" s="2494"/>
      <c r="G29" s="2494"/>
    </row>
    <row r="30" spans="1:9">
      <c r="A30" s="2493">
        <v>2</v>
      </c>
      <c r="B30" s="2494" t="s">
        <v>2517</v>
      </c>
      <c r="C30" s="2494">
        <f>C27*D30</f>
        <v>0</v>
      </c>
      <c r="D30" s="2496">
        <v>0.2</v>
      </c>
      <c r="E30" s="2494" t="s">
        <v>2518</v>
      </c>
      <c r="F30" s="2494"/>
      <c r="G30" s="2494"/>
    </row>
    <row r="31" spans="1:9">
      <c r="A31" s="2493">
        <v>3</v>
      </c>
      <c r="B31" s="2494" t="s">
        <v>2519</v>
      </c>
      <c r="C31" s="2494">
        <f>C25*D31</f>
        <v>0</v>
      </c>
      <c r="D31" s="2496">
        <v>0.15</v>
      </c>
      <c r="E31" s="2494" t="s">
        <v>2520</v>
      </c>
      <c r="F31" s="2494"/>
      <c r="G31" s="2494"/>
    </row>
    <row r="32" spans="1:9">
      <c r="A32" s="2493">
        <v>4</v>
      </c>
      <c r="B32" s="2494" t="s">
        <v>2521</v>
      </c>
      <c r="C32" s="2494">
        <f>C27*D32</f>
        <v>0</v>
      </c>
      <c r="D32" s="2496">
        <v>0.05</v>
      </c>
      <c r="E32" s="3496"/>
      <c r="F32" s="3496"/>
      <c r="G32" s="3496"/>
    </row>
    <row r="33" spans="1:7" hidden="1">
      <c r="A33" s="3506" t="s">
        <v>2522</v>
      </c>
      <c r="B33" s="3507"/>
      <c r="C33" s="3507"/>
      <c r="D33" s="3508"/>
      <c r="E33" s="3504"/>
      <c r="F33" s="3504"/>
      <c r="G33" s="3504"/>
    </row>
    <row r="34" spans="1:7" hidden="1">
      <c r="A34" s="2497">
        <v>1</v>
      </c>
      <c r="B34" s="2494" t="s">
        <v>2523</v>
      </c>
      <c r="C34" s="2494"/>
      <c r="D34" s="2494"/>
      <c r="E34" s="3505"/>
      <c r="F34" s="3505"/>
      <c r="G34" s="3505"/>
    </row>
    <row r="35" spans="1:7" hidden="1">
      <c r="A35" s="2497">
        <v>2</v>
      </c>
      <c r="B35" s="2494" t="s">
        <v>2524</v>
      </c>
      <c r="C35" s="2494"/>
      <c r="D35" s="2494"/>
      <c r="E35" s="3505"/>
      <c r="F35" s="3505"/>
      <c r="G35" s="3505"/>
    </row>
    <row r="36" spans="1:7" hidden="1">
      <c r="A36" s="2497">
        <v>3</v>
      </c>
      <c r="B36" s="2494" t="s">
        <v>2525</v>
      </c>
      <c r="C36" s="2494"/>
      <c r="D36" s="2494"/>
      <c r="E36" s="3505"/>
      <c r="F36" s="3505"/>
      <c r="G36" s="3505"/>
    </row>
    <row r="37" spans="1:7" hidden="1">
      <c r="A37" s="2497">
        <v>4</v>
      </c>
      <c r="B37" s="2494" t="s">
        <v>2526</v>
      </c>
      <c r="C37" s="2494"/>
      <c r="D37" s="2494"/>
      <c r="E37" s="3505"/>
      <c r="F37" s="3505"/>
      <c r="G37" s="3505"/>
    </row>
    <row r="38" spans="1:7" hidden="1">
      <c r="A38" s="3506" t="s">
        <v>2527</v>
      </c>
      <c r="B38" s="3507"/>
      <c r="C38" s="3507"/>
      <c r="D38" s="3508"/>
      <c r="E38" s="3504"/>
      <c r="F38" s="3504"/>
      <c r="G38" s="35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1685</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2436</v>
      </c>
      <c r="B8" s="2434" t="s">
        <v>2438</v>
      </c>
      <c r="C8" s="2435"/>
      <c r="D8" s="748"/>
      <c r="E8" s="749"/>
      <c r="F8" s="749"/>
      <c r="G8" s="750"/>
    </row>
    <row r="9" spans="1:25" s="2166" customFormat="1" ht="13.5" customHeight="1">
      <c r="A9" s="2431" t="s">
        <v>2437</v>
      </c>
      <c r="B9" s="2434" t="s">
        <v>2439</v>
      </c>
      <c r="C9" s="2435"/>
      <c r="D9" s="748"/>
      <c r="E9" s="749"/>
      <c r="F9" s="749"/>
      <c r="G9" s="750"/>
    </row>
    <row r="10" spans="1:25" s="2166" customFormat="1" ht="36">
      <c r="A10" s="2431">
        <v>2</v>
      </c>
      <c r="B10" s="747" t="s">
        <v>613</v>
      </c>
      <c r="C10" s="748">
        <f>C11+C14+C15</f>
        <v>0</v>
      </c>
      <c r="D10" s="759">
        <f>'数据-汇总表'!E3</f>
        <v>133190.67000000001</v>
      </c>
      <c r="E10" s="748">
        <f>'数据-取费表'!B31</f>
        <v>200</v>
      </c>
      <c r="F10" s="760"/>
      <c r="G10" s="758" t="s">
        <v>614</v>
      </c>
    </row>
    <row r="11" spans="1:25" s="2166" customFormat="1" ht="13.5" customHeight="1">
      <c r="A11" s="2431" t="s">
        <v>2436</v>
      </c>
      <c r="B11" s="751" t="s">
        <v>610</v>
      </c>
      <c r="C11" s="752">
        <f>'数据-取费表'!B29</f>
        <v>0</v>
      </c>
      <c r="D11" s="753"/>
      <c r="E11" s="752"/>
      <c r="F11" s="754"/>
      <c r="G11" s="2440" t="s">
        <v>2447</v>
      </c>
    </row>
    <row r="12" spans="1:25" s="2166" customFormat="1" ht="13.5" customHeight="1">
      <c r="A12" s="2438" t="s">
        <v>2444</v>
      </c>
      <c r="B12" s="755" t="s">
        <v>611</v>
      </c>
      <c r="C12" s="756">
        <f>ROUND(D12*E12/10000,0)</f>
        <v>1165</v>
      </c>
      <c r="D12" s="757">
        <f>'数据-汇总表'!E5</f>
        <v>83230.11</v>
      </c>
      <c r="E12" s="756">
        <f>'数据-取费表'!B27</f>
        <v>140</v>
      </c>
      <c r="F12" s="754"/>
      <c r="G12" s="758"/>
    </row>
    <row r="13" spans="1:25" s="2166" customFormat="1" ht="13.5" customHeight="1">
      <c r="A13" s="2438" t="s">
        <v>2443</v>
      </c>
      <c r="B13" s="755" t="s">
        <v>612</v>
      </c>
      <c r="C13" s="756">
        <f>ROUND(D13*E13/10000,0)</f>
        <v>849</v>
      </c>
      <c r="D13" s="757">
        <f>'数据-汇总表'!E6</f>
        <v>49960.560000000012</v>
      </c>
      <c r="E13" s="756">
        <f>'数据-取费表'!B28</f>
        <v>170</v>
      </c>
      <c r="F13" s="754"/>
      <c r="G13" s="758"/>
    </row>
    <row r="14" spans="1:25" s="2166" customFormat="1" ht="13.5" customHeight="1">
      <c r="A14" s="2431" t="s">
        <v>2437</v>
      </c>
      <c r="B14" s="2437" t="s">
        <v>2440</v>
      </c>
      <c r="C14" s="2435"/>
      <c r="D14" s="757"/>
      <c r="E14" s="756"/>
      <c r="F14" s="2436"/>
      <c r="G14" s="2439" t="s">
        <v>2445</v>
      </c>
    </row>
    <row r="15" spans="1:25" s="2166" customFormat="1" ht="13.5" customHeight="1">
      <c r="A15" s="2431" t="s">
        <v>2442</v>
      </c>
      <c r="B15" s="2437" t="s">
        <v>2441</v>
      </c>
      <c r="C15" s="2435"/>
      <c r="D15" s="757"/>
      <c r="E15" s="756"/>
      <c r="F15" s="2436"/>
      <c r="G15" s="2439" t="s">
        <v>2446</v>
      </c>
    </row>
    <row r="16" spans="1:25" s="2167" customFormat="1" ht="48">
      <c r="A16" s="2431">
        <v>3</v>
      </c>
      <c r="B16" s="747" t="s">
        <v>615</v>
      </c>
      <c r="C16" s="2435"/>
      <c r="D16" s="759"/>
      <c r="E16" s="748"/>
      <c r="F16" s="760"/>
      <c r="G16" s="758" t="s">
        <v>2448</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0.15</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3"/>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0.92</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K54" sqref="B53:K54"/>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2585" t="s">
        <v>719</v>
      </c>
      <c r="C1" s="2586" t="s">
        <v>720</v>
      </c>
      <c r="D1" s="2587" t="s">
        <v>3038</v>
      </c>
      <c r="E1" s="2588"/>
      <c r="F1" s="2760" t="s">
        <v>3176</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2" t="s">
        <v>467</v>
      </c>
      <c r="B2" s="2584">
        <f>ROUND(B3*D3/10000,0)</f>
        <v>365180</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8" t="s">
        <v>519</v>
      </c>
      <c r="B3" s="850">
        <f>C49</f>
        <v>43876</v>
      </c>
      <c r="C3" s="851" t="s">
        <v>722</v>
      </c>
      <c r="D3" s="850">
        <f>SUMIF('数据-汇总表'!$C19:$C33,D1,'数据-汇总表'!$E19:$E33)</f>
        <v>83230.11</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399" t="s">
        <v>522</v>
      </c>
      <c r="D4" s="3400"/>
      <c r="E4" s="3433" t="s">
        <v>523</v>
      </c>
      <c r="F4" s="3434"/>
      <c r="G4" s="3399" t="s">
        <v>524</v>
      </c>
      <c r="H4" s="3400"/>
      <c r="I4" s="3399" t="s">
        <v>525</v>
      </c>
      <c r="J4" s="3400"/>
      <c r="K4" s="852" t="s">
        <v>526</v>
      </c>
      <c r="L4" s="2116"/>
      <c r="M4" s="2117"/>
      <c r="N4" s="2117"/>
      <c r="O4" s="2117"/>
      <c r="P4" s="3401" t="s">
        <v>527</v>
      </c>
      <c r="Q4" s="3402"/>
      <c r="R4" s="3407" t="s">
        <v>523</v>
      </c>
      <c r="S4" s="3408"/>
      <c r="T4" s="3407" t="s">
        <v>524</v>
      </c>
      <c r="U4" s="3408"/>
      <c r="V4" s="3394" t="s">
        <v>525</v>
      </c>
      <c r="W4" s="3394"/>
      <c r="X4" s="1551"/>
      <c r="Y4" s="3407" t="s">
        <v>527</v>
      </c>
      <c r="Z4" s="3408"/>
      <c r="AA4" s="3396" t="s">
        <v>523</v>
      </c>
      <c r="AB4" s="3396" t="s">
        <v>524</v>
      </c>
      <c r="AC4" s="3396" t="s">
        <v>525</v>
      </c>
    </row>
    <row r="5" spans="1:29" ht="15">
      <c r="A5" s="514"/>
      <c r="B5" s="515"/>
      <c r="C5" s="3415" t="s">
        <v>2922</v>
      </c>
      <c r="D5" s="3416"/>
      <c r="E5" s="3515" t="s">
        <v>3251</v>
      </c>
      <c r="F5" s="3436"/>
      <c r="G5" s="3513" t="s">
        <v>3252</v>
      </c>
      <c r="H5" s="3416"/>
      <c r="I5" s="3513" t="s">
        <v>3254</v>
      </c>
      <c r="J5" s="3416"/>
      <c r="K5" s="853"/>
      <c r="L5" s="2116"/>
      <c r="M5" s="2117"/>
      <c r="N5" s="2117"/>
      <c r="O5" s="2117"/>
      <c r="P5" s="3403"/>
      <c r="Q5" s="3404"/>
      <c r="R5" s="3409"/>
      <c r="S5" s="3410"/>
      <c r="T5" s="3409"/>
      <c r="U5" s="3410"/>
      <c r="V5" s="3394"/>
      <c r="W5" s="3394"/>
      <c r="X5" s="1551"/>
      <c r="Y5" s="3409"/>
      <c r="Z5" s="3410"/>
      <c r="AA5" s="3397"/>
      <c r="AB5" s="3397"/>
      <c r="AC5" s="3397"/>
    </row>
    <row r="6" spans="1:29" ht="15.75" thickBot="1">
      <c r="A6" s="516"/>
      <c r="B6" s="517"/>
      <c r="C6" s="3512" t="s">
        <v>3153</v>
      </c>
      <c r="D6" s="3414"/>
      <c r="E6" s="3514" t="s">
        <v>3253</v>
      </c>
      <c r="F6" s="3432"/>
      <c r="G6" s="3512" t="s">
        <v>3151</v>
      </c>
      <c r="H6" s="3414"/>
      <c r="I6" s="3512" t="s">
        <v>3152</v>
      </c>
      <c r="J6" s="3414"/>
      <c r="K6" s="853" t="s">
        <v>528</v>
      </c>
      <c r="L6" s="2116"/>
      <c r="M6" s="2117"/>
      <c r="N6" s="2117"/>
      <c r="O6" s="2117"/>
      <c r="P6" s="3405"/>
      <c r="Q6" s="3406"/>
      <c r="R6" s="3409"/>
      <c r="S6" s="3410"/>
      <c r="T6" s="3411"/>
      <c r="U6" s="3412"/>
      <c r="V6" s="3394"/>
      <c r="W6" s="3394"/>
      <c r="X6" s="1551"/>
      <c r="Y6" s="3411"/>
      <c r="Z6" s="3412"/>
      <c r="AA6" s="3398"/>
      <c r="AB6" s="3398"/>
      <c r="AC6" s="3398"/>
    </row>
    <row r="7" spans="1:29" s="1214" customFormat="1" ht="15.75" thickBot="1">
      <c r="A7" s="2865"/>
      <c r="B7" s="2872" t="s">
        <v>529</v>
      </c>
      <c r="C7" s="518">
        <f>'数据-取费表'!B2</f>
        <v>43942</v>
      </c>
      <c r="D7" s="519">
        <v>100</v>
      </c>
      <c r="E7" s="520">
        <v>43922</v>
      </c>
      <c r="F7" s="521">
        <f>SUMIF(58:58,YEAR(E7)&amp;"-"&amp;MONTH(E7),59:59)</f>
        <v>100</v>
      </c>
      <c r="G7" s="522">
        <v>43922</v>
      </c>
      <c r="H7" s="519">
        <f>SUMIF(58:58,YEAR(G7)&amp;"-"&amp;MONTH(G7),59:59)</f>
        <v>100</v>
      </c>
      <c r="I7" s="522">
        <v>43922</v>
      </c>
      <c r="J7" s="519">
        <f>SUMIF(58:58,YEAR(I7)&amp;"-"&amp;MONTH(I7),59:59)</f>
        <v>100</v>
      </c>
      <c r="K7" s="854"/>
      <c r="L7" s="2118"/>
      <c r="M7" s="2119"/>
      <c r="N7" s="2119"/>
      <c r="O7" s="2119"/>
      <c r="P7" s="3424" t="s">
        <v>530</v>
      </c>
      <c r="Q7" s="3426"/>
      <c r="R7" s="1552" t="s">
        <v>13</v>
      </c>
      <c r="S7" s="1553">
        <f t="shared" ref="S7:S15" si="0">F7</f>
        <v>100</v>
      </c>
      <c r="T7" s="1552" t="s">
        <v>13</v>
      </c>
      <c r="U7" s="1553">
        <f t="shared" ref="U7:U15" si="1">H7</f>
        <v>100</v>
      </c>
      <c r="V7" s="1552" t="s">
        <v>13</v>
      </c>
      <c r="W7" s="1553">
        <f t="shared" ref="W7:W15" si="2">J7</f>
        <v>100</v>
      </c>
      <c r="X7" s="1554"/>
      <c r="Y7" s="3424" t="s">
        <v>530</v>
      </c>
      <c r="Z7" s="3425"/>
      <c r="AA7" s="1555">
        <f>D7/F7</f>
        <v>1</v>
      </c>
      <c r="AB7" s="1555">
        <f>D7/H7</f>
        <v>1</v>
      </c>
      <c r="AC7" s="1555">
        <f>D7/J7</f>
        <v>1</v>
      </c>
    </row>
    <row r="8" spans="1:29" s="1214" customFormat="1" ht="15.75" thickBot="1">
      <c r="A8" s="2866"/>
      <c r="B8" s="2873" t="s">
        <v>531</v>
      </c>
      <c r="C8" s="524" t="s">
        <v>576</v>
      </c>
      <c r="D8" s="519">
        <v>100</v>
      </c>
      <c r="E8" s="855" t="s">
        <v>3044</v>
      </c>
      <c r="F8" s="521">
        <f>SUMIF(61:61,E8,62:62)-SUMIF(61:61,C8,62:62)+100</f>
        <v>100</v>
      </c>
      <c r="G8" s="524" t="s">
        <v>3044</v>
      </c>
      <c r="H8" s="519">
        <f>SUMIF(61:61,G8,62:62)-SUMIF(61:61,C8,62:62)+100</f>
        <v>100</v>
      </c>
      <c r="I8" s="855" t="s">
        <v>3044</v>
      </c>
      <c r="J8" s="519">
        <f>SUMIF(61:61,I8,62:62)-SUMIF(61:61,C8,62:62)+100</f>
        <v>100</v>
      </c>
      <c r="K8" s="854"/>
      <c r="L8" s="2118"/>
      <c r="M8" s="2119"/>
      <c r="N8" s="2119"/>
      <c r="O8" s="2119"/>
      <c r="P8" s="3424" t="s">
        <v>533</v>
      </c>
      <c r="Q8" s="3425"/>
      <c r="R8" s="1552" t="s">
        <v>13</v>
      </c>
      <c r="S8" s="1553">
        <f t="shared" si="0"/>
        <v>100</v>
      </c>
      <c r="T8" s="1552" t="s">
        <v>13</v>
      </c>
      <c r="U8" s="1553">
        <f t="shared" si="1"/>
        <v>100</v>
      </c>
      <c r="V8" s="1552" t="s">
        <v>13</v>
      </c>
      <c r="W8" s="1553">
        <f t="shared" si="2"/>
        <v>100</v>
      </c>
      <c r="X8" s="1554"/>
      <c r="Y8" s="3424" t="s">
        <v>533</v>
      </c>
      <c r="Z8" s="3425"/>
      <c r="AA8" s="1555">
        <f t="shared" ref="AA8:AA46" si="3">D8/F8</f>
        <v>1</v>
      </c>
      <c r="AB8" s="1555">
        <f t="shared" ref="AB8:AB46" si="4">D8/H8</f>
        <v>1</v>
      </c>
      <c r="AC8" s="1555">
        <f t="shared" ref="AC8:AC46" si="5">D8/J8</f>
        <v>1</v>
      </c>
    </row>
    <row r="9" spans="1:29" s="1214" customFormat="1" ht="15">
      <c r="A9" s="2867"/>
      <c r="B9" s="2874" t="s">
        <v>2750</v>
      </c>
      <c r="C9" s="3196" t="s">
        <v>3154</v>
      </c>
      <c r="D9" s="253">
        <v>100</v>
      </c>
      <c r="E9" s="857" t="s">
        <v>923</v>
      </c>
      <c r="F9" s="858">
        <f>SUMIF(63:63,E9,64:64)-SUMIF(63:63,C9,64:64)+100</f>
        <v>100</v>
      </c>
      <c r="G9" s="859" t="s">
        <v>923</v>
      </c>
      <c r="H9" s="253">
        <f>SUMIF(63:63,G9,64:64)-SUMIF(63:63,C9,64:64)+100</f>
        <v>100</v>
      </c>
      <c r="I9" s="859" t="s">
        <v>923</v>
      </c>
      <c r="J9" s="253">
        <f>SUMIF(63:63,I9,64:64)-SUMIF(63:63,C9,64:64)+100</f>
        <v>100</v>
      </c>
      <c r="K9" s="854"/>
      <c r="L9" s="2118"/>
      <c r="M9" s="2119"/>
      <c r="N9" s="2119"/>
      <c r="O9" s="2120"/>
      <c r="P9" s="3393" t="s">
        <v>535</v>
      </c>
      <c r="Q9" s="1145" t="str">
        <f t="shared" ref="Q9:Q15" si="6">B9</f>
        <v>用途</v>
      </c>
      <c r="R9" s="1552" t="s">
        <v>8</v>
      </c>
      <c r="S9" s="1553">
        <f t="shared" si="0"/>
        <v>100</v>
      </c>
      <c r="T9" s="1552" t="s">
        <v>8</v>
      </c>
      <c r="U9" s="1553">
        <f t="shared" si="1"/>
        <v>100</v>
      </c>
      <c r="V9" s="1552" t="s">
        <v>8</v>
      </c>
      <c r="W9" s="1553">
        <f t="shared" si="2"/>
        <v>100</v>
      </c>
      <c r="X9" s="1554"/>
      <c r="Y9" s="3339" t="s">
        <v>536</v>
      </c>
      <c r="Z9" s="1144" t="str">
        <f t="shared" ref="Z9:Z15" si="7">Q9</f>
        <v>用途</v>
      </c>
      <c r="AA9" s="1555">
        <f t="shared" si="3"/>
        <v>1</v>
      </c>
      <c r="AB9" s="1555">
        <f t="shared" si="4"/>
        <v>1</v>
      </c>
      <c r="AC9" s="1555">
        <f t="shared" si="5"/>
        <v>1</v>
      </c>
    </row>
    <row r="10" spans="1:29" s="1332" customFormat="1" ht="27">
      <c r="A10" s="2868"/>
      <c r="B10" s="2873" t="s">
        <v>2751</v>
      </c>
      <c r="C10" s="860" t="s">
        <v>3155</v>
      </c>
      <c r="D10" s="254">
        <v>100</v>
      </c>
      <c r="E10" s="860" t="s">
        <v>3155</v>
      </c>
      <c r="F10" s="862">
        <f>SUMIF(65:65,E10,66:66)-SUMIF(65:65,C10,66:66)+100</f>
        <v>100</v>
      </c>
      <c r="G10" s="860" t="s">
        <v>3155</v>
      </c>
      <c r="H10" s="254">
        <f>SUMIF(65:65,G10,66:66)-SUMIF(65:65,C10,66:66)+100</f>
        <v>100</v>
      </c>
      <c r="I10" s="860" t="s">
        <v>3155</v>
      </c>
      <c r="J10" s="254">
        <f>SUMIF(65:65,I10,66:66)-SUMIF(65:65,C10,66:66)+100</f>
        <v>100</v>
      </c>
      <c r="K10" s="863">
        <v>1</v>
      </c>
      <c r="L10" s="2121"/>
      <c r="M10" s="2161"/>
      <c r="N10" s="2161"/>
      <c r="O10" s="2122"/>
      <c r="P10" s="3393"/>
      <c r="Q10" s="1145" t="str">
        <f t="shared" si="6"/>
        <v>土地使用年限（年）</v>
      </c>
      <c r="R10" s="1552" t="s">
        <v>8</v>
      </c>
      <c r="S10" s="1553">
        <f t="shared" si="0"/>
        <v>100</v>
      </c>
      <c r="T10" s="1552" t="s">
        <v>8</v>
      </c>
      <c r="U10" s="1553">
        <f t="shared" si="1"/>
        <v>100</v>
      </c>
      <c r="V10" s="1552" t="s">
        <v>8</v>
      </c>
      <c r="W10" s="1553">
        <f t="shared" si="2"/>
        <v>100</v>
      </c>
      <c r="X10" s="1554"/>
      <c r="Y10" s="3339"/>
      <c r="Z10" s="1144" t="str">
        <f t="shared" si="7"/>
        <v>土地使用年限（年）</v>
      </c>
      <c r="AA10" s="1555">
        <f t="shared" si="3"/>
        <v>1</v>
      </c>
      <c r="AB10" s="1555">
        <f t="shared" si="4"/>
        <v>1</v>
      </c>
      <c r="AC10" s="1555">
        <f t="shared" si="5"/>
        <v>1</v>
      </c>
    </row>
    <row r="11" spans="1:29" ht="15.75" thickBot="1">
      <c r="A11" s="2869"/>
      <c r="B11" s="2873" t="s">
        <v>2752</v>
      </c>
      <c r="C11" s="532">
        <f>'比较法-住宅、综合'!C13</f>
        <v>2.37</v>
      </c>
      <c r="D11" s="254">
        <v>100</v>
      </c>
      <c r="E11" s="533">
        <v>2.5</v>
      </c>
      <c r="F11" s="862">
        <f>LOOKUP(E11,68:68,69:69)-LOOKUP(C11,68:68,69:69)+100</f>
        <v>100</v>
      </c>
      <c r="G11" s="532">
        <v>2.5</v>
      </c>
      <c r="H11" s="254">
        <f>LOOKUP(G11,68:68,69:69)-LOOKUP(C11,68:68,69:69)+100</f>
        <v>100</v>
      </c>
      <c r="I11" s="532">
        <v>2</v>
      </c>
      <c r="J11" s="254">
        <f>LOOKUP(I11,68:68,69:69)-LOOKUP(C11,68:68,69:69)+100</f>
        <v>100</v>
      </c>
      <c r="K11" s="863">
        <v>2</v>
      </c>
      <c r="L11" s="2123"/>
      <c r="M11" s="2117"/>
      <c r="N11" s="2117"/>
      <c r="O11" s="2124"/>
      <c r="P11" s="3393"/>
      <c r="Q11" s="1145" t="str">
        <f t="shared" si="6"/>
        <v>容积率</v>
      </c>
      <c r="R11" s="1552" t="s">
        <v>11</v>
      </c>
      <c r="S11" s="1553">
        <f t="shared" si="0"/>
        <v>100</v>
      </c>
      <c r="T11" s="1552" t="s">
        <v>11</v>
      </c>
      <c r="U11" s="1553">
        <f t="shared" si="1"/>
        <v>100</v>
      </c>
      <c r="V11" s="1552" t="s">
        <v>11</v>
      </c>
      <c r="W11" s="1553">
        <f t="shared" si="2"/>
        <v>100</v>
      </c>
      <c r="X11" s="1554"/>
      <c r="Y11" s="3339"/>
      <c r="Z11" s="1144" t="str">
        <f t="shared" si="7"/>
        <v>容积率</v>
      </c>
      <c r="AA11" s="1555">
        <f t="shared" si="3"/>
        <v>1</v>
      </c>
      <c r="AB11" s="1555">
        <f t="shared" si="4"/>
        <v>1</v>
      </c>
      <c r="AC11" s="1555">
        <f t="shared" si="5"/>
        <v>1</v>
      </c>
    </row>
    <row r="12" spans="1:29" s="1214" customFormat="1" ht="15" hidden="1">
      <c r="A12" s="2870"/>
      <c r="B12" s="2876"/>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393"/>
      <c r="Q12" s="1145">
        <f t="shared" si="6"/>
        <v>0</v>
      </c>
      <c r="R12" s="1552" t="s">
        <v>11</v>
      </c>
      <c r="S12" s="1553">
        <f t="shared" si="0"/>
        <v>100</v>
      </c>
      <c r="T12" s="1552" t="s">
        <v>11</v>
      </c>
      <c r="U12" s="1553">
        <f t="shared" si="1"/>
        <v>100</v>
      </c>
      <c r="V12" s="1552" t="s">
        <v>11</v>
      </c>
      <c r="W12" s="1553">
        <f t="shared" si="2"/>
        <v>100</v>
      </c>
      <c r="X12" s="1554"/>
      <c r="Y12" s="3339"/>
      <c r="Z12" s="1144">
        <f t="shared" si="7"/>
        <v>0</v>
      </c>
      <c r="AA12" s="1555">
        <f>D12/F12</f>
        <v>1</v>
      </c>
      <c r="AB12" s="1555">
        <f>D12/H12</f>
        <v>1</v>
      </c>
      <c r="AC12" s="1555">
        <f>D12/J12</f>
        <v>1</v>
      </c>
    </row>
    <row r="13" spans="1:29" ht="15" hidden="1">
      <c r="A13" s="2870"/>
      <c r="B13" s="2876"/>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393"/>
      <c r="Q13" s="1145">
        <f t="shared" si="6"/>
        <v>0</v>
      </c>
      <c r="R13" s="1552" t="s">
        <v>11</v>
      </c>
      <c r="S13" s="1553">
        <f t="shared" si="0"/>
        <v>100</v>
      </c>
      <c r="T13" s="1552" t="s">
        <v>11</v>
      </c>
      <c r="U13" s="1553">
        <f t="shared" si="1"/>
        <v>100</v>
      </c>
      <c r="V13" s="1552" t="s">
        <v>11</v>
      </c>
      <c r="W13" s="1553">
        <f t="shared" si="2"/>
        <v>100</v>
      </c>
      <c r="X13" s="1554"/>
      <c r="Y13" s="3339"/>
      <c r="Z13" s="1144">
        <f t="shared" si="7"/>
        <v>0</v>
      </c>
      <c r="AA13" s="1555">
        <f t="shared" si="3"/>
        <v>1</v>
      </c>
      <c r="AB13" s="1555">
        <f t="shared" si="4"/>
        <v>1</v>
      </c>
      <c r="AC13" s="1555">
        <f t="shared" si="5"/>
        <v>1</v>
      </c>
    </row>
    <row r="14" spans="1:29" ht="15.75" hidden="1" thickBot="1">
      <c r="A14" s="2871"/>
      <c r="B14" s="2877"/>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393"/>
      <c r="Q14" s="1145">
        <f t="shared" si="6"/>
        <v>0</v>
      </c>
      <c r="R14" s="1552" t="s">
        <v>11</v>
      </c>
      <c r="S14" s="1553">
        <f t="shared" si="0"/>
        <v>100</v>
      </c>
      <c r="T14" s="1552" t="s">
        <v>11</v>
      </c>
      <c r="U14" s="1553">
        <f t="shared" si="1"/>
        <v>100</v>
      </c>
      <c r="V14" s="1552" t="s">
        <v>11</v>
      </c>
      <c r="W14" s="1553">
        <f t="shared" si="2"/>
        <v>100</v>
      </c>
      <c r="X14" s="1554"/>
      <c r="Y14" s="3339"/>
      <c r="Z14" s="1144">
        <f t="shared" si="7"/>
        <v>0</v>
      </c>
      <c r="AA14" s="1555">
        <f t="shared" si="3"/>
        <v>1</v>
      </c>
      <c r="AB14" s="1555">
        <f t="shared" si="4"/>
        <v>1</v>
      </c>
      <c r="AC14" s="1555">
        <f t="shared" si="5"/>
        <v>1</v>
      </c>
    </row>
    <row r="15" spans="1:29" ht="99.75">
      <c r="A15" s="2863" t="s">
        <v>2748</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105</v>
      </c>
      <c r="G15" s="551"/>
      <c r="H15" s="548">
        <f>SUMIF(76:76,G16,77:77)-SUMIF(76:76,C16,77:77)+100</f>
        <v>105</v>
      </c>
      <c r="I15" s="549"/>
      <c r="J15" s="548">
        <f>SUMIF(76:76,I16,77:77)-SUMIF(76:76,C16,77:77)+100</f>
        <v>105</v>
      </c>
      <c r="K15" s="867">
        <v>5</v>
      </c>
      <c r="L15" s="2125"/>
      <c r="M15" s="2117"/>
      <c r="N15" s="2117"/>
      <c r="O15" s="2124"/>
      <c r="P15" s="3427" t="s">
        <v>540</v>
      </c>
      <c r="Q15" s="1556" t="str">
        <f t="shared" si="6"/>
        <v>居住社区成熟度</v>
      </c>
      <c r="R15" s="1557" t="s">
        <v>11</v>
      </c>
      <c r="S15" s="1558">
        <f t="shared" si="0"/>
        <v>105</v>
      </c>
      <c r="T15" s="1557" t="s">
        <v>11</v>
      </c>
      <c r="U15" s="1558">
        <f t="shared" si="1"/>
        <v>105</v>
      </c>
      <c r="V15" s="1557" t="s">
        <v>11</v>
      </c>
      <c r="W15" s="1558">
        <f t="shared" si="2"/>
        <v>105</v>
      </c>
      <c r="X15" s="1551"/>
      <c r="Y15" s="3427" t="s">
        <v>540</v>
      </c>
      <c r="Z15" s="1559" t="str">
        <f t="shared" si="7"/>
        <v>居住社区成熟度</v>
      </c>
      <c r="AA15" s="1560">
        <f t="shared" si="3"/>
        <v>0.95238095238095233</v>
      </c>
      <c r="AB15" s="1560">
        <f t="shared" si="4"/>
        <v>0.95238095238095233</v>
      </c>
      <c r="AC15" s="1560">
        <f t="shared" si="5"/>
        <v>0.95238095238095233</v>
      </c>
    </row>
    <row r="16" spans="1:29" ht="15">
      <c r="A16" s="531"/>
      <c r="B16" s="868"/>
      <c r="C16" s="575" t="s">
        <v>3125</v>
      </c>
      <c r="D16" s="554"/>
      <c r="E16" s="555" t="s">
        <v>3123</v>
      </c>
      <c r="F16" s="556"/>
      <c r="G16" s="557" t="s">
        <v>3123</v>
      </c>
      <c r="H16" s="558"/>
      <c r="I16" s="555" t="s">
        <v>3123</v>
      </c>
      <c r="J16" s="554"/>
      <c r="K16" s="869"/>
      <c r="L16" s="2125"/>
      <c r="M16" s="2117"/>
      <c r="N16" s="2117"/>
      <c r="O16" s="2124"/>
      <c r="P16" s="3428"/>
      <c r="Q16" s="1556"/>
      <c r="R16" s="1557"/>
      <c r="S16" s="1558"/>
      <c r="T16" s="1557"/>
      <c r="U16" s="1558"/>
      <c r="V16" s="1557"/>
      <c r="W16" s="1558"/>
      <c r="X16" s="1551"/>
      <c r="Y16" s="3428"/>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2</v>
      </c>
      <c r="L17" s="2125"/>
      <c r="M17" s="2117"/>
      <c r="N17" s="2117"/>
      <c r="O17" s="2124"/>
      <c r="P17" s="3428"/>
      <c r="Q17" s="1556" t="str">
        <f>B17</f>
        <v>交通便捷度</v>
      </c>
      <c r="R17" s="1557" t="s">
        <v>11</v>
      </c>
      <c r="S17" s="1558">
        <f>F17</f>
        <v>100</v>
      </c>
      <c r="T17" s="1557" t="s">
        <v>11</v>
      </c>
      <c r="U17" s="1558">
        <f>H17</f>
        <v>100</v>
      </c>
      <c r="V17" s="1557" t="s">
        <v>11</v>
      </c>
      <c r="W17" s="1558">
        <f>J17</f>
        <v>100</v>
      </c>
      <c r="X17" s="1551"/>
      <c r="Y17" s="3428"/>
      <c r="Z17" s="1559" t="str">
        <f>Q17</f>
        <v>交通便捷度</v>
      </c>
      <c r="AA17" s="1560">
        <f t="shared" si="3"/>
        <v>1</v>
      </c>
      <c r="AB17" s="1560">
        <f t="shared" si="4"/>
        <v>1</v>
      </c>
      <c r="AC17" s="1560">
        <f t="shared" si="5"/>
        <v>1</v>
      </c>
    </row>
    <row r="18" spans="1:29" ht="15">
      <c r="A18" s="531"/>
      <c r="B18" s="594"/>
      <c r="C18" s="872" t="s">
        <v>3123</v>
      </c>
      <c r="D18" s="558"/>
      <c r="E18" s="567" t="s">
        <v>3123</v>
      </c>
      <c r="F18" s="562"/>
      <c r="G18" s="568" t="s">
        <v>3123</v>
      </c>
      <c r="H18" s="554"/>
      <c r="I18" s="567" t="s">
        <v>3123</v>
      </c>
      <c r="J18" s="554"/>
      <c r="K18" s="869"/>
      <c r="L18" s="2125"/>
      <c r="M18" s="2117"/>
      <c r="N18" s="2117"/>
      <c r="O18" s="2124"/>
      <c r="P18" s="3428"/>
      <c r="Q18" s="1556"/>
      <c r="R18" s="1557"/>
      <c r="S18" s="1558"/>
      <c r="T18" s="1557"/>
      <c r="U18" s="1558"/>
      <c r="V18" s="1557"/>
      <c r="W18" s="1558"/>
      <c r="X18" s="1551"/>
      <c r="Y18" s="3428"/>
      <c r="Z18" s="1559"/>
      <c r="AA18" s="1560">
        <v>1</v>
      </c>
      <c r="AB18" s="1560">
        <v>1</v>
      </c>
      <c r="AC18" s="1560">
        <v>1</v>
      </c>
    </row>
    <row r="19" spans="1:29" ht="42.75">
      <c r="A19" s="531"/>
      <c r="B19" s="2562" t="s">
        <v>2542</v>
      </c>
      <c r="C19" s="871" t="str">
        <f>估价对象房地状况!C7</f>
        <v>估价对象所在区域公共配套设施齐备情况</v>
      </c>
      <c r="D19" s="564">
        <v>100</v>
      </c>
      <c r="E19" s="569"/>
      <c r="F19" s="570">
        <f>SUMIF(80:80,E20,81:81)-SUMIF(80:80,C20,81:81)+100</f>
        <v>100</v>
      </c>
      <c r="G19" s="571"/>
      <c r="H19" s="558">
        <f>SUMIF(80:80,G20,81:81)-SUMIF(80:80,C20,81:81)+100</f>
        <v>103</v>
      </c>
      <c r="I19" s="569"/>
      <c r="J19" s="558">
        <f>SUMIF(80:80,I20,81:81)-SUMIF(80:80,C20,81:81)+100</f>
        <v>103</v>
      </c>
      <c r="K19" s="867">
        <v>3</v>
      </c>
      <c r="L19" s="2125"/>
      <c r="M19" s="2117"/>
      <c r="N19" s="2117"/>
      <c r="O19" s="2124"/>
      <c r="P19" s="3428"/>
      <c r="Q19" s="1556" t="str">
        <f>B19</f>
        <v>公共配套设施</v>
      </c>
      <c r="R19" s="1557" t="s">
        <v>11</v>
      </c>
      <c r="S19" s="1558">
        <f>F19</f>
        <v>100</v>
      </c>
      <c r="T19" s="1557" t="s">
        <v>11</v>
      </c>
      <c r="U19" s="1558">
        <f>H19</f>
        <v>103</v>
      </c>
      <c r="V19" s="1557" t="s">
        <v>11</v>
      </c>
      <c r="W19" s="1558">
        <f>J19</f>
        <v>103</v>
      </c>
      <c r="X19" s="1551"/>
      <c r="Y19" s="3428"/>
      <c r="Z19" s="1559" t="str">
        <f>Q19</f>
        <v>公共配套设施</v>
      </c>
      <c r="AA19" s="1560">
        <f t="shared" si="3"/>
        <v>1</v>
      </c>
      <c r="AB19" s="1560">
        <f t="shared" si="4"/>
        <v>0.970873786407767</v>
      </c>
      <c r="AC19" s="1560">
        <f t="shared" si="5"/>
        <v>0.970873786407767</v>
      </c>
    </row>
    <row r="20" spans="1:29" ht="15">
      <c r="A20" s="531"/>
      <c r="B20" s="594"/>
      <c r="C20" s="575" t="s">
        <v>3125</v>
      </c>
      <c r="D20" s="554"/>
      <c r="E20" s="555" t="s">
        <v>3125</v>
      </c>
      <c r="F20" s="556"/>
      <c r="G20" s="557" t="s">
        <v>3123</v>
      </c>
      <c r="H20" s="554"/>
      <c r="I20" s="555" t="s">
        <v>3123</v>
      </c>
      <c r="J20" s="554"/>
      <c r="K20" s="869"/>
      <c r="L20" s="2125"/>
      <c r="M20" s="2117"/>
      <c r="N20" s="2117"/>
      <c r="O20" s="2124"/>
      <c r="P20" s="3428"/>
      <c r="Q20" s="1556"/>
      <c r="R20" s="1557"/>
      <c r="S20" s="1558"/>
      <c r="T20" s="1557"/>
      <c r="U20" s="1558"/>
      <c r="V20" s="1557"/>
      <c r="W20" s="1558"/>
      <c r="X20" s="1551"/>
      <c r="Y20" s="3428"/>
      <c r="Z20" s="1559"/>
      <c r="AA20" s="1560">
        <v>1</v>
      </c>
      <c r="AB20" s="1560">
        <v>1</v>
      </c>
      <c r="AC20" s="1560">
        <v>1</v>
      </c>
    </row>
    <row r="21" spans="1:29" ht="28.5">
      <c r="A21" s="531"/>
      <c r="B21" s="2555"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5"/>
      <c r="M21" s="2117"/>
      <c r="N21" s="2117"/>
      <c r="O21" s="2124"/>
      <c r="P21" s="3428"/>
      <c r="Q21" s="2541" t="str">
        <f>B21</f>
        <v>基础设施水平</v>
      </c>
      <c r="R21" s="1557" t="s">
        <v>11</v>
      </c>
      <c r="S21" s="1558">
        <f>F21</f>
        <v>100</v>
      </c>
      <c r="T21" s="1557" t="s">
        <v>11</v>
      </c>
      <c r="U21" s="1558">
        <f>H21</f>
        <v>100</v>
      </c>
      <c r="V21" s="1557" t="s">
        <v>11</v>
      </c>
      <c r="W21" s="1558">
        <f>J21</f>
        <v>100</v>
      </c>
      <c r="X21" s="2543"/>
      <c r="Y21" s="3428"/>
      <c r="Z21" s="2542" t="str">
        <f>Q21</f>
        <v>基础设施水平</v>
      </c>
      <c r="AA21" s="1560">
        <f t="shared" ref="AA21" si="8">D21/F21</f>
        <v>1</v>
      </c>
      <c r="AB21" s="1560">
        <f t="shared" ref="AB21" si="9">D21/H21</f>
        <v>1</v>
      </c>
      <c r="AC21" s="1560">
        <f t="shared" ref="AC21" si="10">D21/J21</f>
        <v>1</v>
      </c>
    </row>
    <row r="22" spans="1:29" ht="15">
      <c r="A22" s="531"/>
      <c r="B22" s="920"/>
      <c r="C22" s="872" t="s">
        <v>3126</v>
      </c>
      <c r="D22" s="554"/>
      <c r="E22" s="575" t="s">
        <v>3126</v>
      </c>
      <c r="F22" s="556"/>
      <c r="G22" s="575" t="s">
        <v>3126</v>
      </c>
      <c r="H22" s="554"/>
      <c r="I22" s="575" t="s">
        <v>3126</v>
      </c>
      <c r="J22" s="554"/>
      <c r="K22" s="2561"/>
      <c r="L22" s="2125"/>
      <c r="M22" s="2117"/>
      <c r="N22" s="2117"/>
      <c r="O22" s="2124"/>
      <c r="P22" s="3428"/>
      <c r="Q22" s="2541"/>
      <c r="R22" s="1557"/>
      <c r="S22" s="1558"/>
      <c r="T22" s="1557"/>
      <c r="U22" s="1558"/>
      <c r="V22" s="1557"/>
      <c r="W22" s="1558"/>
      <c r="X22" s="2543"/>
      <c r="Y22" s="3428"/>
      <c r="Z22" s="2542"/>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105</v>
      </c>
      <c r="G23" s="563"/>
      <c r="H23" s="558">
        <f>SUMIF(84:84,G24,85:85)-SUMIF(84:84,C24,85:85)+100</f>
        <v>105</v>
      </c>
      <c r="I23" s="561"/>
      <c r="J23" s="558">
        <f>SUMIF(84:84,I24,85:85)-SUMIF(84:84,C24,85:85)+100</f>
        <v>105</v>
      </c>
      <c r="K23" s="867">
        <v>5</v>
      </c>
      <c r="L23" s="2125"/>
      <c r="M23" s="2117"/>
      <c r="N23" s="2117"/>
      <c r="O23" s="2124"/>
      <c r="P23" s="3428"/>
      <c r="Q23" s="1556" t="str">
        <f>B23</f>
        <v>自然及人文环境</v>
      </c>
      <c r="R23" s="1557" t="s">
        <v>11</v>
      </c>
      <c r="S23" s="1558">
        <f>F23</f>
        <v>105</v>
      </c>
      <c r="T23" s="1557" t="s">
        <v>11</v>
      </c>
      <c r="U23" s="1558">
        <f>H23</f>
        <v>105</v>
      </c>
      <c r="V23" s="1557" t="s">
        <v>11</v>
      </c>
      <c r="W23" s="1558">
        <f>J23</f>
        <v>105</v>
      </c>
      <c r="X23" s="1551"/>
      <c r="Y23" s="3428"/>
      <c r="Z23" s="1559" t="str">
        <f>Q23</f>
        <v>自然及人文环境</v>
      </c>
      <c r="AA23" s="1560">
        <f t="shared" si="3"/>
        <v>0.95238095238095233</v>
      </c>
      <c r="AB23" s="1560">
        <f t="shared" si="4"/>
        <v>0.95238095238095233</v>
      </c>
      <c r="AC23" s="1560">
        <f t="shared" si="5"/>
        <v>0.95238095238095233</v>
      </c>
    </row>
    <row r="24" spans="1:29" ht="15.75" thickBot="1">
      <c r="A24" s="531"/>
      <c r="B24" s="594"/>
      <c r="C24" s="575" t="s">
        <v>3125</v>
      </c>
      <c r="D24" s="554"/>
      <c r="E24" s="555" t="s">
        <v>3123</v>
      </c>
      <c r="F24" s="556"/>
      <c r="G24" s="557" t="s">
        <v>3123</v>
      </c>
      <c r="H24" s="554"/>
      <c r="I24" s="555" t="s">
        <v>3123</v>
      </c>
      <c r="J24" s="554"/>
      <c r="K24" s="869"/>
      <c r="L24" s="2125"/>
      <c r="M24" s="2117"/>
      <c r="N24" s="2117"/>
      <c r="O24" s="2124"/>
      <c r="P24" s="3428"/>
      <c r="Q24" s="1556"/>
      <c r="R24" s="1557"/>
      <c r="S24" s="1558"/>
      <c r="T24" s="1557"/>
      <c r="U24" s="1558"/>
      <c r="V24" s="1557"/>
      <c r="W24" s="1558"/>
      <c r="X24" s="1551"/>
      <c r="Y24" s="3428"/>
      <c r="Z24" s="1559"/>
      <c r="AA24" s="1560">
        <v>1</v>
      </c>
      <c r="AB24" s="1560">
        <v>1</v>
      </c>
      <c r="AC24" s="1560">
        <v>1</v>
      </c>
    </row>
    <row r="25" spans="1:29" ht="15" hidden="1">
      <c r="A25" s="531"/>
      <c r="B25" s="1878" t="s">
        <v>2253</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428"/>
      <c r="Q25" s="1556" t="str">
        <f t="shared" ref="Q25:Q46" si="11">B25</f>
        <v>楼层-1</v>
      </c>
      <c r="R25" s="1557" t="s">
        <v>11</v>
      </c>
      <c r="S25" s="1558">
        <f>F25</f>
        <v>100</v>
      </c>
      <c r="T25" s="1557" t="s">
        <v>11</v>
      </c>
      <c r="U25" s="1558">
        <f>H25</f>
        <v>100</v>
      </c>
      <c r="V25" s="1557" t="s">
        <v>11</v>
      </c>
      <c r="W25" s="1558">
        <f>J25</f>
        <v>100</v>
      </c>
      <c r="X25" s="1551"/>
      <c r="Y25" s="3428"/>
      <c r="Z25" s="1559" t="str">
        <f>Q25</f>
        <v>楼层-1</v>
      </c>
      <c r="AA25" s="1560">
        <f t="shared" si="3"/>
        <v>1</v>
      </c>
      <c r="AB25" s="1560">
        <f t="shared" si="4"/>
        <v>1</v>
      </c>
      <c r="AC25" s="1560">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428"/>
      <c r="Q26" s="1556" t="str">
        <f t="shared" si="11"/>
        <v>朝向</v>
      </c>
      <c r="R26" s="1557" t="s">
        <v>11</v>
      </c>
      <c r="S26" s="1558">
        <f>F26</f>
        <v>100</v>
      </c>
      <c r="T26" s="1557" t="s">
        <v>11</v>
      </c>
      <c r="U26" s="1558">
        <f>H26</f>
        <v>100</v>
      </c>
      <c r="V26" s="1557" t="s">
        <v>11</v>
      </c>
      <c r="W26" s="1558">
        <f>J26</f>
        <v>100</v>
      </c>
      <c r="X26" s="1551"/>
      <c r="Y26" s="3428"/>
      <c r="Z26" s="1559" t="str">
        <f>Q26</f>
        <v>朝向</v>
      </c>
      <c r="AA26" s="1560">
        <f t="shared" si="3"/>
        <v>1</v>
      </c>
      <c r="AB26" s="1560">
        <f t="shared" si="4"/>
        <v>1</v>
      </c>
      <c r="AC26" s="1560">
        <f t="shared" si="5"/>
        <v>1</v>
      </c>
    </row>
    <row r="27" spans="1:29" s="1214"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428"/>
      <c r="Q27" s="1145" t="str">
        <f t="shared" si="11"/>
        <v>道路级别</v>
      </c>
      <c r="R27" s="1552" t="s">
        <v>11</v>
      </c>
      <c r="S27" s="1553">
        <f>F27</f>
        <v>100</v>
      </c>
      <c r="T27" s="1552" t="s">
        <v>11</v>
      </c>
      <c r="U27" s="1553">
        <f>H27</f>
        <v>100</v>
      </c>
      <c r="V27" s="1552" t="s">
        <v>11</v>
      </c>
      <c r="W27" s="1553">
        <f>J27</f>
        <v>100</v>
      </c>
      <c r="X27" s="1554"/>
      <c r="Y27" s="3428"/>
      <c r="Z27" s="1144"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428"/>
      <c r="Q28" s="1556">
        <f t="shared" si="11"/>
        <v>111</v>
      </c>
      <c r="R28" s="1557" t="s">
        <v>11</v>
      </c>
      <c r="S28" s="1558">
        <f t="shared" ref="S28:S46" si="12">F28</f>
        <v>100</v>
      </c>
      <c r="T28" s="1557" t="s">
        <v>11</v>
      </c>
      <c r="U28" s="1558">
        <f t="shared" ref="U28:U46" si="13">H28</f>
        <v>100</v>
      </c>
      <c r="V28" s="1557" t="s">
        <v>11</v>
      </c>
      <c r="W28" s="1558">
        <f t="shared" ref="W28:W46" si="14">J28</f>
        <v>100</v>
      </c>
      <c r="X28" s="1551"/>
      <c r="Y28" s="3428"/>
      <c r="Z28" s="1559">
        <f t="shared" ref="Z28:Z46" si="15">Q28</f>
        <v>111</v>
      </c>
      <c r="AA28" s="1560">
        <f t="shared" si="3"/>
        <v>1</v>
      </c>
      <c r="AB28" s="1560">
        <f t="shared" si="4"/>
        <v>1</v>
      </c>
      <c r="AC28" s="156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428"/>
      <c r="Q29" s="1556">
        <f t="shared" si="11"/>
        <v>111</v>
      </c>
      <c r="R29" s="1557" t="s">
        <v>11</v>
      </c>
      <c r="S29" s="1558">
        <f t="shared" si="12"/>
        <v>100</v>
      </c>
      <c r="T29" s="1557" t="s">
        <v>11</v>
      </c>
      <c r="U29" s="1558">
        <f t="shared" si="13"/>
        <v>100</v>
      </c>
      <c r="V29" s="1557" t="s">
        <v>11</v>
      </c>
      <c r="W29" s="1558">
        <f t="shared" si="14"/>
        <v>100</v>
      </c>
      <c r="X29" s="1551"/>
      <c r="Y29" s="3428"/>
      <c r="Z29" s="1559">
        <f t="shared" si="15"/>
        <v>111</v>
      </c>
      <c r="AA29" s="1560">
        <f t="shared" si="3"/>
        <v>1</v>
      </c>
      <c r="AB29" s="1560">
        <f t="shared" si="4"/>
        <v>1</v>
      </c>
      <c r="AC29" s="156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428"/>
      <c r="Q30" s="1556">
        <f t="shared" si="11"/>
        <v>111</v>
      </c>
      <c r="R30" s="1557" t="s">
        <v>11</v>
      </c>
      <c r="S30" s="1558">
        <f t="shared" si="12"/>
        <v>100</v>
      </c>
      <c r="T30" s="1557" t="s">
        <v>11</v>
      </c>
      <c r="U30" s="1558">
        <f t="shared" si="13"/>
        <v>100</v>
      </c>
      <c r="V30" s="1557" t="s">
        <v>11</v>
      </c>
      <c r="W30" s="1558">
        <f t="shared" si="14"/>
        <v>100</v>
      </c>
      <c r="X30" s="1551"/>
      <c r="Y30" s="3428"/>
      <c r="Z30" s="1559">
        <f t="shared" si="15"/>
        <v>111</v>
      </c>
      <c r="AA30" s="1560">
        <f t="shared" si="3"/>
        <v>1</v>
      </c>
      <c r="AB30" s="1560">
        <f t="shared" si="4"/>
        <v>1</v>
      </c>
      <c r="AC30" s="156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428"/>
      <c r="Q31" s="1556">
        <f t="shared" si="11"/>
        <v>111</v>
      </c>
      <c r="R31" s="1557" t="s">
        <v>11</v>
      </c>
      <c r="S31" s="1558">
        <f t="shared" si="12"/>
        <v>100</v>
      </c>
      <c r="T31" s="1557" t="s">
        <v>11</v>
      </c>
      <c r="U31" s="1558">
        <f t="shared" si="13"/>
        <v>100</v>
      </c>
      <c r="V31" s="1557" t="s">
        <v>11</v>
      </c>
      <c r="W31" s="1558">
        <f t="shared" si="14"/>
        <v>100</v>
      </c>
      <c r="X31" s="1551"/>
      <c r="Y31" s="3428"/>
      <c r="Z31" s="1559">
        <f t="shared" si="15"/>
        <v>111</v>
      </c>
      <c r="AA31" s="1560">
        <f t="shared" si="3"/>
        <v>1</v>
      </c>
      <c r="AB31" s="1560">
        <f t="shared" si="4"/>
        <v>1</v>
      </c>
      <c r="AC31" s="1560">
        <f t="shared" si="5"/>
        <v>1</v>
      </c>
    </row>
    <row r="32" spans="1:29" ht="15">
      <c r="A32" s="2860" t="s">
        <v>2749</v>
      </c>
      <c r="B32" s="172" t="s">
        <v>725</v>
      </c>
      <c r="C32" s="877" t="s">
        <v>3156</v>
      </c>
      <c r="D32" s="596">
        <v>100</v>
      </c>
      <c r="E32" s="877" t="s">
        <v>3156</v>
      </c>
      <c r="F32" s="574">
        <f>SUMIF(100:100,E32,101:101)-SUMIF(100:100,C32,101:101)+100</f>
        <v>100</v>
      </c>
      <c r="G32" s="877" t="s">
        <v>3156</v>
      </c>
      <c r="H32" s="596">
        <f>SUMIF(100:100,G32,101:101)-SUMIF(100:100,C32,101:101)+100</f>
        <v>100</v>
      </c>
      <c r="I32" s="877" t="s">
        <v>3156</v>
      </c>
      <c r="J32" s="539">
        <f>SUMIF(100:100,I32,101:101)-SUMIF(100:100,C32,101:101)+100</f>
        <v>100</v>
      </c>
      <c r="K32" s="863">
        <v>5</v>
      </c>
      <c r="L32" s="2125"/>
      <c r="M32" s="2117"/>
      <c r="N32" s="2117"/>
      <c r="O32" s="2124"/>
      <c r="P32" s="3429" t="s">
        <v>550</v>
      </c>
      <c r="Q32" s="1556" t="str">
        <f t="shared" si="11"/>
        <v>建筑类型</v>
      </c>
      <c r="R32" s="1557" t="s">
        <v>11</v>
      </c>
      <c r="S32" s="1558">
        <f t="shared" si="12"/>
        <v>100</v>
      </c>
      <c r="T32" s="1557" t="s">
        <v>11</v>
      </c>
      <c r="U32" s="1558">
        <f t="shared" si="13"/>
        <v>100</v>
      </c>
      <c r="V32" s="1557" t="s">
        <v>11</v>
      </c>
      <c r="W32" s="1558">
        <f t="shared" si="14"/>
        <v>100</v>
      </c>
      <c r="X32" s="1551"/>
      <c r="Y32" s="3430" t="s">
        <v>550</v>
      </c>
      <c r="Z32" s="1559" t="str">
        <f t="shared" si="15"/>
        <v>建筑类型</v>
      </c>
      <c r="AA32" s="1560">
        <f t="shared" si="3"/>
        <v>1</v>
      </c>
      <c r="AB32" s="1560">
        <f t="shared" si="4"/>
        <v>1</v>
      </c>
      <c r="AC32" s="1560">
        <f t="shared" si="5"/>
        <v>1</v>
      </c>
    </row>
    <row r="33" spans="1:29" s="1333" customFormat="1" ht="15">
      <c r="A33" s="602"/>
      <c r="B33" s="526" t="s">
        <v>726</v>
      </c>
      <c r="C33" s="878">
        <f>面积表!C23+面积表!C50</f>
        <v>236757.40000000002</v>
      </c>
      <c r="D33" s="254">
        <v>100</v>
      </c>
      <c r="E33" s="533">
        <v>95303</v>
      </c>
      <c r="F33" s="862">
        <f>LOOKUP(E33,103:103,104:104)-LOOKUP(C33,103:103,104:104)+100</f>
        <v>101</v>
      </c>
      <c r="G33" s="532">
        <v>289230.45</v>
      </c>
      <c r="H33" s="254">
        <f>LOOKUP(G33,103:103,104:104)-LOOKUP(C33,103:103,104:104)+100</f>
        <v>100</v>
      </c>
      <c r="I33" s="533">
        <v>60000</v>
      </c>
      <c r="J33" s="254">
        <f>LOOKUP(I33,103:103,104:104)-LOOKUP(C33,103:103,104:104)+100</f>
        <v>101</v>
      </c>
      <c r="K33" s="864"/>
      <c r="L33" s="2123"/>
      <c r="M33" s="2154"/>
      <c r="N33" s="2154"/>
      <c r="O33" s="2126"/>
      <c r="P33" s="3430"/>
      <c r="Q33" s="1588" t="str">
        <f t="shared" si="11"/>
        <v>项目建筑规模</v>
      </c>
      <c r="R33" s="1561" t="s">
        <v>11</v>
      </c>
      <c r="S33" s="1562">
        <f t="shared" si="12"/>
        <v>101</v>
      </c>
      <c r="T33" s="1561" t="s">
        <v>11</v>
      </c>
      <c r="U33" s="1562">
        <f t="shared" si="13"/>
        <v>100</v>
      </c>
      <c r="V33" s="1561" t="s">
        <v>11</v>
      </c>
      <c r="W33" s="1562">
        <f t="shared" si="14"/>
        <v>101</v>
      </c>
      <c r="X33" s="1563"/>
      <c r="Y33" s="3430"/>
      <c r="Z33" s="1564" t="str">
        <f t="shared" si="15"/>
        <v>项目建筑规模</v>
      </c>
      <c r="AA33" s="1560">
        <f t="shared" si="3"/>
        <v>0.99009900990099009</v>
      </c>
      <c r="AB33" s="1560">
        <f t="shared" si="4"/>
        <v>1</v>
      </c>
      <c r="AC33" s="1560">
        <f t="shared" si="5"/>
        <v>0.99009900990099009</v>
      </c>
    </row>
    <row r="34" spans="1:29" ht="15">
      <c r="A34" s="593"/>
      <c r="B34" s="526" t="s">
        <v>727</v>
      </c>
      <c r="C34" s="879" t="s">
        <v>3158</v>
      </c>
      <c r="D34" s="539">
        <v>100</v>
      </c>
      <c r="E34" s="879" t="s">
        <v>3158</v>
      </c>
      <c r="F34" s="574">
        <f>SUMIF(105:105,E34,106:106)-SUMIF(105:105,C34,106:106)+100</f>
        <v>100</v>
      </c>
      <c r="G34" s="879" t="s">
        <v>3158</v>
      </c>
      <c r="H34" s="539">
        <f>SUMIF(105:105,G34,106:106)-SUMIF(105:105,C34,106:106)+100</f>
        <v>100</v>
      </c>
      <c r="I34" s="879" t="s">
        <v>3158</v>
      </c>
      <c r="J34" s="539">
        <f>SUMIF(105:105,I34,106:106)-SUMIF(105:105,C34,106:106)+100</f>
        <v>100</v>
      </c>
      <c r="K34" s="863">
        <v>2</v>
      </c>
      <c r="L34" s="2125"/>
      <c r="M34" s="2117"/>
      <c r="N34" s="2117"/>
      <c r="O34" s="2124"/>
      <c r="P34" s="3430"/>
      <c r="Q34" s="1556" t="str">
        <f t="shared" si="11"/>
        <v>建筑结构</v>
      </c>
      <c r="R34" s="1557" t="s">
        <v>11</v>
      </c>
      <c r="S34" s="1558">
        <f t="shared" si="12"/>
        <v>100</v>
      </c>
      <c r="T34" s="1557" t="s">
        <v>11</v>
      </c>
      <c r="U34" s="1558">
        <f t="shared" si="13"/>
        <v>100</v>
      </c>
      <c r="V34" s="1557" t="s">
        <v>11</v>
      </c>
      <c r="W34" s="1558">
        <f t="shared" si="14"/>
        <v>100</v>
      </c>
      <c r="X34" s="1551"/>
      <c r="Y34" s="3430"/>
      <c r="Z34" s="1559" t="str">
        <f t="shared" si="15"/>
        <v>建筑结构</v>
      </c>
      <c r="AA34" s="1560">
        <f t="shared" si="3"/>
        <v>1</v>
      </c>
      <c r="AB34" s="1560">
        <f t="shared" si="4"/>
        <v>1</v>
      </c>
      <c r="AC34" s="1560">
        <f t="shared" si="5"/>
        <v>1</v>
      </c>
    </row>
    <row r="35" spans="1:29" ht="15" hidden="1">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863"/>
      <c r="L35" s="2125"/>
      <c r="M35" s="2117"/>
      <c r="N35" s="2117"/>
      <c r="O35" s="2124"/>
      <c r="P35" s="3430"/>
      <c r="Q35" s="1556" t="str">
        <f t="shared" si="11"/>
        <v>建筑品质</v>
      </c>
      <c r="R35" s="1557" t="s">
        <v>11</v>
      </c>
      <c r="S35" s="1558">
        <f t="shared" si="12"/>
        <v>100</v>
      </c>
      <c r="T35" s="1557" t="s">
        <v>11</v>
      </c>
      <c r="U35" s="1558">
        <f t="shared" si="13"/>
        <v>100</v>
      </c>
      <c r="V35" s="1557" t="s">
        <v>11</v>
      </c>
      <c r="W35" s="1558">
        <f t="shared" si="14"/>
        <v>100</v>
      </c>
      <c r="X35" s="1551"/>
      <c r="Y35" s="3430"/>
      <c r="Z35" s="1559" t="str">
        <f t="shared" si="15"/>
        <v>建筑品质</v>
      </c>
      <c r="AA35" s="1560">
        <f t="shared" si="3"/>
        <v>1</v>
      </c>
      <c r="AB35" s="1560">
        <f t="shared" si="4"/>
        <v>1</v>
      </c>
      <c r="AC35" s="1560">
        <f t="shared" si="5"/>
        <v>1</v>
      </c>
    </row>
    <row r="36" spans="1:29" ht="15">
      <c r="A36" s="593"/>
      <c r="B36" s="526" t="s">
        <v>729</v>
      </c>
      <c r="C36" s="598" t="s">
        <v>3160</v>
      </c>
      <c r="D36" s="539">
        <v>100</v>
      </c>
      <c r="E36" s="598" t="s">
        <v>3160</v>
      </c>
      <c r="F36" s="574">
        <f>SUMIF(109:109,E36,110:110)-SUMIF(109:109,C36,110:110)+100</f>
        <v>100</v>
      </c>
      <c r="G36" s="598" t="s">
        <v>3160</v>
      </c>
      <c r="H36" s="539">
        <f>SUMIF(109:109,G36,110:110)-SUMIF(109:109,C36,110:110)+100</f>
        <v>100</v>
      </c>
      <c r="I36" s="598" t="s">
        <v>3160</v>
      </c>
      <c r="J36" s="539">
        <f>SUMIF(109:109,I36,110:110)-SUMIF(109:109,C36,110:110)+100</f>
        <v>100</v>
      </c>
      <c r="K36" s="863">
        <v>2</v>
      </c>
      <c r="L36" s="2125"/>
      <c r="M36" s="2117"/>
      <c r="N36" s="2117"/>
      <c r="O36" s="2124"/>
      <c r="P36" s="3430"/>
      <c r="Q36" s="1556" t="str">
        <f t="shared" si="11"/>
        <v>公共部分装修</v>
      </c>
      <c r="R36" s="1557" t="s">
        <v>11</v>
      </c>
      <c r="S36" s="1558">
        <f t="shared" si="12"/>
        <v>100</v>
      </c>
      <c r="T36" s="1557" t="s">
        <v>11</v>
      </c>
      <c r="U36" s="1558">
        <f t="shared" si="13"/>
        <v>100</v>
      </c>
      <c r="V36" s="1557" t="s">
        <v>11</v>
      </c>
      <c r="W36" s="1558">
        <f t="shared" si="14"/>
        <v>100</v>
      </c>
      <c r="X36" s="1551"/>
      <c r="Y36" s="3430"/>
      <c r="Z36" s="1559" t="str">
        <f t="shared" si="15"/>
        <v>公共部分装修</v>
      </c>
      <c r="AA36" s="1560">
        <f t="shared" si="3"/>
        <v>1</v>
      </c>
      <c r="AB36" s="1560">
        <f t="shared" si="4"/>
        <v>1</v>
      </c>
      <c r="AC36" s="1560">
        <f t="shared" si="5"/>
        <v>1</v>
      </c>
    </row>
    <row r="37" spans="1:29" s="1214" customFormat="1" ht="15">
      <c r="A37" s="599"/>
      <c r="B37" s="526" t="s">
        <v>730</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1</v>
      </c>
      <c r="L37" s="2118"/>
      <c r="M37" s="2119"/>
      <c r="N37" s="2119"/>
      <c r="O37" s="2120"/>
      <c r="P37" s="3430"/>
      <c r="Q37" s="1145" t="str">
        <f t="shared" si="11"/>
        <v>成新度</v>
      </c>
      <c r="R37" s="1552" t="s">
        <v>11</v>
      </c>
      <c r="S37" s="1553">
        <f t="shared" si="12"/>
        <v>100</v>
      </c>
      <c r="T37" s="1552" t="s">
        <v>11</v>
      </c>
      <c r="U37" s="1553">
        <f t="shared" si="13"/>
        <v>100</v>
      </c>
      <c r="V37" s="1552" t="s">
        <v>11</v>
      </c>
      <c r="W37" s="1553">
        <f t="shared" si="14"/>
        <v>100</v>
      </c>
      <c r="X37" s="1554"/>
      <c r="Y37" s="3430"/>
      <c r="Z37" s="1144" t="str">
        <f t="shared" si="15"/>
        <v>成新度</v>
      </c>
      <c r="AA37" s="1555">
        <f t="shared" si="3"/>
        <v>1</v>
      </c>
      <c r="AB37" s="1555">
        <f t="shared" si="4"/>
        <v>1</v>
      </c>
      <c r="AC37" s="1555">
        <f t="shared" si="5"/>
        <v>1</v>
      </c>
    </row>
    <row r="38" spans="1:29" ht="15">
      <c r="A38" s="593"/>
      <c r="B38" s="526" t="s">
        <v>731</v>
      </c>
      <c r="C38" s="598" t="s">
        <v>3163</v>
      </c>
      <c r="D38" s="539">
        <v>100</v>
      </c>
      <c r="E38" s="873" t="s">
        <v>3163</v>
      </c>
      <c r="F38" s="574">
        <f>SUMIF(114:114,E38,115:115)-SUMIF(114:114,C38,115:115)+100</f>
        <v>100</v>
      </c>
      <c r="G38" s="873" t="s">
        <v>3163</v>
      </c>
      <c r="H38" s="539">
        <f>SUMIF(114:114,G38,115:115)-SUMIF(114:114,C38,115:115)+100</f>
        <v>100</v>
      </c>
      <c r="I38" s="873" t="s">
        <v>3163</v>
      </c>
      <c r="J38" s="539">
        <f>SUMIF(114:114,I38,115:115)-SUMIF(114:114,C38,115:115)+100</f>
        <v>100</v>
      </c>
      <c r="K38" s="863">
        <v>2</v>
      </c>
      <c r="L38" s="2125"/>
      <c r="M38" s="2117"/>
      <c r="N38" s="2117"/>
      <c r="O38" s="2124"/>
      <c r="P38" s="3430" t="s">
        <v>550</v>
      </c>
      <c r="Q38" s="1556" t="str">
        <f t="shared" si="11"/>
        <v>物业管理</v>
      </c>
      <c r="R38" s="1557" t="s">
        <v>11</v>
      </c>
      <c r="S38" s="1558">
        <f t="shared" si="12"/>
        <v>100</v>
      </c>
      <c r="T38" s="1557" t="s">
        <v>11</v>
      </c>
      <c r="U38" s="1558">
        <f t="shared" si="13"/>
        <v>100</v>
      </c>
      <c r="V38" s="1557" t="s">
        <v>11</v>
      </c>
      <c r="W38" s="1558">
        <f t="shared" si="14"/>
        <v>100</v>
      </c>
      <c r="X38" s="1551"/>
      <c r="Y38" s="3430" t="s">
        <v>550</v>
      </c>
      <c r="Z38" s="1559" t="str">
        <f t="shared" si="15"/>
        <v>物业管理</v>
      </c>
      <c r="AA38" s="1560">
        <f t="shared" si="3"/>
        <v>1</v>
      </c>
      <c r="AB38" s="1560">
        <f t="shared" si="4"/>
        <v>1</v>
      </c>
      <c r="AC38" s="1560">
        <f t="shared" si="5"/>
        <v>1</v>
      </c>
    </row>
    <row r="39" spans="1:29" ht="15">
      <c r="A39" s="593"/>
      <c r="B39" s="1878" t="s">
        <v>2560</v>
      </c>
      <c r="C39" s="598" t="s">
        <v>3140</v>
      </c>
      <c r="D39" s="539">
        <v>100</v>
      </c>
      <c r="E39" s="873" t="s">
        <v>3126</v>
      </c>
      <c r="F39" s="574">
        <f>SUMIF(116:116,E39,117:117)-SUMIF(116:116,C39,117:117)+100</f>
        <v>102</v>
      </c>
      <c r="G39" s="598" t="s">
        <v>3126</v>
      </c>
      <c r="H39" s="539">
        <f>SUMIF(116:116,G39,117:117)-SUMIF(116:116,C39,117:117)+100</f>
        <v>102</v>
      </c>
      <c r="I39" s="873" t="s">
        <v>3126</v>
      </c>
      <c r="J39" s="539">
        <f>SUMIF(116:116,I39,117:117)-SUMIF(116:116,C39,117:117)+100</f>
        <v>102</v>
      </c>
      <c r="K39" s="863">
        <v>2</v>
      </c>
      <c r="L39" s="2125"/>
      <c r="M39" s="2117"/>
      <c r="N39" s="2117"/>
      <c r="O39" s="2124"/>
      <c r="P39" s="3430"/>
      <c r="Q39" s="1556" t="str">
        <f t="shared" si="11"/>
        <v>市政基础设施</v>
      </c>
      <c r="R39" s="1557" t="s">
        <v>11</v>
      </c>
      <c r="S39" s="1558">
        <f t="shared" si="12"/>
        <v>102</v>
      </c>
      <c r="T39" s="1557" t="s">
        <v>11</v>
      </c>
      <c r="U39" s="1558">
        <f t="shared" si="13"/>
        <v>102</v>
      </c>
      <c r="V39" s="1557" t="s">
        <v>11</v>
      </c>
      <c r="W39" s="1558">
        <f t="shared" si="14"/>
        <v>102</v>
      </c>
      <c r="X39" s="1551"/>
      <c r="Y39" s="3430"/>
      <c r="Z39" s="1559" t="str">
        <f t="shared" si="15"/>
        <v>市政基础设施</v>
      </c>
      <c r="AA39" s="1560">
        <f t="shared" si="3"/>
        <v>0.98039215686274506</v>
      </c>
      <c r="AB39" s="1560">
        <f t="shared" si="4"/>
        <v>0.98039215686274506</v>
      </c>
      <c r="AC39" s="1560">
        <f t="shared" si="5"/>
        <v>0.98039215686274506</v>
      </c>
    </row>
    <row r="40" spans="1:29" ht="15">
      <c r="A40" s="593"/>
      <c r="B40" s="526" t="s">
        <v>732</v>
      </c>
      <c r="C40" s="598" t="s">
        <v>3170</v>
      </c>
      <c r="D40" s="539">
        <v>100</v>
      </c>
      <c r="E40" s="873" t="s">
        <v>3170</v>
      </c>
      <c r="F40" s="574">
        <f>SUMIF(118:118,E40,119:119)-SUMIF(118:118,C40,119:119)+100</f>
        <v>100</v>
      </c>
      <c r="G40" s="873" t="s">
        <v>3170</v>
      </c>
      <c r="H40" s="539">
        <f>SUMIF(118:118,G40,119:119)-SUMIF(118:118,C40,119:119)+100</f>
        <v>100</v>
      </c>
      <c r="I40" s="873" t="s">
        <v>3170</v>
      </c>
      <c r="J40" s="539">
        <f>SUMIF(118:118,I40,119:119)-SUMIF(118:118,C40,119:119)+100</f>
        <v>100</v>
      </c>
      <c r="K40" s="863">
        <v>1</v>
      </c>
      <c r="L40" s="2125"/>
      <c r="M40" s="2117"/>
      <c r="N40" s="2117"/>
      <c r="O40" s="2124"/>
      <c r="P40" s="3430"/>
      <c r="Q40" s="1556" t="str">
        <f t="shared" si="11"/>
        <v>房型</v>
      </c>
      <c r="R40" s="1557" t="s">
        <v>11</v>
      </c>
      <c r="S40" s="1558">
        <f t="shared" si="12"/>
        <v>100</v>
      </c>
      <c r="T40" s="1557" t="s">
        <v>11</v>
      </c>
      <c r="U40" s="1558">
        <f t="shared" si="13"/>
        <v>100</v>
      </c>
      <c r="V40" s="1557" t="s">
        <v>11</v>
      </c>
      <c r="W40" s="1558">
        <f t="shared" si="14"/>
        <v>100</v>
      </c>
      <c r="X40" s="1551"/>
      <c r="Y40" s="3430"/>
      <c r="Z40" s="1559" t="str">
        <f t="shared" si="15"/>
        <v>房型</v>
      </c>
      <c r="AA40" s="1560">
        <f t="shared" si="3"/>
        <v>1</v>
      </c>
      <c r="AB40" s="1560">
        <f t="shared" si="4"/>
        <v>1</v>
      </c>
      <c r="AC40" s="1560">
        <f t="shared" si="5"/>
        <v>1</v>
      </c>
    </row>
    <row r="41" spans="1:29" s="1333" customFormat="1" ht="28.5" hidden="1">
      <c r="A41" s="602"/>
      <c r="B41" s="526" t="s">
        <v>733</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430"/>
      <c r="Q41" s="1588" t="str">
        <f t="shared" si="11"/>
        <v>单套/主力户型建筑面积</v>
      </c>
      <c r="R41" s="1561" t="s">
        <v>11</v>
      </c>
      <c r="S41" s="1562">
        <f t="shared" si="12"/>
        <v>100</v>
      </c>
      <c r="T41" s="1561" t="s">
        <v>11</v>
      </c>
      <c r="U41" s="1562">
        <f t="shared" si="13"/>
        <v>100</v>
      </c>
      <c r="V41" s="1561" t="s">
        <v>11</v>
      </c>
      <c r="W41" s="1562">
        <f t="shared" si="14"/>
        <v>100</v>
      </c>
      <c r="X41" s="1563"/>
      <c r="Y41" s="3430"/>
      <c r="Z41" s="1564" t="str">
        <f t="shared" si="15"/>
        <v>单套/主力户型建筑面积</v>
      </c>
      <c r="AA41" s="1560">
        <f t="shared" si="3"/>
        <v>1</v>
      </c>
      <c r="AB41" s="1560">
        <f t="shared" si="4"/>
        <v>1</v>
      </c>
      <c r="AC41" s="1560">
        <f t="shared" si="5"/>
        <v>1</v>
      </c>
    </row>
    <row r="42" spans="1:29" ht="15">
      <c r="A42" s="593"/>
      <c r="B42" s="526" t="s">
        <v>734</v>
      </c>
      <c r="C42" s="598" t="s">
        <v>3160</v>
      </c>
      <c r="D42" s="539">
        <v>100</v>
      </c>
      <c r="E42" s="873" t="s">
        <v>3174</v>
      </c>
      <c r="F42" s="574">
        <f>SUMIF(122:122,E42,123:123)-SUMIF(122:122,C42,123:123)+100</f>
        <v>94</v>
      </c>
      <c r="G42" s="598" t="s">
        <v>3160</v>
      </c>
      <c r="H42" s="539">
        <f>SUMIF(122:122,G42,123:123)-SUMIF(122:122,C42,123:123)+100</f>
        <v>100</v>
      </c>
      <c r="I42" s="873" t="s">
        <v>3174</v>
      </c>
      <c r="J42" s="539">
        <f>SUMIF(122:122,I42,123:123)-SUMIF(122:122,C42,123:123)+100</f>
        <v>94</v>
      </c>
      <c r="K42" s="863">
        <v>2</v>
      </c>
      <c r="L42" s="2125"/>
      <c r="M42" s="2117"/>
      <c r="N42" s="2117"/>
      <c r="O42" s="2124"/>
      <c r="P42" s="3430"/>
      <c r="Q42" s="1556" t="str">
        <f t="shared" si="11"/>
        <v>内部装修</v>
      </c>
      <c r="R42" s="1557" t="s">
        <v>11</v>
      </c>
      <c r="S42" s="1558">
        <f t="shared" si="12"/>
        <v>94</v>
      </c>
      <c r="T42" s="1557" t="s">
        <v>11</v>
      </c>
      <c r="U42" s="1558">
        <f t="shared" si="13"/>
        <v>100</v>
      </c>
      <c r="V42" s="1557" t="s">
        <v>11</v>
      </c>
      <c r="W42" s="1558">
        <f t="shared" si="14"/>
        <v>94</v>
      </c>
      <c r="X42" s="1551"/>
      <c r="Y42" s="3430"/>
      <c r="Z42" s="1559" t="str">
        <f t="shared" si="15"/>
        <v>内部装修</v>
      </c>
      <c r="AA42" s="1560">
        <f t="shared" si="3"/>
        <v>1.0638297872340425</v>
      </c>
      <c r="AB42" s="1560">
        <f t="shared" si="4"/>
        <v>1</v>
      </c>
      <c r="AC42" s="1560">
        <f t="shared" si="5"/>
        <v>1.0638297872340425</v>
      </c>
    </row>
    <row r="43" spans="1:29" ht="27.75" thickBot="1">
      <c r="A43" s="593"/>
      <c r="B43" s="526" t="s">
        <v>735</v>
      </c>
      <c r="C43" s="598" t="s">
        <v>3123</v>
      </c>
      <c r="D43" s="539">
        <v>100</v>
      </c>
      <c r="E43" s="873" t="s">
        <v>3123</v>
      </c>
      <c r="F43" s="574">
        <f>SUMIF(124:124,E43,125:125)-SUMIF(124:124,C43,125:125)+100</f>
        <v>100</v>
      </c>
      <c r="G43" s="598" t="s">
        <v>3123</v>
      </c>
      <c r="H43" s="539">
        <f>SUMIF(124:124,G43,125:125)-SUMIF(124:124,C43,125:125)+100</f>
        <v>100</v>
      </c>
      <c r="I43" s="873" t="s">
        <v>3123</v>
      </c>
      <c r="J43" s="539">
        <f>SUMIF(124:124,I43,125:125)-SUMIF(124:124,C43,125:125)+100</f>
        <v>100</v>
      </c>
      <c r="K43" s="863">
        <v>1</v>
      </c>
      <c r="L43" s="2125"/>
      <c r="M43" s="2117"/>
      <c r="N43" s="2117"/>
      <c r="O43" s="2124"/>
      <c r="P43" s="3430"/>
      <c r="Q43" s="1556" t="str">
        <f t="shared" si="11"/>
        <v>内部装修维护情况</v>
      </c>
      <c r="R43" s="1557" t="s">
        <v>11</v>
      </c>
      <c r="S43" s="1558">
        <f t="shared" si="12"/>
        <v>100</v>
      </c>
      <c r="T43" s="1557" t="s">
        <v>11</v>
      </c>
      <c r="U43" s="1558">
        <f t="shared" si="13"/>
        <v>100</v>
      </c>
      <c r="V43" s="1557" t="s">
        <v>11</v>
      </c>
      <c r="W43" s="1558">
        <f t="shared" si="14"/>
        <v>100</v>
      </c>
      <c r="X43" s="1551"/>
      <c r="Y43" s="3430"/>
      <c r="Z43" s="1559" t="str">
        <f t="shared" si="15"/>
        <v>内部装修维护情况</v>
      </c>
      <c r="AA43" s="1560">
        <f t="shared" si="3"/>
        <v>1</v>
      </c>
      <c r="AB43" s="1560">
        <f t="shared" si="4"/>
        <v>1</v>
      </c>
      <c r="AC43" s="1560">
        <f t="shared" si="5"/>
        <v>1</v>
      </c>
    </row>
    <row r="44" spans="1:29" s="1214"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430"/>
      <c r="Q44" s="1145">
        <f t="shared" si="11"/>
        <v>111</v>
      </c>
      <c r="R44" s="1552" t="s">
        <v>11</v>
      </c>
      <c r="S44" s="1553">
        <f t="shared" si="12"/>
        <v>100</v>
      </c>
      <c r="T44" s="1552" t="s">
        <v>11</v>
      </c>
      <c r="U44" s="1553">
        <f t="shared" si="13"/>
        <v>100</v>
      </c>
      <c r="V44" s="1552" t="s">
        <v>11</v>
      </c>
      <c r="W44" s="1553">
        <f t="shared" si="14"/>
        <v>100</v>
      </c>
      <c r="X44" s="1554"/>
      <c r="Y44" s="3430"/>
      <c r="Z44" s="1144">
        <f t="shared" si="15"/>
        <v>111</v>
      </c>
      <c r="AA44" s="1555">
        <f t="shared" si="3"/>
        <v>1</v>
      </c>
      <c r="AB44" s="1555">
        <f t="shared" si="4"/>
        <v>1</v>
      </c>
      <c r="AC44" s="1555">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30"/>
      <c r="Q45" s="1556">
        <f t="shared" si="11"/>
        <v>111</v>
      </c>
      <c r="R45" s="1557" t="s">
        <v>11</v>
      </c>
      <c r="S45" s="1558">
        <f t="shared" si="12"/>
        <v>100</v>
      </c>
      <c r="T45" s="1557" t="s">
        <v>11</v>
      </c>
      <c r="U45" s="1558">
        <f t="shared" si="13"/>
        <v>100</v>
      </c>
      <c r="V45" s="1557" t="s">
        <v>11</v>
      </c>
      <c r="W45" s="1558">
        <f t="shared" si="14"/>
        <v>100</v>
      </c>
      <c r="X45" s="1551"/>
      <c r="Y45" s="3430"/>
      <c r="Z45" s="1559">
        <f t="shared" si="15"/>
        <v>111</v>
      </c>
      <c r="AA45" s="1560">
        <f t="shared" si="3"/>
        <v>1</v>
      </c>
      <c r="AB45" s="1560">
        <f t="shared" si="4"/>
        <v>1</v>
      </c>
      <c r="AC45" s="1560">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511"/>
      <c r="Q46" s="1556">
        <f t="shared" si="11"/>
        <v>111</v>
      </c>
      <c r="R46" s="1557" t="s">
        <v>10</v>
      </c>
      <c r="S46" s="1558">
        <f t="shared" si="12"/>
        <v>100</v>
      </c>
      <c r="T46" s="1557" t="s">
        <v>10</v>
      </c>
      <c r="U46" s="1558">
        <f t="shared" si="13"/>
        <v>100</v>
      </c>
      <c r="V46" s="1557" t="s">
        <v>10</v>
      </c>
      <c r="W46" s="1558">
        <f t="shared" si="14"/>
        <v>100</v>
      </c>
      <c r="X46" s="1551"/>
      <c r="Y46" s="3511"/>
      <c r="Z46" s="1559">
        <f t="shared" si="15"/>
        <v>111</v>
      </c>
      <c r="AA46" s="1560">
        <f t="shared" si="3"/>
        <v>1</v>
      </c>
      <c r="AB46" s="1560">
        <f t="shared" si="4"/>
        <v>1</v>
      </c>
      <c r="AC46" s="1560">
        <f t="shared" si="5"/>
        <v>1</v>
      </c>
    </row>
    <row r="47" spans="1:29" ht="15">
      <c r="A47" s="606" t="s">
        <v>736</v>
      </c>
      <c r="B47" s="885"/>
      <c r="C47" s="2589" t="s">
        <v>9</v>
      </c>
      <c r="D47" s="2590"/>
      <c r="E47" s="2591">
        <v>45320</v>
      </c>
      <c r="F47" s="2592"/>
      <c r="G47" s="2593">
        <v>47192</v>
      </c>
      <c r="H47" s="2594"/>
      <c r="I47" s="2591">
        <v>53266</v>
      </c>
      <c r="J47" s="2594"/>
      <c r="K47" s="1589"/>
      <c r="L47" s="2127"/>
      <c r="M47" s="2128"/>
      <c r="N47" s="2117"/>
      <c r="O47" s="2128"/>
      <c r="P47" s="3393" t="str">
        <f>A47</f>
        <v>成交单价（元/平方米）</v>
      </c>
      <c r="Q47" s="3393"/>
      <c r="R47" s="3510">
        <f>E47</f>
        <v>45320</v>
      </c>
      <c r="S47" s="3510"/>
      <c r="T47" s="3510">
        <f>G47</f>
        <v>47192</v>
      </c>
      <c r="U47" s="3510"/>
      <c r="V47" s="3510">
        <f>I47</f>
        <v>53266</v>
      </c>
      <c r="W47" s="3510"/>
      <c r="X47" s="1543"/>
      <c r="Y47" s="1565"/>
      <c r="Z47" s="1543"/>
      <c r="AA47" s="1543"/>
      <c r="AB47" s="1543"/>
      <c r="AC47" s="1543"/>
    </row>
    <row r="48" spans="1:29" ht="15.75" thickBot="1">
      <c r="A48" s="614" t="s">
        <v>2754</v>
      </c>
      <c r="B48" s="886"/>
      <c r="C48" s="2595">
        <f>R49</f>
        <v>43876</v>
      </c>
      <c r="D48" s="2596"/>
      <c r="E48" s="2597">
        <f>R48</f>
        <v>42448</v>
      </c>
      <c r="F48" s="2597"/>
      <c r="G48" s="2595">
        <f>T48</f>
        <v>40743</v>
      </c>
      <c r="H48" s="2596"/>
      <c r="I48" s="2597">
        <f>V48</f>
        <v>48438</v>
      </c>
      <c r="J48" s="2596"/>
      <c r="K48" s="1590"/>
      <c r="L48" s="2127"/>
      <c r="M48" s="2128"/>
      <c r="N48" s="2128"/>
      <c r="O48" s="2128"/>
      <c r="P48" s="3393" t="str">
        <f>A48</f>
        <v>比较价格（元/平方米）</v>
      </c>
      <c r="Q48" s="3393"/>
      <c r="R48" s="3510">
        <f>IF(F1="售价",ROUND(PRODUCT(R47,AA7:AA46),0),ROUND(PRODUCT(R47,AA7:AA46),1))</f>
        <v>42448</v>
      </c>
      <c r="S48" s="3510"/>
      <c r="T48" s="3510">
        <f>IF(F1="售价",ROUND(PRODUCT(T47,AB7:AB46),0),ROUND(PRODUCT(T47,AB7:AB46),1))</f>
        <v>40743</v>
      </c>
      <c r="U48" s="3510"/>
      <c r="V48" s="3510">
        <f>IF(F1="售价",ROUND(PRODUCT(V47,AC7:AC46),0),ROUND(PRODUCT(V47,AC7:AC46),1))</f>
        <v>48438</v>
      </c>
      <c r="W48" s="3510"/>
      <c r="X48" s="1543"/>
      <c r="Y48" s="1543"/>
      <c r="Z48" s="1543"/>
      <c r="AA48" s="1543"/>
      <c r="AB48" s="1543"/>
      <c r="AC48" s="1543"/>
    </row>
    <row r="49" spans="1:29" ht="15.75" thickBot="1">
      <c r="A49" s="620" t="s">
        <v>2928</v>
      </c>
      <c r="B49" s="621"/>
      <c r="C49" s="2598">
        <f>R49</f>
        <v>43876</v>
      </c>
      <c r="D49" s="2598"/>
      <c r="E49" s="2598"/>
      <c r="F49" s="2598"/>
      <c r="G49" s="2598"/>
      <c r="H49" s="2598"/>
      <c r="I49" s="2598"/>
      <c r="J49" s="2598"/>
      <c r="K49" s="1591"/>
      <c r="L49" s="2127"/>
      <c r="M49" s="2128"/>
      <c r="N49" s="2128"/>
      <c r="O49" s="2128"/>
      <c r="P49" s="3390" t="str">
        <f>A49</f>
        <v>估价对象XX用房的比较价格（楼面单价，元/平方米）</v>
      </c>
      <c r="Q49" s="3391"/>
      <c r="R49" s="3509">
        <f>IF(F1="售价",ROUND(AVERAGE(R48:V48),0),ROUND(AVERAGE(R48:V48),1))</f>
        <v>43876</v>
      </c>
      <c r="S49" s="3509"/>
      <c r="T49" s="3509"/>
      <c r="U49" s="3509"/>
      <c r="V49" s="3509"/>
      <c r="W49" s="3509"/>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6.7659253675084852E-2</v>
      </c>
      <c r="F52" s="626" t="str">
        <f>IF(OR(E52&gt;=0.3,E52&lt;=-0.3),"超过30%","")</f>
        <v/>
      </c>
      <c r="G52" s="625">
        <f>IF(G47&lt;G48,G48/G47-1,G47/G48-1)</f>
        <v>0.15828485874874221</v>
      </c>
      <c r="H52" s="626" t="str">
        <f>IF(OR(G52&gt;=0.3,G52&lt;=-0.3),"超过30%","")</f>
        <v/>
      </c>
      <c r="I52" s="625">
        <f>IF(I47&lt;I48,I48/I47-1,I47/I48-1)</f>
        <v>9.9673809818737302E-2</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4.1847679355963008E-2</v>
      </c>
      <c r="F53" s="626" t="str">
        <f>IF(OR(E53&gt;=0.2,E53&lt;=-0.2),"超过20%","")</f>
        <v/>
      </c>
      <c r="G53" s="625">
        <f>IF(G48&lt;I48,I48/G48-1,G48/I48-1)</f>
        <v>0.18886679920477145</v>
      </c>
      <c r="H53" s="626" t="str">
        <f>IF(OR(G53&gt;=0.2,G53&lt;=-0.2),"超过20%","")</f>
        <v/>
      </c>
      <c r="I53" s="625">
        <f>IF(I48&lt;E48,E48/I48-1,I48/E48-1)</f>
        <v>0.14111383339615524</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f>IF(E47&lt;G47,G47/E47-1,E47/G47-1)</f>
        <v>4.1306266548984949E-2</v>
      </c>
      <c r="F54" s="626" t="str">
        <f>IF(OR(E54&gt;=0.3,E54&lt;=-0.3),"超过30%","")</f>
        <v/>
      </c>
      <c r="G54" s="625">
        <f>IF(G47&lt;I47,I47/G47-1,G47/I47-1)</f>
        <v>0.12870825563654864</v>
      </c>
      <c r="H54" s="626" t="str">
        <f>IF(OR(G54&gt;=0.3,G54&lt;=-0.3),"超过30%","")</f>
        <v/>
      </c>
      <c r="I54" s="625">
        <f>IF(I47&lt;E47,E47/I47-1,I47/E47-1)</f>
        <v>0.17533097969991185</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4" t="s">
        <v>529</v>
      </c>
      <c r="B58" s="645"/>
      <c r="C58" s="2757" t="str">
        <f>YEAR(C7)&amp;"-"&amp;MONTH(C7)</f>
        <v>2020-4</v>
      </c>
      <c r="D58" s="2757">
        <f>EDATE(C58,-1)</f>
        <v>43891</v>
      </c>
      <c r="E58" s="2757">
        <f t="shared" ref="E58:O58" si="16">EDATE(D58,-1)</f>
        <v>43862</v>
      </c>
      <c r="F58" s="2757">
        <f t="shared" si="16"/>
        <v>43831</v>
      </c>
      <c r="G58" s="2757">
        <f t="shared" si="16"/>
        <v>43800</v>
      </c>
      <c r="H58" s="2757">
        <f t="shared" si="16"/>
        <v>43770</v>
      </c>
      <c r="I58" s="2757">
        <f t="shared" si="16"/>
        <v>43739</v>
      </c>
      <c r="J58" s="2757">
        <f t="shared" si="16"/>
        <v>43709</v>
      </c>
      <c r="K58" s="2757">
        <f t="shared" si="16"/>
        <v>43678</v>
      </c>
      <c r="L58" s="2757">
        <f t="shared" si="16"/>
        <v>43647</v>
      </c>
      <c r="M58" s="2757">
        <f t="shared" si="16"/>
        <v>43617</v>
      </c>
      <c r="N58" s="2757">
        <f t="shared" si="16"/>
        <v>43586</v>
      </c>
      <c r="O58" s="2757">
        <f t="shared" si="16"/>
        <v>43556</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1</v>
      </c>
      <c r="E68" s="540">
        <v>2</v>
      </c>
      <c r="F68" s="540">
        <v>3</v>
      </c>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0</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0</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0</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95</v>
      </c>
      <c r="E77" s="678">
        <f>D77-$K15</f>
        <v>90</v>
      </c>
      <c r="F77" s="678">
        <f>E77-$K15</f>
        <v>85</v>
      </c>
      <c r="G77" s="678">
        <f>F77-$K15</f>
        <v>80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98</v>
      </c>
      <c r="E79" s="678">
        <f>D79-$K17</f>
        <v>96</v>
      </c>
      <c r="F79" s="678">
        <f>E79-$K17</f>
        <v>94</v>
      </c>
      <c r="G79" s="678">
        <f>F79-$K17</f>
        <v>92</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2553</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97</v>
      </c>
      <c r="E81" s="678">
        <f>D81-$K19</f>
        <v>94</v>
      </c>
      <c r="F81" s="678">
        <f>E81-$K19</f>
        <v>91</v>
      </c>
      <c r="G81" s="678">
        <f>F81-$K19</f>
        <v>88</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2554</v>
      </c>
      <c r="C82" s="2560" t="s">
        <v>2555</v>
      </c>
      <c r="D82" s="2560" t="s">
        <v>2556</v>
      </c>
      <c r="E82" s="2560" t="s">
        <v>2557</v>
      </c>
      <c r="F82" s="2560" t="s">
        <v>2558</v>
      </c>
      <c r="G82" s="2560" t="s">
        <v>2559</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95</v>
      </c>
      <c r="E85" s="678">
        <f>D85-$K23</f>
        <v>90</v>
      </c>
      <c r="F85" s="678">
        <f>E85-$K23</f>
        <v>85</v>
      </c>
      <c r="G85" s="678">
        <f>F85-$K23</f>
        <v>80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1879" t="s">
        <v>2254</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747</v>
      </c>
      <c r="C100" s="3187" t="s">
        <v>3157</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v>0</v>
      </c>
      <c r="D103" s="729">
        <f>C103+50000</f>
        <v>50000</v>
      </c>
      <c r="E103" s="729">
        <f t="shared" ref="E103:G103" si="24">D103+50000</f>
        <v>100000</v>
      </c>
      <c r="F103" s="729">
        <f t="shared" si="24"/>
        <v>150000</v>
      </c>
      <c r="G103" s="729">
        <f t="shared" si="24"/>
        <v>200000</v>
      </c>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v>100</v>
      </c>
      <c r="D104" s="670">
        <v>101</v>
      </c>
      <c r="E104" s="670">
        <v>102</v>
      </c>
      <c r="F104" s="670">
        <v>101</v>
      </c>
      <c r="G104" s="670">
        <v>100</v>
      </c>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190" t="s">
        <v>3159</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3195"/>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6">C108-$K35</f>
        <v>100</v>
      </c>
      <c r="E108" s="678">
        <f t="shared" si="26"/>
        <v>100</v>
      </c>
      <c r="F108" s="678">
        <f t="shared" si="26"/>
        <v>100</v>
      </c>
      <c r="G108" s="678">
        <f t="shared" si="26"/>
        <v>100</v>
      </c>
      <c r="H108" s="678">
        <f t="shared" si="26"/>
        <v>100</v>
      </c>
      <c r="I108" s="678">
        <f t="shared" si="26"/>
        <v>100</v>
      </c>
      <c r="J108" s="678">
        <f t="shared" si="26"/>
        <v>100</v>
      </c>
      <c r="K108" s="678">
        <f t="shared" si="26"/>
        <v>100</v>
      </c>
      <c r="L108" s="678">
        <f t="shared" si="26"/>
        <v>100</v>
      </c>
      <c r="M108" s="678">
        <f t="shared" si="26"/>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190" t="s">
        <v>3161</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190" t="s">
        <v>3162</v>
      </c>
      <c r="D114" s="3190" t="s">
        <v>3164</v>
      </c>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2552</v>
      </c>
      <c r="C116" s="3190" t="s">
        <v>3165</v>
      </c>
      <c r="D116" s="3190" t="s">
        <v>3166</v>
      </c>
      <c r="E116" s="3190" t="s">
        <v>3167</v>
      </c>
      <c r="F116" s="3190" t="s">
        <v>3168</v>
      </c>
      <c r="G116" s="3190" t="s">
        <v>3169</v>
      </c>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754</v>
      </c>
      <c r="C118" s="3195" t="s">
        <v>3171</v>
      </c>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9">C119-$K40</f>
        <v>99</v>
      </c>
      <c r="E119" s="678">
        <f t="shared" si="29"/>
        <v>98</v>
      </c>
      <c r="F119" s="678">
        <f t="shared" si="29"/>
        <v>97</v>
      </c>
      <c r="G119" s="678">
        <f t="shared" si="29"/>
        <v>96</v>
      </c>
      <c r="H119" s="678">
        <f t="shared" si="29"/>
        <v>95</v>
      </c>
      <c r="I119" s="678">
        <f t="shared" si="29"/>
        <v>94</v>
      </c>
      <c r="J119" s="678">
        <f t="shared" si="29"/>
        <v>93</v>
      </c>
      <c r="K119" s="678">
        <f t="shared" si="29"/>
        <v>92</v>
      </c>
      <c r="L119" s="678">
        <f t="shared" si="29"/>
        <v>91</v>
      </c>
      <c r="M119" s="678">
        <f t="shared" si="29"/>
        <v>90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190" t="s">
        <v>3161</v>
      </c>
      <c r="D122" s="3190" t="s">
        <v>3172</v>
      </c>
      <c r="E122" s="3190" t="s">
        <v>3173</v>
      </c>
      <c r="F122" s="3195" t="s">
        <v>3175</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30">C123-$K42</f>
        <v>98</v>
      </c>
      <c r="E123" s="678">
        <f t="shared" si="30"/>
        <v>96</v>
      </c>
      <c r="F123" s="678">
        <f t="shared" si="30"/>
        <v>94</v>
      </c>
      <c r="G123" s="678">
        <f t="shared" si="30"/>
        <v>92</v>
      </c>
      <c r="H123" s="678">
        <f t="shared" si="30"/>
        <v>90</v>
      </c>
      <c r="I123" s="678">
        <f t="shared" si="30"/>
        <v>88</v>
      </c>
      <c r="J123" s="678">
        <f t="shared" si="30"/>
        <v>86</v>
      </c>
      <c r="K123" s="678">
        <f t="shared" si="30"/>
        <v>84</v>
      </c>
      <c r="L123" s="678">
        <f t="shared" si="30"/>
        <v>82</v>
      </c>
      <c r="M123" s="678">
        <f t="shared" si="30"/>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399" t="s">
        <v>522</v>
      </c>
      <c r="D4" s="3400"/>
      <c r="E4" s="3433" t="s">
        <v>523</v>
      </c>
      <c r="F4" s="3434"/>
      <c r="G4" s="3399" t="s">
        <v>524</v>
      </c>
      <c r="H4" s="3400"/>
      <c r="I4" s="3399" t="s">
        <v>525</v>
      </c>
      <c r="J4" s="3400"/>
      <c r="K4" s="513" t="s">
        <v>526</v>
      </c>
      <c r="L4" s="2116"/>
      <c r="M4" s="2117"/>
      <c r="N4" s="2117"/>
      <c r="O4" s="2117"/>
      <c r="P4" s="3401" t="s">
        <v>527</v>
      </c>
      <c r="Q4" s="3402"/>
      <c r="R4" s="3407" t="s">
        <v>523</v>
      </c>
      <c r="S4" s="3408"/>
      <c r="T4" s="3407" t="s">
        <v>524</v>
      </c>
      <c r="U4" s="3408"/>
      <c r="V4" s="3394" t="s">
        <v>525</v>
      </c>
      <c r="W4" s="3394"/>
      <c r="X4" s="1551"/>
      <c r="Y4" s="3407" t="s">
        <v>527</v>
      </c>
      <c r="Z4" s="3408"/>
      <c r="AA4" s="3396" t="s">
        <v>523</v>
      </c>
      <c r="AB4" s="3394" t="s">
        <v>524</v>
      </c>
      <c r="AC4" s="3396" t="s">
        <v>525</v>
      </c>
    </row>
    <row r="5" spans="1:29" ht="15">
      <c r="A5" s="514"/>
      <c r="B5" s="515"/>
      <c r="C5" s="3415" t="s">
        <v>2922</v>
      </c>
      <c r="D5" s="3416"/>
      <c r="E5" s="3435" t="s">
        <v>2923</v>
      </c>
      <c r="F5" s="3436"/>
      <c r="G5" s="3415" t="s">
        <v>2924</v>
      </c>
      <c r="H5" s="3416"/>
      <c r="I5" s="3415" t="s">
        <v>2925</v>
      </c>
      <c r="J5" s="3416"/>
      <c r="K5" s="513"/>
      <c r="L5" s="2116"/>
      <c r="M5" s="2117"/>
      <c r="N5" s="2117"/>
      <c r="O5" s="2117"/>
      <c r="P5" s="3403"/>
      <c r="Q5" s="3404"/>
      <c r="R5" s="3409"/>
      <c r="S5" s="3410"/>
      <c r="T5" s="3409"/>
      <c r="U5" s="3410"/>
      <c r="V5" s="3394"/>
      <c r="W5" s="3394"/>
      <c r="X5" s="1551"/>
      <c r="Y5" s="3409"/>
      <c r="Z5" s="3410"/>
      <c r="AA5" s="3397"/>
      <c r="AB5" s="3394"/>
      <c r="AC5" s="3397"/>
    </row>
    <row r="6" spans="1:29" ht="15.75" thickBot="1">
      <c r="A6" s="516"/>
      <c r="B6" s="517"/>
      <c r="C6" s="3413" t="s">
        <v>2926</v>
      </c>
      <c r="D6" s="3414"/>
      <c r="E6" s="3431" t="s">
        <v>2926</v>
      </c>
      <c r="F6" s="3432"/>
      <c r="G6" s="3413" t="s">
        <v>2926</v>
      </c>
      <c r="H6" s="3414"/>
      <c r="I6" s="3413" t="s">
        <v>2926</v>
      </c>
      <c r="J6" s="3414"/>
      <c r="K6" s="513" t="s">
        <v>528</v>
      </c>
      <c r="L6" s="2116"/>
      <c r="M6" s="2117"/>
      <c r="N6" s="2117"/>
      <c r="O6" s="2117"/>
      <c r="P6" s="3405"/>
      <c r="Q6" s="3406"/>
      <c r="R6" s="3409"/>
      <c r="S6" s="3410"/>
      <c r="T6" s="3411"/>
      <c r="U6" s="3412"/>
      <c r="V6" s="3394"/>
      <c r="W6" s="3394"/>
      <c r="X6" s="1551"/>
      <c r="Y6" s="3411"/>
      <c r="Z6" s="3412"/>
      <c r="AA6" s="3398"/>
      <c r="AB6" s="3394"/>
      <c r="AC6" s="3398"/>
    </row>
    <row r="7" spans="1:29" s="1214" customFormat="1" ht="15.75" thickBot="1">
      <c r="A7" s="2865"/>
      <c r="B7" s="2872" t="s">
        <v>529</v>
      </c>
      <c r="C7" s="518">
        <f>'数据-取费表'!B2</f>
        <v>43942</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24" t="s">
        <v>530</v>
      </c>
      <c r="Q7" s="3426"/>
      <c r="R7" s="1552" t="s">
        <v>8</v>
      </c>
      <c r="S7" s="1553">
        <f t="shared" ref="S7:S15" si="0">F7</f>
        <v>0</v>
      </c>
      <c r="T7" s="1552" t="s">
        <v>8</v>
      </c>
      <c r="U7" s="1553">
        <f t="shared" ref="U7:U15" si="1">H7</f>
        <v>0</v>
      </c>
      <c r="V7" s="1552" t="s">
        <v>8</v>
      </c>
      <c r="W7" s="1553">
        <f t="shared" ref="W7:W15" si="2">J7</f>
        <v>0</v>
      </c>
      <c r="X7" s="1554"/>
      <c r="Y7" s="3424" t="s">
        <v>530</v>
      </c>
      <c r="Z7" s="3425"/>
      <c r="AA7" s="1555" t="e">
        <f>D7/F7</f>
        <v>#DIV/0!</v>
      </c>
      <c r="AB7" s="1555" t="e">
        <f>D7/H7</f>
        <v>#DIV/0!</v>
      </c>
      <c r="AC7" s="1555" t="e">
        <f>D7/J7</f>
        <v>#DIV/0!</v>
      </c>
    </row>
    <row r="8" spans="1:29" s="1214"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24" t="s">
        <v>533</v>
      </c>
      <c r="Q8" s="3425"/>
      <c r="R8" s="1552" t="s">
        <v>8</v>
      </c>
      <c r="S8" s="1553">
        <f t="shared" si="0"/>
        <v>0</v>
      </c>
      <c r="T8" s="1552" t="s">
        <v>8</v>
      </c>
      <c r="U8" s="1553">
        <f t="shared" si="1"/>
        <v>0</v>
      </c>
      <c r="V8" s="1552" t="s">
        <v>8</v>
      </c>
      <c r="W8" s="1553">
        <f t="shared" si="2"/>
        <v>0</v>
      </c>
      <c r="X8" s="1554"/>
      <c r="Y8" s="3424" t="s">
        <v>533</v>
      </c>
      <c r="Z8" s="3425"/>
      <c r="AA8" s="1555" t="e">
        <f t="shared" ref="AA8:AA46" si="3">D8/F8</f>
        <v>#DIV/0!</v>
      </c>
      <c r="AB8" s="1555" t="e">
        <f t="shared" ref="AB8:AB46" si="4">D8/H8</f>
        <v>#DIV/0!</v>
      </c>
      <c r="AC8" s="1555" t="e">
        <f t="shared" ref="AC8:AC46" si="5">D8/J8</f>
        <v>#DIV/0!</v>
      </c>
    </row>
    <row r="9" spans="1:29" s="1214" customFormat="1" ht="15">
      <c r="A9" s="2867"/>
      <c r="B9" s="2874" t="s">
        <v>2750</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393" t="s">
        <v>535</v>
      </c>
      <c r="Q9" s="1145" t="str">
        <f t="shared" ref="Q9:Q15" si="6">B9</f>
        <v>用途</v>
      </c>
      <c r="R9" s="1552" t="s">
        <v>8</v>
      </c>
      <c r="S9" s="1553">
        <f t="shared" si="0"/>
        <v>100</v>
      </c>
      <c r="T9" s="1552" t="s">
        <v>8</v>
      </c>
      <c r="U9" s="1553">
        <f t="shared" si="1"/>
        <v>100</v>
      </c>
      <c r="V9" s="1552" t="s">
        <v>8</v>
      </c>
      <c r="W9" s="1553">
        <f t="shared" si="2"/>
        <v>100</v>
      </c>
      <c r="X9" s="1554"/>
      <c r="Y9" s="3339" t="s">
        <v>536</v>
      </c>
      <c r="Z9" s="1144" t="str">
        <f t="shared" ref="Z9:Z15" si="7">Q9</f>
        <v>用途</v>
      </c>
      <c r="AA9" s="1555">
        <f t="shared" si="3"/>
        <v>1</v>
      </c>
      <c r="AB9" s="1555">
        <f t="shared" si="4"/>
        <v>1</v>
      </c>
      <c r="AC9" s="1555">
        <f t="shared" si="5"/>
        <v>1</v>
      </c>
    </row>
    <row r="10" spans="1:29" s="1332" customFormat="1" ht="27">
      <c r="A10" s="2868"/>
      <c r="B10" s="2873" t="s">
        <v>2751</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393"/>
      <c r="Q10" s="1145" t="str">
        <f t="shared" si="6"/>
        <v>土地使用年限（年）</v>
      </c>
      <c r="R10" s="1552" t="s">
        <v>8</v>
      </c>
      <c r="S10" s="1553">
        <f t="shared" si="0"/>
        <v>100</v>
      </c>
      <c r="T10" s="1552" t="s">
        <v>8</v>
      </c>
      <c r="U10" s="1553">
        <f t="shared" si="1"/>
        <v>100</v>
      </c>
      <c r="V10" s="1552" t="s">
        <v>8</v>
      </c>
      <c r="W10" s="1553">
        <f t="shared" si="2"/>
        <v>100</v>
      </c>
      <c r="X10" s="1554"/>
      <c r="Y10" s="3339"/>
      <c r="Z10" s="1144" t="str">
        <f t="shared" si="7"/>
        <v>土地使用年限（年）</v>
      </c>
      <c r="AA10" s="1555">
        <f t="shared" si="3"/>
        <v>1</v>
      </c>
      <c r="AB10" s="1555">
        <f t="shared" si="4"/>
        <v>1</v>
      </c>
      <c r="AC10" s="1555">
        <f t="shared" si="5"/>
        <v>1</v>
      </c>
    </row>
    <row r="11" spans="1:29" ht="15">
      <c r="A11" s="2869"/>
      <c r="B11" s="2873" t="s">
        <v>2752</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393"/>
      <c r="Q11" s="1145" t="str">
        <f t="shared" si="6"/>
        <v>容积率</v>
      </c>
      <c r="R11" s="1552" t="s">
        <v>8</v>
      </c>
      <c r="S11" s="1553" t="e">
        <f t="shared" si="0"/>
        <v>#N/A</v>
      </c>
      <c r="T11" s="1552" t="s">
        <v>8</v>
      </c>
      <c r="U11" s="1553" t="e">
        <f t="shared" si="1"/>
        <v>#N/A</v>
      </c>
      <c r="V11" s="1552" t="s">
        <v>8</v>
      </c>
      <c r="W11" s="1553" t="e">
        <f t="shared" si="2"/>
        <v>#N/A</v>
      </c>
      <c r="X11" s="1554"/>
      <c r="Y11" s="3339"/>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393"/>
      <c r="Q12" s="1145">
        <f t="shared" si="6"/>
        <v>111</v>
      </c>
      <c r="R12" s="1552" t="s">
        <v>8</v>
      </c>
      <c r="S12" s="1553">
        <f t="shared" si="0"/>
        <v>100</v>
      </c>
      <c r="T12" s="1552" t="s">
        <v>8</v>
      </c>
      <c r="U12" s="1553">
        <f t="shared" si="1"/>
        <v>100</v>
      </c>
      <c r="V12" s="1552" t="s">
        <v>8</v>
      </c>
      <c r="W12" s="1553">
        <f t="shared" si="2"/>
        <v>100</v>
      </c>
      <c r="X12" s="1554"/>
      <c r="Y12" s="3339"/>
      <c r="Z12" s="1144">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393"/>
      <c r="Q13" s="1145">
        <f t="shared" si="6"/>
        <v>111</v>
      </c>
      <c r="R13" s="1552" t="s">
        <v>8</v>
      </c>
      <c r="S13" s="1553">
        <f t="shared" si="0"/>
        <v>100</v>
      </c>
      <c r="T13" s="1552" t="s">
        <v>8</v>
      </c>
      <c r="U13" s="1553">
        <f t="shared" si="1"/>
        <v>100</v>
      </c>
      <c r="V13" s="1552" t="s">
        <v>8</v>
      </c>
      <c r="W13" s="1553">
        <f t="shared" si="2"/>
        <v>100</v>
      </c>
      <c r="X13" s="1554"/>
      <c r="Y13" s="3339"/>
      <c r="Z13" s="1144">
        <f t="shared" si="7"/>
        <v>111</v>
      </c>
      <c r="AA13" s="1555">
        <f t="shared" si="3"/>
        <v>1</v>
      </c>
      <c r="AB13" s="1555">
        <f t="shared" si="4"/>
        <v>1</v>
      </c>
      <c r="AC13" s="1555">
        <f t="shared" si="5"/>
        <v>1</v>
      </c>
    </row>
    <row r="14" spans="1:29" ht="15.75" thickBot="1">
      <c r="A14" s="2871"/>
      <c r="B14" s="2877">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393"/>
      <c r="Q14" s="1145">
        <f t="shared" si="6"/>
        <v>111</v>
      </c>
      <c r="R14" s="1552" t="s">
        <v>8</v>
      </c>
      <c r="S14" s="1553">
        <f t="shared" si="0"/>
        <v>100</v>
      </c>
      <c r="T14" s="1552" t="s">
        <v>8</v>
      </c>
      <c r="U14" s="1553">
        <f t="shared" si="1"/>
        <v>100</v>
      </c>
      <c r="V14" s="1552" t="s">
        <v>8</v>
      </c>
      <c r="W14" s="1553">
        <f t="shared" si="2"/>
        <v>100</v>
      </c>
      <c r="X14" s="1554"/>
      <c r="Y14" s="3339"/>
      <c r="Z14" s="1144">
        <f t="shared" si="7"/>
        <v>111</v>
      </c>
      <c r="AA14" s="1555">
        <f t="shared" si="3"/>
        <v>1</v>
      </c>
      <c r="AB14" s="1555">
        <f t="shared" si="4"/>
        <v>1</v>
      </c>
      <c r="AC14" s="1555">
        <f t="shared" si="5"/>
        <v>1</v>
      </c>
    </row>
    <row r="15" spans="1:29" ht="71.25">
      <c r="A15" s="2863" t="s">
        <v>2748</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427" t="s">
        <v>540</v>
      </c>
      <c r="Q15" s="1556" t="str">
        <f t="shared" si="6"/>
        <v>商业繁华度</v>
      </c>
      <c r="R15" s="1557" t="s">
        <v>8</v>
      </c>
      <c r="S15" s="1558">
        <f t="shared" si="0"/>
        <v>100</v>
      </c>
      <c r="T15" s="1557" t="s">
        <v>8</v>
      </c>
      <c r="U15" s="1558">
        <f t="shared" si="1"/>
        <v>100</v>
      </c>
      <c r="V15" s="1557" t="s">
        <v>8</v>
      </c>
      <c r="W15" s="1558">
        <f t="shared" si="2"/>
        <v>100</v>
      </c>
      <c r="X15" s="1551"/>
      <c r="Y15" s="3427"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428"/>
      <c r="Q16" s="1556"/>
      <c r="R16" s="1557"/>
      <c r="S16" s="1558"/>
      <c r="T16" s="1557"/>
      <c r="U16" s="1558"/>
      <c r="V16" s="1557"/>
      <c r="W16" s="1558"/>
      <c r="X16" s="1551"/>
      <c r="Y16" s="3428"/>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428"/>
      <c r="Q17" s="1556" t="str">
        <f>B17</f>
        <v>交通便捷度</v>
      </c>
      <c r="R17" s="1557" t="s">
        <v>8</v>
      </c>
      <c r="S17" s="1558">
        <f>F17</f>
        <v>100</v>
      </c>
      <c r="T17" s="1557" t="s">
        <v>8</v>
      </c>
      <c r="U17" s="1558">
        <f>H17</f>
        <v>100</v>
      </c>
      <c r="V17" s="1557" t="s">
        <v>8</v>
      </c>
      <c r="W17" s="1558">
        <f>J17</f>
        <v>100</v>
      </c>
      <c r="X17" s="1551"/>
      <c r="Y17" s="3428"/>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428"/>
      <c r="Q18" s="1556"/>
      <c r="R18" s="1557"/>
      <c r="S18" s="1558"/>
      <c r="T18" s="1557"/>
      <c r="U18" s="1558"/>
      <c r="V18" s="1557"/>
      <c r="W18" s="1558"/>
      <c r="X18" s="1551"/>
      <c r="Y18" s="3428"/>
      <c r="Z18" s="1559"/>
      <c r="AA18" s="1560">
        <v>1</v>
      </c>
      <c r="AB18" s="1560">
        <v>1</v>
      </c>
      <c r="AC18" s="1560">
        <v>1</v>
      </c>
    </row>
    <row r="19" spans="1:29" ht="42.75">
      <c r="A19" s="531"/>
      <c r="B19" s="2562"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428"/>
      <c r="Q19" s="1556" t="str">
        <f>B19</f>
        <v>公共配套设施</v>
      </c>
      <c r="R19" s="1557" t="s">
        <v>8</v>
      </c>
      <c r="S19" s="1558">
        <f>F19</f>
        <v>100</v>
      </c>
      <c r="T19" s="1557" t="s">
        <v>8</v>
      </c>
      <c r="U19" s="1558">
        <f>H19</f>
        <v>100</v>
      </c>
      <c r="V19" s="1557" t="s">
        <v>8</v>
      </c>
      <c r="W19" s="1558">
        <f>J19</f>
        <v>100</v>
      </c>
      <c r="X19" s="1551"/>
      <c r="Y19" s="3428"/>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7"/>
      <c r="L20" s="2125"/>
      <c r="M20" s="2117"/>
      <c r="N20" s="2117"/>
      <c r="O20" s="2124"/>
      <c r="P20" s="3428"/>
      <c r="Q20" s="1556"/>
      <c r="R20" s="1557"/>
      <c r="S20" s="1558"/>
      <c r="T20" s="1557"/>
      <c r="U20" s="1558"/>
      <c r="V20" s="1557"/>
      <c r="W20" s="1558"/>
      <c r="X20" s="1551"/>
      <c r="Y20" s="3428"/>
      <c r="Z20" s="1559"/>
      <c r="AA20" s="1560">
        <v>1</v>
      </c>
      <c r="AB20" s="1560">
        <v>1</v>
      </c>
      <c r="AC20" s="1560">
        <v>1</v>
      </c>
    </row>
    <row r="21" spans="1:29" ht="28.5">
      <c r="A21" s="531"/>
      <c r="B21" s="2555"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428"/>
      <c r="Q21" s="2541" t="str">
        <f>B21</f>
        <v>基础设施水平</v>
      </c>
      <c r="R21" s="1557" t="s">
        <v>8</v>
      </c>
      <c r="S21" s="1558">
        <f>F21</f>
        <v>100</v>
      </c>
      <c r="T21" s="1557" t="s">
        <v>8</v>
      </c>
      <c r="U21" s="1558">
        <f>H21</f>
        <v>100</v>
      </c>
      <c r="V21" s="1557" t="s">
        <v>8</v>
      </c>
      <c r="W21" s="1558">
        <f>J21</f>
        <v>100</v>
      </c>
      <c r="X21" s="2543"/>
      <c r="Y21" s="3428"/>
      <c r="Z21" s="2542" t="str">
        <f>Q21</f>
        <v>基础设施水平</v>
      </c>
      <c r="AA21" s="1560">
        <f t="shared" ref="AA21" si="8">D21/F21</f>
        <v>1</v>
      </c>
      <c r="AB21" s="1560">
        <f t="shared" ref="AB21" si="9">D21/H21</f>
        <v>1</v>
      </c>
      <c r="AC21" s="1560">
        <f t="shared" ref="AC21" si="10">D21/J21</f>
        <v>1</v>
      </c>
    </row>
    <row r="22" spans="1:29" ht="15">
      <c r="A22" s="531"/>
      <c r="B22" s="920"/>
      <c r="C22" s="872"/>
      <c r="D22" s="554"/>
      <c r="E22" s="575"/>
      <c r="F22" s="556"/>
      <c r="G22" s="575"/>
      <c r="H22" s="554"/>
      <c r="I22" s="575"/>
      <c r="J22" s="554"/>
      <c r="K22" s="2564"/>
      <c r="L22" s="2125"/>
      <c r="M22" s="2117"/>
      <c r="N22" s="2117"/>
      <c r="O22" s="2124"/>
      <c r="P22" s="3428"/>
      <c r="Q22" s="2541"/>
      <c r="R22" s="1557"/>
      <c r="S22" s="1558"/>
      <c r="T22" s="1557"/>
      <c r="U22" s="1558"/>
      <c r="V22" s="1557"/>
      <c r="W22" s="1558"/>
      <c r="X22" s="2543"/>
      <c r="Y22" s="3428"/>
      <c r="Z22" s="2542"/>
      <c r="AA22" s="1560">
        <v>1</v>
      </c>
      <c r="AB22" s="1560">
        <v>1</v>
      </c>
      <c r="AC22" s="1560">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428"/>
      <c r="Q23" s="1556" t="str">
        <f>B23</f>
        <v>自然及人文环境</v>
      </c>
      <c r="R23" s="1557" t="s">
        <v>8</v>
      </c>
      <c r="S23" s="1558">
        <f>F23</f>
        <v>100</v>
      </c>
      <c r="T23" s="1557" t="s">
        <v>8</v>
      </c>
      <c r="U23" s="1558">
        <f>H23</f>
        <v>100</v>
      </c>
      <c r="V23" s="1557" t="s">
        <v>8</v>
      </c>
      <c r="W23" s="1558">
        <f>J23</f>
        <v>100</v>
      </c>
      <c r="X23" s="1551"/>
      <c r="Y23" s="3428"/>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7"/>
      <c r="L24" s="2125"/>
      <c r="M24" s="2117"/>
      <c r="N24" s="2117"/>
      <c r="O24" s="2124"/>
      <c r="P24" s="3428"/>
      <c r="Q24" s="1556"/>
      <c r="R24" s="1557"/>
      <c r="S24" s="1558"/>
      <c r="T24" s="1557"/>
      <c r="U24" s="1558"/>
      <c r="V24" s="1557"/>
      <c r="W24" s="1558"/>
      <c r="X24" s="1551"/>
      <c r="Y24" s="3428"/>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28"/>
      <c r="Q25" s="1556" t="str">
        <f t="shared" ref="Q25:Q46" si="11">B25</f>
        <v>临街状况</v>
      </c>
      <c r="R25" s="1557" t="s">
        <v>8</v>
      </c>
      <c r="S25" s="1558">
        <f>F25</f>
        <v>100</v>
      </c>
      <c r="T25" s="1557" t="s">
        <v>8</v>
      </c>
      <c r="U25" s="1558">
        <f>H25</f>
        <v>100</v>
      </c>
      <c r="V25" s="1557" t="s">
        <v>8</v>
      </c>
      <c r="W25" s="1558">
        <f>J25</f>
        <v>100</v>
      </c>
      <c r="X25" s="1551"/>
      <c r="Y25" s="3428"/>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28"/>
      <c r="Q26" s="1556" t="str">
        <f t="shared" si="11"/>
        <v>平面位置/可视性</v>
      </c>
      <c r="R26" s="1557" t="s">
        <v>8</v>
      </c>
      <c r="S26" s="1558">
        <f>F26</f>
        <v>100</v>
      </c>
      <c r="T26" s="1557" t="s">
        <v>8</v>
      </c>
      <c r="U26" s="1558">
        <f>H26</f>
        <v>100</v>
      </c>
      <c r="V26" s="1557" t="s">
        <v>8</v>
      </c>
      <c r="W26" s="1558">
        <f>J26</f>
        <v>100</v>
      </c>
      <c r="X26" s="1551"/>
      <c r="Y26" s="3428"/>
      <c r="Z26" s="1559" t="str">
        <f>Q26</f>
        <v>平面位置/可视性</v>
      </c>
      <c r="AA26" s="1560">
        <f t="shared" si="3"/>
        <v>1</v>
      </c>
      <c r="AB26" s="1560">
        <f t="shared" si="4"/>
        <v>1</v>
      </c>
      <c r="AC26" s="1560">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428"/>
      <c r="Q27" s="1145" t="str">
        <f t="shared" si="11"/>
        <v>人流量</v>
      </c>
      <c r="R27" s="1552" t="s">
        <v>8</v>
      </c>
      <c r="S27" s="1553">
        <f>F27</f>
        <v>100</v>
      </c>
      <c r="T27" s="1552" t="s">
        <v>8</v>
      </c>
      <c r="U27" s="1553">
        <f>H27</f>
        <v>100</v>
      </c>
      <c r="V27" s="1552" t="s">
        <v>8</v>
      </c>
      <c r="W27" s="1553">
        <f>J27</f>
        <v>100</v>
      </c>
      <c r="X27" s="1554"/>
      <c r="Y27" s="3428"/>
      <c r="Z27" s="1144"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28"/>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28"/>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28"/>
      <c r="Q29" s="1556">
        <f t="shared" si="11"/>
        <v>111</v>
      </c>
      <c r="R29" s="1557" t="s">
        <v>8</v>
      </c>
      <c r="S29" s="1558">
        <f t="shared" si="12"/>
        <v>100</v>
      </c>
      <c r="T29" s="1557" t="s">
        <v>8</v>
      </c>
      <c r="U29" s="1558">
        <f t="shared" si="13"/>
        <v>100</v>
      </c>
      <c r="V29" s="1557" t="s">
        <v>8</v>
      </c>
      <c r="W29" s="1558">
        <f t="shared" si="14"/>
        <v>100</v>
      </c>
      <c r="X29" s="1551"/>
      <c r="Y29" s="3428"/>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28"/>
      <c r="Q30" s="1556">
        <f t="shared" si="11"/>
        <v>111</v>
      </c>
      <c r="R30" s="1557" t="s">
        <v>8</v>
      </c>
      <c r="S30" s="1558">
        <f t="shared" si="12"/>
        <v>100</v>
      </c>
      <c r="T30" s="1557" t="s">
        <v>8</v>
      </c>
      <c r="U30" s="1558">
        <f t="shared" si="13"/>
        <v>100</v>
      </c>
      <c r="V30" s="1557" t="s">
        <v>8</v>
      </c>
      <c r="W30" s="1558">
        <f t="shared" si="14"/>
        <v>100</v>
      </c>
      <c r="X30" s="1551"/>
      <c r="Y30" s="3428"/>
      <c r="Z30" s="1559">
        <f t="shared" si="15"/>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28"/>
      <c r="Q31" s="1556">
        <f t="shared" si="11"/>
        <v>111</v>
      </c>
      <c r="R31" s="1557" t="s">
        <v>8</v>
      </c>
      <c r="S31" s="1558">
        <f t="shared" si="12"/>
        <v>100</v>
      </c>
      <c r="T31" s="1557" t="s">
        <v>8</v>
      </c>
      <c r="U31" s="1558">
        <f t="shared" si="13"/>
        <v>100</v>
      </c>
      <c r="V31" s="1557" t="s">
        <v>8</v>
      </c>
      <c r="W31" s="1558">
        <f t="shared" si="14"/>
        <v>100</v>
      </c>
      <c r="X31" s="1551"/>
      <c r="Y31" s="3428"/>
      <c r="Z31" s="1559">
        <f t="shared" si="15"/>
        <v>111</v>
      </c>
      <c r="AA31" s="1560">
        <f t="shared" si="3"/>
        <v>1</v>
      </c>
      <c r="AB31" s="1560">
        <f t="shared" si="4"/>
        <v>1</v>
      </c>
      <c r="AC31" s="1560">
        <f t="shared" si="5"/>
        <v>1</v>
      </c>
    </row>
    <row r="32" spans="1:29" ht="15">
      <c r="A32" s="2860" t="s">
        <v>2749</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429" t="s">
        <v>550</v>
      </c>
      <c r="Q32" s="1556" t="str">
        <f t="shared" si="11"/>
        <v>商业类型</v>
      </c>
      <c r="R32" s="1557" t="s">
        <v>8</v>
      </c>
      <c r="S32" s="1558">
        <f t="shared" si="12"/>
        <v>100</v>
      </c>
      <c r="T32" s="1557" t="s">
        <v>8</v>
      </c>
      <c r="U32" s="1558">
        <f t="shared" si="13"/>
        <v>100</v>
      </c>
      <c r="V32" s="1557" t="s">
        <v>8</v>
      </c>
      <c r="W32" s="1558">
        <f t="shared" si="14"/>
        <v>100</v>
      </c>
      <c r="X32" s="1551"/>
      <c r="Y32" s="3430" t="s">
        <v>550</v>
      </c>
      <c r="Z32" s="1559" t="str">
        <f t="shared" si="15"/>
        <v>商业类型</v>
      </c>
      <c r="AA32" s="1560">
        <f t="shared" si="3"/>
        <v>1</v>
      </c>
      <c r="AB32" s="1560">
        <f t="shared" si="4"/>
        <v>1</v>
      </c>
      <c r="AC32" s="1560">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30"/>
      <c r="Q33" s="1588" t="str">
        <f t="shared" si="11"/>
        <v>项目建筑规模</v>
      </c>
      <c r="R33" s="1561" t="s">
        <v>8</v>
      </c>
      <c r="S33" s="1562" t="e">
        <f t="shared" si="12"/>
        <v>#N/A</v>
      </c>
      <c r="T33" s="1561" t="s">
        <v>8</v>
      </c>
      <c r="U33" s="1562" t="e">
        <f t="shared" si="13"/>
        <v>#N/A</v>
      </c>
      <c r="V33" s="1561" t="s">
        <v>8</v>
      </c>
      <c r="W33" s="1562" t="e">
        <f t="shared" si="14"/>
        <v>#N/A</v>
      </c>
      <c r="X33" s="1563"/>
      <c r="Y33" s="3430"/>
      <c r="Z33" s="1564" t="str">
        <f t="shared" si="15"/>
        <v>项目建筑规模</v>
      </c>
      <c r="AA33" s="1560" t="e">
        <f t="shared" si="3"/>
        <v>#N/A</v>
      </c>
      <c r="AB33" s="1560" t="e">
        <f t="shared" si="4"/>
        <v>#N/A</v>
      </c>
      <c r="AC33" s="1560"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430"/>
      <c r="Q34" s="1556" t="str">
        <f t="shared" si="11"/>
        <v>建筑结构</v>
      </c>
      <c r="R34" s="1557" t="s">
        <v>8</v>
      </c>
      <c r="S34" s="1558">
        <f t="shared" si="12"/>
        <v>100</v>
      </c>
      <c r="T34" s="1557" t="s">
        <v>8</v>
      </c>
      <c r="U34" s="1558">
        <f t="shared" si="13"/>
        <v>100</v>
      </c>
      <c r="V34" s="1557" t="s">
        <v>8</v>
      </c>
      <c r="W34" s="1558">
        <f t="shared" si="14"/>
        <v>100</v>
      </c>
      <c r="X34" s="1551"/>
      <c r="Y34" s="3430"/>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30"/>
      <c r="Q35" s="1556" t="str">
        <f t="shared" si="11"/>
        <v>公共部分装修</v>
      </c>
      <c r="R35" s="1557" t="s">
        <v>8</v>
      </c>
      <c r="S35" s="1558">
        <f t="shared" si="12"/>
        <v>100</v>
      </c>
      <c r="T35" s="1557" t="s">
        <v>8</v>
      </c>
      <c r="U35" s="1558">
        <f t="shared" si="13"/>
        <v>100</v>
      </c>
      <c r="V35" s="1557" t="s">
        <v>8</v>
      </c>
      <c r="W35" s="1558">
        <f t="shared" si="14"/>
        <v>100</v>
      </c>
      <c r="X35" s="1551"/>
      <c r="Y35" s="3430"/>
      <c r="Z35" s="1559" t="str">
        <f t="shared" si="15"/>
        <v>公共部分装修</v>
      </c>
      <c r="AA35" s="1560">
        <f t="shared" si="3"/>
        <v>1</v>
      </c>
      <c r="AB35" s="1560">
        <f t="shared" si="4"/>
        <v>1</v>
      </c>
      <c r="AC35" s="1560">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430"/>
      <c r="Q36" s="1556" t="str">
        <f t="shared" si="11"/>
        <v>成新度</v>
      </c>
      <c r="R36" s="1557" t="s">
        <v>8</v>
      </c>
      <c r="S36" s="1558" t="e">
        <f t="shared" si="12"/>
        <v>#N/A</v>
      </c>
      <c r="T36" s="1557" t="s">
        <v>8</v>
      </c>
      <c r="U36" s="1558" t="e">
        <f t="shared" si="13"/>
        <v>#N/A</v>
      </c>
      <c r="V36" s="1557" t="s">
        <v>8</v>
      </c>
      <c r="W36" s="1558" t="e">
        <f t="shared" si="14"/>
        <v>#N/A</v>
      </c>
      <c r="X36" s="1551"/>
      <c r="Y36" s="3430"/>
      <c r="Z36" s="1559" t="str">
        <f t="shared" si="15"/>
        <v>成新度</v>
      </c>
      <c r="AA36" s="1560" t="e">
        <f t="shared" si="3"/>
        <v>#N/A</v>
      </c>
      <c r="AB36" s="1560" t="e">
        <f t="shared" si="4"/>
        <v>#N/A</v>
      </c>
      <c r="AC36" s="1560" t="e">
        <f t="shared" si="5"/>
        <v>#N/A</v>
      </c>
    </row>
    <row r="37" spans="1:29" s="1214" customFormat="1" ht="15">
      <c r="A37" s="599"/>
      <c r="B37" s="1878"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30"/>
      <c r="Q37" s="1145" t="str">
        <f t="shared" si="11"/>
        <v>市政基础设施</v>
      </c>
      <c r="R37" s="1552" t="s">
        <v>8</v>
      </c>
      <c r="S37" s="1553">
        <f t="shared" si="12"/>
        <v>100</v>
      </c>
      <c r="T37" s="1552" t="s">
        <v>8</v>
      </c>
      <c r="U37" s="1553">
        <f t="shared" si="13"/>
        <v>100</v>
      </c>
      <c r="V37" s="1552" t="s">
        <v>8</v>
      </c>
      <c r="W37" s="1553">
        <f t="shared" si="14"/>
        <v>100</v>
      </c>
      <c r="X37" s="1554"/>
      <c r="Y37" s="3430"/>
      <c r="Z37" s="1144"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30" t="s">
        <v>766</v>
      </c>
      <c r="Q38" s="1556" t="str">
        <f t="shared" si="11"/>
        <v>业态</v>
      </c>
      <c r="R38" s="1557" t="s">
        <v>8</v>
      </c>
      <c r="S38" s="1558">
        <f t="shared" si="12"/>
        <v>100</v>
      </c>
      <c r="T38" s="1557" t="s">
        <v>8</v>
      </c>
      <c r="U38" s="1558">
        <f t="shared" si="13"/>
        <v>100</v>
      </c>
      <c r="V38" s="1557" t="s">
        <v>8</v>
      </c>
      <c r="W38" s="1558">
        <f t="shared" si="14"/>
        <v>100</v>
      </c>
      <c r="X38" s="1551"/>
      <c r="Y38" s="3430"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30"/>
      <c r="Q39" s="1556" t="str">
        <f t="shared" si="11"/>
        <v>层高</v>
      </c>
      <c r="R39" s="1557" t="s">
        <v>8</v>
      </c>
      <c r="S39" s="1558">
        <f t="shared" si="12"/>
        <v>100</v>
      </c>
      <c r="T39" s="1557" t="s">
        <v>8</v>
      </c>
      <c r="U39" s="1558">
        <f t="shared" si="13"/>
        <v>100</v>
      </c>
      <c r="V39" s="1557" t="s">
        <v>8</v>
      </c>
      <c r="W39" s="1558">
        <f t="shared" si="14"/>
        <v>100</v>
      </c>
      <c r="X39" s="1551"/>
      <c r="Y39" s="3430"/>
      <c r="Z39" s="1559" t="str">
        <f t="shared" si="15"/>
        <v>层高</v>
      </c>
      <c r="AA39" s="1560">
        <f t="shared" si="3"/>
        <v>1</v>
      </c>
      <c r="AB39" s="1560">
        <f t="shared" si="4"/>
        <v>1</v>
      </c>
      <c r="AC39" s="1560">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430"/>
      <c r="Q40" s="1556" t="str">
        <f t="shared" si="11"/>
        <v>单套建筑面积</v>
      </c>
      <c r="R40" s="1557" t="s">
        <v>8</v>
      </c>
      <c r="S40" s="1558">
        <f t="shared" si="12"/>
        <v>100</v>
      </c>
      <c r="T40" s="1557" t="s">
        <v>8</v>
      </c>
      <c r="U40" s="1558">
        <f t="shared" si="13"/>
        <v>100</v>
      </c>
      <c r="V40" s="1557" t="s">
        <v>8</v>
      </c>
      <c r="W40" s="1558">
        <f t="shared" si="14"/>
        <v>100</v>
      </c>
      <c r="X40" s="1551"/>
      <c r="Y40" s="3430"/>
      <c r="Z40" s="1559" t="str">
        <f t="shared" si="15"/>
        <v>单套建筑面积</v>
      </c>
      <c r="AA40" s="1560">
        <f t="shared" si="3"/>
        <v>1</v>
      </c>
      <c r="AB40" s="1560">
        <f t="shared" si="4"/>
        <v>1</v>
      </c>
      <c r="AC40" s="1560">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30"/>
      <c r="Q41" s="1588" t="str">
        <f t="shared" si="11"/>
        <v>进深比</v>
      </c>
      <c r="R41" s="1561" t="s">
        <v>8</v>
      </c>
      <c r="S41" s="1562">
        <f t="shared" si="12"/>
        <v>100</v>
      </c>
      <c r="T41" s="1561" t="s">
        <v>8</v>
      </c>
      <c r="U41" s="1562">
        <f t="shared" si="13"/>
        <v>100</v>
      </c>
      <c r="V41" s="1561" t="s">
        <v>8</v>
      </c>
      <c r="W41" s="1562">
        <f t="shared" si="14"/>
        <v>100</v>
      </c>
      <c r="X41" s="1563"/>
      <c r="Y41" s="3430"/>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30"/>
      <c r="Q42" s="1556" t="str">
        <f t="shared" si="11"/>
        <v>内部装修</v>
      </c>
      <c r="R42" s="1557" t="s">
        <v>8</v>
      </c>
      <c r="S42" s="1558">
        <f t="shared" si="12"/>
        <v>100</v>
      </c>
      <c r="T42" s="1557" t="s">
        <v>8</v>
      </c>
      <c r="U42" s="1558">
        <f t="shared" si="13"/>
        <v>100</v>
      </c>
      <c r="V42" s="1557" t="s">
        <v>8</v>
      </c>
      <c r="W42" s="1558">
        <f t="shared" si="14"/>
        <v>100</v>
      </c>
      <c r="X42" s="1551"/>
      <c r="Y42" s="3430"/>
      <c r="Z42" s="1559" t="str">
        <f t="shared" si="15"/>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30"/>
      <c r="Q43" s="1556" t="str">
        <f t="shared" si="11"/>
        <v>内部装修维护情况</v>
      </c>
      <c r="R43" s="1557" t="s">
        <v>8</v>
      </c>
      <c r="S43" s="1558">
        <f t="shared" si="12"/>
        <v>100</v>
      </c>
      <c r="T43" s="1557" t="s">
        <v>8</v>
      </c>
      <c r="U43" s="1558">
        <f t="shared" si="13"/>
        <v>100</v>
      </c>
      <c r="V43" s="1557" t="s">
        <v>8</v>
      </c>
      <c r="W43" s="1558">
        <f t="shared" si="14"/>
        <v>100</v>
      </c>
      <c r="X43" s="1551"/>
      <c r="Y43" s="3430"/>
      <c r="Z43" s="1559" t="str">
        <f t="shared" si="15"/>
        <v>内部装修维护情况</v>
      </c>
      <c r="AA43" s="1560">
        <f t="shared" si="3"/>
        <v>1</v>
      </c>
      <c r="AB43" s="1560">
        <f t="shared" si="4"/>
        <v>1</v>
      </c>
      <c r="AC43" s="1560">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30"/>
      <c r="Q44" s="1145">
        <f t="shared" si="11"/>
        <v>111</v>
      </c>
      <c r="R44" s="1552" t="s">
        <v>8</v>
      </c>
      <c r="S44" s="1553">
        <f t="shared" si="12"/>
        <v>100</v>
      </c>
      <c r="T44" s="1552" t="s">
        <v>8</v>
      </c>
      <c r="U44" s="1553">
        <f t="shared" si="13"/>
        <v>100</v>
      </c>
      <c r="V44" s="1552" t="s">
        <v>8</v>
      </c>
      <c r="W44" s="1553">
        <f t="shared" si="14"/>
        <v>100</v>
      </c>
      <c r="X44" s="1554"/>
      <c r="Y44" s="3430"/>
      <c r="Z44" s="1144">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30"/>
      <c r="Q45" s="1556">
        <f t="shared" si="11"/>
        <v>111</v>
      </c>
      <c r="R45" s="1557" t="s">
        <v>8</v>
      </c>
      <c r="S45" s="1558">
        <f t="shared" si="12"/>
        <v>100</v>
      </c>
      <c r="T45" s="1557" t="s">
        <v>8</v>
      </c>
      <c r="U45" s="1558">
        <f t="shared" si="13"/>
        <v>100</v>
      </c>
      <c r="V45" s="1557" t="s">
        <v>8</v>
      </c>
      <c r="W45" s="1558">
        <f t="shared" si="14"/>
        <v>100</v>
      </c>
      <c r="X45" s="1551"/>
      <c r="Y45" s="3430"/>
      <c r="Z45" s="1559">
        <f t="shared" si="15"/>
        <v>111</v>
      </c>
      <c r="AA45" s="1560">
        <f t="shared" si="3"/>
        <v>1</v>
      </c>
      <c r="AB45" s="1560">
        <f t="shared" si="4"/>
        <v>1</v>
      </c>
      <c r="AC45" s="1560">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11"/>
      <c r="Q46" s="1556">
        <f t="shared" si="11"/>
        <v>111</v>
      </c>
      <c r="R46" s="1557" t="s">
        <v>8</v>
      </c>
      <c r="S46" s="1558">
        <f t="shared" si="12"/>
        <v>100</v>
      </c>
      <c r="T46" s="1557" t="s">
        <v>8</v>
      </c>
      <c r="U46" s="1558">
        <f t="shared" si="13"/>
        <v>100</v>
      </c>
      <c r="V46" s="1557" t="s">
        <v>8</v>
      </c>
      <c r="W46" s="1558">
        <f t="shared" si="14"/>
        <v>100</v>
      </c>
      <c r="X46" s="1551"/>
      <c r="Y46" s="3511"/>
      <c r="Z46" s="1559">
        <f t="shared" si="15"/>
        <v>111</v>
      </c>
      <c r="AA46" s="1560">
        <f t="shared" si="3"/>
        <v>1</v>
      </c>
      <c r="AB46" s="1560">
        <f t="shared" si="4"/>
        <v>1</v>
      </c>
      <c r="AC46" s="1560">
        <f t="shared" si="5"/>
        <v>1</v>
      </c>
    </row>
    <row r="47" spans="1:29" ht="15">
      <c r="A47" s="606" t="s">
        <v>736</v>
      </c>
      <c r="B47" s="885"/>
      <c r="C47" s="2589" t="s">
        <v>1</v>
      </c>
      <c r="D47" s="2590"/>
      <c r="E47" s="2591"/>
      <c r="F47" s="2592"/>
      <c r="G47" s="2593"/>
      <c r="H47" s="2594"/>
      <c r="I47" s="2591"/>
      <c r="J47" s="2594"/>
      <c r="K47" s="1594"/>
      <c r="L47" s="2127"/>
      <c r="M47" s="2128"/>
      <c r="N47" s="2117"/>
      <c r="O47" s="2128"/>
      <c r="P47" s="3393" t="str">
        <f>A47</f>
        <v>成交单价（元/平方米）</v>
      </c>
      <c r="Q47" s="3393"/>
      <c r="R47" s="3510">
        <f>E47</f>
        <v>0</v>
      </c>
      <c r="S47" s="3510"/>
      <c r="T47" s="3510">
        <f>G47</f>
        <v>0</v>
      </c>
      <c r="U47" s="3510"/>
      <c r="V47" s="3510">
        <f>I47</f>
        <v>0</v>
      </c>
      <c r="W47" s="3510"/>
      <c r="X47" s="1543"/>
      <c r="Y47" s="1565"/>
      <c r="Z47" s="1543"/>
      <c r="AA47" s="1543"/>
      <c r="AB47" s="1543"/>
      <c r="AC47" s="1543"/>
    </row>
    <row r="48" spans="1:29" ht="15.75" thickBot="1">
      <c r="A48" s="614" t="s">
        <v>2754</v>
      </c>
      <c r="B48" s="886"/>
      <c r="C48" s="2595" t="e">
        <f>R49</f>
        <v>#DIV/0!</v>
      </c>
      <c r="D48" s="2596"/>
      <c r="E48" s="2597" t="e">
        <f>R48</f>
        <v>#DIV/0!</v>
      </c>
      <c r="F48" s="2597"/>
      <c r="G48" s="2595" t="e">
        <f>T48</f>
        <v>#DIV/0!</v>
      </c>
      <c r="H48" s="2596"/>
      <c r="I48" s="2597" t="e">
        <f>V48</f>
        <v>#DIV/0!</v>
      </c>
      <c r="J48" s="2596"/>
      <c r="K48" s="1595"/>
      <c r="L48" s="2127"/>
      <c r="M48" s="2128"/>
      <c r="N48" s="2117"/>
      <c r="O48" s="2128"/>
      <c r="P48" s="3393" t="str">
        <f>A48</f>
        <v>比较价格（元/平方米）</v>
      </c>
      <c r="Q48" s="3393"/>
      <c r="R48" s="3510" t="e">
        <f>IF(F1="售价",ROUND(PRODUCT(R47,AA7:AA46),0),ROUND(PRODUCT(R47,AA7:AA46),1))</f>
        <v>#DIV/0!</v>
      </c>
      <c r="S48" s="3510"/>
      <c r="T48" s="3510" t="e">
        <f>IF(F1="售价",ROUND(PRODUCT(T47,AB7:AB46),0),ROUND(PRODUCT(T47,AB7:AB46),1))</f>
        <v>#DIV/0!</v>
      </c>
      <c r="U48" s="3510"/>
      <c r="V48" s="3510" t="e">
        <f>IF(F1="售价",ROUND(PRODUCT(V47,AC7:AC46),0),ROUND(PRODUCT(V47,AC7:AC46),1))</f>
        <v>#DIV/0!</v>
      </c>
      <c r="W48" s="3510"/>
      <c r="X48" s="1543"/>
      <c r="Y48" s="1543"/>
      <c r="Z48" s="1543"/>
      <c r="AA48" s="1543"/>
      <c r="AB48" s="1543"/>
      <c r="AC48" s="1543"/>
    </row>
    <row r="49" spans="1:29" ht="15.75" thickBot="1">
      <c r="A49" s="620" t="s">
        <v>2928</v>
      </c>
      <c r="B49" s="621"/>
      <c r="C49" s="2598" t="e">
        <f>R49</f>
        <v>#DIV/0!</v>
      </c>
      <c r="D49" s="2598"/>
      <c r="E49" s="2598"/>
      <c r="F49" s="2598"/>
      <c r="G49" s="2598"/>
      <c r="H49" s="2598"/>
      <c r="I49" s="2598"/>
      <c r="J49" s="2598"/>
      <c r="K49" s="1596"/>
      <c r="L49" s="2127"/>
      <c r="M49" s="2128"/>
      <c r="N49" s="2117"/>
      <c r="O49" s="2128"/>
      <c r="P49" s="3390" t="str">
        <f>A49</f>
        <v>估价对象XX用房的比较价格（楼面单价，元/平方米）</v>
      </c>
      <c r="Q49" s="3391"/>
      <c r="R49" s="3509" t="e">
        <f>IF(F1="售价",ROUND(AVERAGE(R48:V48),0),ROUND(AVERAGE(R48:V48),1))</f>
        <v>#DIV/0!</v>
      </c>
      <c r="S49" s="3509"/>
      <c r="T49" s="3509"/>
      <c r="U49" s="3509"/>
      <c r="V49" s="3509"/>
      <c r="W49" s="3509"/>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4" t="s">
        <v>529</v>
      </c>
      <c r="B58" s="645"/>
      <c r="C58" s="2755" t="str">
        <f>YEAR(C7)&amp;"-"&amp;MONTH(C7)</f>
        <v>2020-4</v>
      </c>
      <c r="D58" s="2757">
        <f>EDATE(C58,-1)</f>
        <v>43891</v>
      </c>
      <c r="E58" s="2757">
        <f t="shared" ref="E58:O58" si="16">EDATE(D58,-1)</f>
        <v>43862</v>
      </c>
      <c r="F58" s="2757">
        <f t="shared" si="16"/>
        <v>43831</v>
      </c>
      <c r="G58" s="2757">
        <f t="shared" si="16"/>
        <v>43800</v>
      </c>
      <c r="H58" s="2757">
        <f t="shared" si="16"/>
        <v>43770</v>
      </c>
      <c r="I58" s="2757">
        <f t="shared" si="16"/>
        <v>43739</v>
      </c>
      <c r="J58" s="2757">
        <f t="shared" si="16"/>
        <v>43709</v>
      </c>
      <c r="K58" s="2757">
        <f t="shared" si="16"/>
        <v>43678</v>
      </c>
      <c r="L58" s="2757">
        <f t="shared" si="16"/>
        <v>43647</v>
      </c>
      <c r="M58" s="2757">
        <f t="shared" si="16"/>
        <v>43617</v>
      </c>
      <c r="N58" s="2757">
        <f t="shared" si="16"/>
        <v>43586</v>
      </c>
      <c r="O58" s="2757">
        <f t="shared" si="16"/>
        <v>43556</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9"/>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2553</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2554</v>
      </c>
      <c r="C82" s="2560" t="s">
        <v>2555</v>
      </c>
      <c r="D82" s="2560" t="s">
        <v>2556</v>
      </c>
      <c r="E82" s="2560" t="s">
        <v>2557</v>
      </c>
      <c r="F82" s="2560" t="s">
        <v>2558</v>
      </c>
      <c r="G82" s="2560" t="s">
        <v>2559</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7"/>
      <c r="B112" s="1879" t="s">
        <v>2552</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399" t="s">
        <v>522</v>
      </c>
      <c r="D4" s="3400"/>
      <c r="E4" s="3433" t="s">
        <v>523</v>
      </c>
      <c r="F4" s="3434"/>
      <c r="G4" s="3399" t="s">
        <v>524</v>
      </c>
      <c r="H4" s="3400"/>
      <c r="I4" s="3399" t="s">
        <v>525</v>
      </c>
      <c r="J4" s="3400"/>
      <c r="K4" s="513" t="s">
        <v>526</v>
      </c>
      <c r="L4" s="2116"/>
      <c r="M4" s="2117"/>
      <c r="N4" s="2117"/>
      <c r="O4" s="2117"/>
      <c r="P4" s="3517" t="s">
        <v>527</v>
      </c>
      <c r="Q4" s="3402"/>
      <c r="R4" s="3407" t="s">
        <v>523</v>
      </c>
      <c r="S4" s="3408"/>
      <c r="T4" s="3407" t="s">
        <v>524</v>
      </c>
      <c r="U4" s="3408"/>
      <c r="V4" s="3394" t="s">
        <v>525</v>
      </c>
      <c r="W4" s="3394"/>
      <c r="X4" s="1551"/>
      <c r="Y4" s="3407" t="s">
        <v>527</v>
      </c>
      <c r="Z4" s="3408"/>
      <c r="AA4" s="3396" t="s">
        <v>523</v>
      </c>
      <c r="AB4" s="3396" t="s">
        <v>524</v>
      </c>
      <c r="AC4" s="3396" t="s">
        <v>525</v>
      </c>
    </row>
    <row r="5" spans="1:29" ht="15">
      <c r="A5" s="514"/>
      <c r="B5" s="515"/>
      <c r="C5" s="3415" t="s">
        <v>2922</v>
      </c>
      <c r="D5" s="3416"/>
      <c r="E5" s="3435" t="s">
        <v>2923</v>
      </c>
      <c r="F5" s="3436"/>
      <c r="G5" s="3415" t="s">
        <v>2924</v>
      </c>
      <c r="H5" s="3416"/>
      <c r="I5" s="3415" t="s">
        <v>2925</v>
      </c>
      <c r="J5" s="3416"/>
      <c r="K5" s="513"/>
      <c r="L5" s="2116"/>
      <c r="M5" s="2117"/>
      <c r="N5" s="2117"/>
      <c r="O5" s="2117"/>
      <c r="P5" s="3518"/>
      <c r="Q5" s="3404"/>
      <c r="R5" s="3409"/>
      <c r="S5" s="3410"/>
      <c r="T5" s="3409"/>
      <c r="U5" s="3410"/>
      <c r="V5" s="3394"/>
      <c r="W5" s="3394"/>
      <c r="X5" s="1551"/>
      <c r="Y5" s="3409"/>
      <c r="Z5" s="3410"/>
      <c r="AA5" s="3397"/>
      <c r="AB5" s="3397"/>
      <c r="AC5" s="3397"/>
    </row>
    <row r="6" spans="1:29" ht="15.75" thickBot="1">
      <c r="A6" s="516"/>
      <c r="B6" s="517"/>
      <c r="C6" s="3413" t="s">
        <v>2926</v>
      </c>
      <c r="D6" s="3414"/>
      <c r="E6" s="3431" t="s">
        <v>2926</v>
      </c>
      <c r="F6" s="3432"/>
      <c r="G6" s="3413" t="s">
        <v>2926</v>
      </c>
      <c r="H6" s="3414"/>
      <c r="I6" s="3413" t="s">
        <v>2926</v>
      </c>
      <c r="J6" s="3414"/>
      <c r="K6" s="513" t="s">
        <v>528</v>
      </c>
      <c r="L6" s="2116"/>
      <c r="M6" s="2117"/>
      <c r="N6" s="2117"/>
      <c r="O6" s="2117"/>
      <c r="P6" s="3519"/>
      <c r="Q6" s="3406"/>
      <c r="R6" s="3409"/>
      <c r="S6" s="3410"/>
      <c r="T6" s="3411"/>
      <c r="U6" s="3412"/>
      <c r="V6" s="3394"/>
      <c r="W6" s="3394"/>
      <c r="X6" s="1551"/>
      <c r="Y6" s="3411"/>
      <c r="Z6" s="3412"/>
      <c r="AA6" s="3398"/>
      <c r="AB6" s="3398"/>
      <c r="AC6" s="3398"/>
    </row>
    <row r="7" spans="1:29" s="1214" customFormat="1" ht="15.75" thickBot="1">
      <c r="A7" s="2865"/>
      <c r="B7" s="2872" t="s">
        <v>529</v>
      </c>
      <c r="C7" s="518">
        <f>'数据-取费表'!B2</f>
        <v>43942</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26" t="s">
        <v>530</v>
      </c>
      <c r="Q7" s="3426"/>
      <c r="R7" s="1552" t="s">
        <v>8</v>
      </c>
      <c r="S7" s="1553">
        <f t="shared" ref="S7:S15" si="0">F7</f>
        <v>0</v>
      </c>
      <c r="T7" s="1552" t="s">
        <v>8</v>
      </c>
      <c r="U7" s="1553">
        <f t="shared" ref="U7:U15" si="1">H7</f>
        <v>0</v>
      </c>
      <c r="V7" s="1552" t="s">
        <v>8</v>
      </c>
      <c r="W7" s="1553">
        <f t="shared" ref="W7:W15" si="2">J7</f>
        <v>0</v>
      </c>
      <c r="X7" s="1554"/>
      <c r="Y7" s="3424" t="s">
        <v>530</v>
      </c>
      <c r="Z7" s="3425"/>
      <c r="AA7" s="1555" t="e">
        <f>D7/F7</f>
        <v>#DIV/0!</v>
      </c>
      <c r="AB7" s="1555" t="e">
        <f>D7/H7</f>
        <v>#DIV/0!</v>
      </c>
      <c r="AC7" s="1555" t="e">
        <f>D7/J7</f>
        <v>#DIV/0!</v>
      </c>
    </row>
    <row r="8" spans="1:29" s="1214"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26" t="s">
        <v>533</v>
      </c>
      <c r="Q8" s="3425"/>
      <c r="R8" s="1552" t="s">
        <v>8</v>
      </c>
      <c r="S8" s="1553">
        <f t="shared" si="0"/>
        <v>0</v>
      </c>
      <c r="T8" s="1552" t="s">
        <v>8</v>
      </c>
      <c r="U8" s="1553">
        <f t="shared" si="1"/>
        <v>0</v>
      </c>
      <c r="V8" s="1552" t="s">
        <v>8</v>
      </c>
      <c r="W8" s="1553">
        <f t="shared" si="2"/>
        <v>0</v>
      </c>
      <c r="X8" s="1554"/>
      <c r="Y8" s="3424" t="s">
        <v>533</v>
      </c>
      <c r="Z8" s="3425"/>
      <c r="AA8" s="1555" t="e">
        <f t="shared" ref="AA8:AA47" si="3">D8/F8</f>
        <v>#DIV/0!</v>
      </c>
      <c r="AB8" s="1555" t="e">
        <f t="shared" ref="AB8:AB47" si="4">D8/H8</f>
        <v>#DIV/0!</v>
      </c>
      <c r="AC8" s="1555" t="e">
        <f t="shared" ref="AC8:AC47" si="5">D8/J8</f>
        <v>#DIV/0!</v>
      </c>
    </row>
    <row r="9" spans="1:29" s="1214" customFormat="1" ht="15">
      <c r="A9" s="2867"/>
      <c r="B9" s="2874" t="s">
        <v>2750</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393" t="s">
        <v>535</v>
      </c>
      <c r="Q9" s="1145" t="str">
        <f t="shared" ref="Q9:Q15" si="6">B9</f>
        <v>用途</v>
      </c>
      <c r="R9" s="1552" t="s">
        <v>8</v>
      </c>
      <c r="S9" s="1553">
        <f t="shared" si="0"/>
        <v>100</v>
      </c>
      <c r="T9" s="1552" t="s">
        <v>8</v>
      </c>
      <c r="U9" s="1553">
        <f t="shared" si="1"/>
        <v>100</v>
      </c>
      <c r="V9" s="1552" t="s">
        <v>8</v>
      </c>
      <c r="W9" s="1553">
        <f t="shared" si="2"/>
        <v>100</v>
      </c>
      <c r="X9" s="1554"/>
      <c r="Y9" s="3339" t="s">
        <v>536</v>
      </c>
      <c r="Z9" s="1144" t="str">
        <f t="shared" ref="Z9:Z15" si="7">Q9</f>
        <v>用途</v>
      </c>
      <c r="AA9" s="1555">
        <f t="shared" si="3"/>
        <v>1</v>
      </c>
      <c r="AB9" s="1555">
        <f t="shared" si="4"/>
        <v>1</v>
      </c>
      <c r="AC9" s="1555">
        <f t="shared" si="5"/>
        <v>1</v>
      </c>
    </row>
    <row r="10" spans="1:29" s="1332" customFormat="1" ht="27">
      <c r="A10" s="2868"/>
      <c r="B10" s="2873" t="s">
        <v>2751</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393"/>
      <c r="Q10" s="1145" t="str">
        <f t="shared" si="6"/>
        <v>土地使用年限（年）</v>
      </c>
      <c r="R10" s="1552" t="s">
        <v>8</v>
      </c>
      <c r="S10" s="1553">
        <f t="shared" si="0"/>
        <v>100</v>
      </c>
      <c r="T10" s="1552" t="s">
        <v>8</v>
      </c>
      <c r="U10" s="1553">
        <f t="shared" si="1"/>
        <v>100</v>
      </c>
      <c r="V10" s="1552" t="s">
        <v>8</v>
      </c>
      <c r="W10" s="1553">
        <f t="shared" si="2"/>
        <v>100</v>
      </c>
      <c r="X10" s="1554"/>
      <c r="Y10" s="3339"/>
      <c r="Z10" s="1144" t="str">
        <f t="shared" si="7"/>
        <v>土地使用年限（年）</v>
      </c>
      <c r="AA10" s="1555">
        <f t="shared" si="3"/>
        <v>1</v>
      </c>
      <c r="AB10" s="1555">
        <f t="shared" si="4"/>
        <v>1</v>
      </c>
      <c r="AC10" s="1555">
        <f t="shared" si="5"/>
        <v>1</v>
      </c>
    </row>
    <row r="11" spans="1:29" ht="15">
      <c r="A11" s="2869"/>
      <c r="B11" s="2873" t="s">
        <v>2752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393"/>
      <c r="Q11" s="1145" t="str">
        <f t="shared" si="6"/>
        <v>容积率</v>
      </c>
      <c r="R11" s="1552" t="s">
        <v>8</v>
      </c>
      <c r="S11" s="1553" t="e">
        <f t="shared" si="0"/>
        <v>#N/A</v>
      </c>
      <c r="T11" s="1552" t="s">
        <v>8</v>
      </c>
      <c r="U11" s="1553" t="e">
        <f t="shared" si="1"/>
        <v>#N/A</v>
      </c>
      <c r="V11" s="1552" t="s">
        <v>8</v>
      </c>
      <c r="W11" s="1553" t="e">
        <f t="shared" si="2"/>
        <v>#N/A</v>
      </c>
      <c r="X11" s="1554"/>
      <c r="Y11" s="3339"/>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393"/>
      <c r="Q12" s="1145">
        <f t="shared" si="6"/>
        <v>111</v>
      </c>
      <c r="R12" s="1552" t="s">
        <v>8</v>
      </c>
      <c r="S12" s="1553">
        <f t="shared" si="0"/>
        <v>100</v>
      </c>
      <c r="T12" s="1552" t="s">
        <v>8</v>
      </c>
      <c r="U12" s="1553">
        <f t="shared" si="1"/>
        <v>100</v>
      </c>
      <c r="V12" s="1552" t="s">
        <v>8</v>
      </c>
      <c r="W12" s="1553">
        <f t="shared" si="2"/>
        <v>100</v>
      </c>
      <c r="X12" s="1554"/>
      <c r="Y12" s="3339"/>
      <c r="Z12" s="1144">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393"/>
      <c r="Q13" s="1145">
        <f t="shared" si="6"/>
        <v>111</v>
      </c>
      <c r="R13" s="1552" t="s">
        <v>8</v>
      </c>
      <c r="S13" s="1553">
        <f t="shared" si="0"/>
        <v>100</v>
      </c>
      <c r="T13" s="1552" t="s">
        <v>8</v>
      </c>
      <c r="U13" s="1553">
        <f t="shared" si="1"/>
        <v>100</v>
      </c>
      <c r="V13" s="1552" t="s">
        <v>8</v>
      </c>
      <c r="W13" s="1553">
        <f t="shared" si="2"/>
        <v>100</v>
      </c>
      <c r="X13" s="1554"/>
      <c r="Y13" s="3339"/>
      <c r="Z13" s="1144">
        <f t="shared" si="7"/>
        <v>111</v>
      </c>
      <c r="AA13" s="1555">
        <f t="shared" si="3"/>
        <v>1</v>
      </c>
      <c r="AB13" s="1555">
        <f t="shared" si="4"/>
        <v>1</v>
      </c>
      <c r="AC13" s="1555">
        <f t="shared" si="5"/>
        <v>1</v>
      </c>
    </row>
    <row r="14" spans="1:29" ht="15.75" thickBot="1">
      <c r="A14" s="2871"/>
      <c r="B14" s="2877">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393"/>
      <c r="Q14" s="1145">
        <f t="shared" si="6"/>
        <v>111</v>
      </c>
      <c r="R14" s="1552" t="s">
        <v>8</v>
      </c>
      <c r="S14" s="1553">
        <f t="shared" si="0"/>
        <v>100</v>
      </c>
      <c r="T14" s="1552" t="s">
        <v>8</v>
      </c>
      <c r="U14" s="1553">
        <f t="shared" si="1"/>
        <v>100</v>
      </c>
      <c r="V14" s="1552" t="s">
        <v>8</v>
      </c>
      <c r="W14" s="1553">
        <f t="shared" si="2"/>
        <v>100</v>
      </c>
      <c r="X14" s="1554"/>
      <c r="Y14" s="3339"/>
      <c r="Z14" s="1144">
        <f t="shared" si="7"/>
        <v>111</v>
      </c>
      <c r="AA14" s="1555">
        <f t="shared" si="3"/>
        <v>1</v>
      </c>
      <c r="AB14" s="1555">
        <f t="shared" si="4"/>
        <v>1</v>
      </c>
      <c r="AC14" s="1555">
        <f t="shared" si="5"/>
        <v>1</v>
      </c>
    </row>
    <row r="15" spans="1:29" ht="71.25">
      <c r="A15" s="2863" t="s">
        <v>2748</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427" t="s">
        <v>540</v>
      </c>
      <c r="Q15" s="1556" t="str">
        <f t="shared" si="6"/>
        <v>办公集聚程度</v>
      </c>
      <c r="R15" s="1557" t="s">
        <v>8</v>
      </c>
      <c r="S15" s="1558">
        <f t="shared" si="0"/>
        <v>100</v>
      </c>
      <c r="T15" s="1557" t="s">
        <v>8</v>
      </c>
      <c r="U15" s="1558">
        <f t="shared" si="1"/>
        <v>100</v>
      </c>
      <c r="V15" s="1557" t="s">
        <v>8</v>
      </c>
      <c r="W15" s="1558">
        <f t="shared" si="2"/>
        <v>100</v>
      </c>
      <c r="X15" s="1551"/>
      <c r="Y15" s="3427"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7"/>
      <c r="L16" s="2125"/>
      <c r="M16" s="2117"/>
      <c r="N16" s="2117"/>
      <c r="O16" s="2117"/>
      <c r="P16" s="3428"/>
      <c r="Q16" s="1556"/>
      <c r="R16" s="1557"/>
      <c r="S16" s="1558"/>
      <c r="T16" s="1557"/>
      <c r="U16" s="1558"/>
      <c r="V16" s="1557"/>
      <c r="W16" s="1558"/>
      <c r="X16" s="1551"/>
      <c r="Y16" s="3428"/>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428"/>
      <c r="Q17" s="1556" t="str">
        <f>B17</f>
        <v>交通便捷度</v>
      </c>
      <c r="R17" s="1557" t="s">
        <v>8</v>
      </c>
      <c r="S17" s="1558">
        <f>F17</f>
        <v>100</v>
      </c>
      <c r="T17" s="1557" t="s">
        <v>8</v>
      </c>
      <c r="U17" s="1558">
        <f>H17</f>
        <v>100</v>
      </c>
      <c r="V17" s="1557" t="s">
        <v>8</v>
      </c>
      <c r="W17" s="1558">
        <f>J17</f>
        <v>100</v>
      </c>
      <c r="X17" s="1551"/>
      <c r="Y17" s="3428"/>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7"/>
      <c r="L18" s="2125"/>
      <c r="M18" s="2117"/>
      <c r="N18" s="2117"/>
      <c r="O18" s="2117"/>
      <c r="P18" s="3428"/>
      <c r="Q18" s="1556"/>
      <c r="R18" s="1557"/>
      <c r="S18" s="1558"/>
      <c r="T18" s="1557"/>
      <c r="U18" s="1558"/>
      <c r="V18" s="1557"/>
      <c r="W18" s="1558"/>
      <c r="X18" s="1551"/>
      <c r="Y18" s="3428"/>
      <c r="Z18" s="1559"/>
      <c r="AA18" s="1560">
        <v>1</v>
      </c>
      <c r="AB18" s="1560">
        <v>1</v>
      </c>
      <c r="AC18" s="1560">
        <v>1</v>
      </c>
    </row>
    <row r="19" spans="1:29" ht="42.75">
      <c r="A19" s="531"/>
      <c r="B19" s="2565" t="s">
        <v>2542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428"/>
      <c r="Q19" s="1556" t="str">
        <f>B19</f>
        <v>公共配套设施</v>
      </c>
      <c r="R19" s="1557" t="s">
        <v>8</v>
      </c>
      <c r="S19" s="1558">
        <f>F19</f>
        <v>100</v>
      </c>
      <c r="T19" s="1557" t="s">
        <v>8</v>
      </c>
      <c r="U19" s="1558">
        <f>H19</f>
        <v>100</v>
      </c>
      <c r="V19" s="1557" t="s">
        <v>8</v>
      </c>
      <c r="W19" s="1558">
        <f>J19</f>
        <v>100</v>
      </c>
      <c r="X19" s="1551"/>
      <c r="Y19" s="3428"/>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7"/>
      <c r="L20" s="2125"/>
      <c r="M20" s="2117"/>
      <c r="N20" s="2117"/>
      <c r="O20" s="2117"/>
      <c r="P20" s="3428"/>
      <c r="Q20" s="1556"/>
      <c r="R20" s="1557"/>
      <c r="S20" s="1558"/>
      <c r="T20" s="1557"/>
      <c r="U20" s="1558"/>
      <c r="V20" s="1557"/>
      <c r="W20" s="1558"/>
      <c r="X20" s="1551"/>
      <c r="Y20" s="3428"/>
      <c r="Z20" s="1559"/>
      <c r="AA20" s="1560">
        <v>1</v>
      </c>
      <c r="AB20" s="1560">
        <v>1</v>
      </c>
      <c r="AC20" s="1560">
        <v>1</v>
      </c>
    </row>
    <row r="21" spans="1:29" ht="28.5">
      <c r="A21" s="531"/>
      <c r="B21" s="2553"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428"/>
      <c r="Q21" s="2541" t="str">
        <f>B21</f>
        <v>基础设施水平</v>
      </c>
      <c r="R21" s="1557" t="s">
        <v>8</v>
      </c>
      <c r="S21" s="1558">
        <f>F21</f>
        <v>100</v>
      </c>
      <c r="T21" s="1557" t="s">
        <v>8</v>
      </c>
      <c r="U21" s="1558">
        <f>H21</f>
        <v>100</v>
      </c>
      <c r="V21" s="1557" t="s">
        <v>8</v>
      </c>
      <c r="W21" s="1558">
        <f>J21</f>
        <v>100</v>
      </c>
      <c r="X21" s="2543"/>
      <c r="Y21" s="3428"/>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428"/>
      <c r="Q22" s="2541"/>
      <c r="R22" s="1557"/>
      <c r="S22" s="1558"/>
      <c r="T22" s="1557"/>
      <c r="U22" s="1558"/>
      <c r="V22" s="1557"/>
      <c r="W22" s="1558"/>
      <c r="X22" s="2543"/>
      <c r="Y22" s="3428"/>
      <c r="Z22" s="2542"/>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428"/>
      <c r="Q23" s="1556" t="str">
        <f>B23</f>
        <v>环境质量</v>
      </c>
      <c r="R23" s="1557" t="s">
        <v>8</v>
      </c>
      <c r="S23" s="1558">
        <f>F23</f>
        <v>100</v>
      </c>
      <c r="T23" s="1557" t="s">
        <v>8</v>
      </c>
      <c r="U23" s="1558">
        <f>H23</f>
        <v>100</v>
      </c>
      <c r="V23" s="1557" t="s">
        <v>8</v>
      </c>
      <c r="W23" s="1558">
        <f>J23</f>
        <v>100</v>
      </c>
      <c r="X23" s="1551"/>
      <c r="Y23" s="3428"/>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7"/>
      <c r="L24" s="2125"/>
      <c r="M24" s="2117"/>
      <c r="N24" s="2117"/>
      <c r="O24" s="2117"/>
      <c r="P24" s="3428"/>
      <c r="Q24" s="1556"/>
      <c r="R24" s="1557"/>
      <c r="S24" s="1558"/>
      <c r="T24" s="1557"/>
      <c r="U24" s="1558"/>
      <c r="V24" s="1557"/>
      <c r="W24" s="1558"/>
      <c r="X24" s="1551"/>
      <c r="Y24" s="3428"/>
      <c r="Z24" s="1559"/>
      <c r="AA24" s="1560">
        <v>1</v>
      </c>
      <c r="AB24" s="1560">
        <v>1</v>
      </c>
      <c r="AC24" s="1560">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428"/>
      <c r="Q25" s="1556" t="str">
        <f>B25</f>
        <v>毗邻道路的类型与等级</v>
      </c>
      <c r="R25" s="1557" t="s">
        <v>8</v>
      </c>
      <c r="S25" s="1558">
        <f>F25</f>
        <v>100</v>
      </c>
      <c r="T25" s="1557" t="s">
        <v>8</v>
      </c>
      <c r="U25" s="1558">
        <f>H25</f>
        <v>100</v>
      </c>
      <c r="V25" s="1557" t="s">
        <v>8</v>
      </c>
      <c r="W25" s="1558">
        <f>J25</f>
        <v>100</v>
      </c>
      <c r="X25" s="1551"/>
      <c r="Y25" s="3428"/>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7"/>
      <c r="L26" s="2125"/>
      <c r="M26" s="2117"/>
      <c r="N26" s="2117"/>
      <c r="O26" s="2117"/>
      <c r="P26" s="3428"/>
      <c r="Q26" s="1556"/>
      <c r="R26" s="1557"/>
      <c r="S26" s="1558"/>
      <c r="T26" s="1557"/>
      <c r="U26" s="1558"/>
      <c r="V26" s="1557"/>
      <c r="W26" s="1558"/>
      <c r="X26" s="1551"/>
      <c r="Y26" s="3428"/>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28"/>
      <c r="Q27" s="1556" t="str">
        <f t="shared" ref="Q27:Q47" si="11">B27</f>
        <v>楼层</v>
      </c>
      <c r="R27" s="1557" t="s">
        <v>8</v>
      </c>
      <c r="S27" s="1558">
        <f>F27</f>
        <v>100</v>
      </c>
      <c r="T27" s="1557" t="s">
        <v>8</v>
      </c>
      <c r="U27" s="1558">
        <f>H27</f>
        <v>100</v>
      </c>
      <c r="V27" s="1557" t="s">
        <v>8</v>
      </c>
      <c r="W27" s="1558">
        <f>J27</f>
        <v>100</v>
      </c>
      <c r="X27" s="1551"/>
      <c r="Y27" s="3428"/>
      <c r="Z27" s="1559" t="str">
        <f>Q27</f>
        <v>楼层</v>
      </c>
      <c r="AA27" s="1560">
        <f t="shared" si="3"/>
        <v>1</v>
      </c>
      <c r="AB27" s="1560">
        <f t="shared" si="4"/>
        <v>1</v>
      </c>
      <c r="AC27" s="1560">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428"/>
      <c r="Q28" s="1145" t="str">
        <f t="shared" si="11"/>
        <v>朝向</v>
      </c>
      <c r="R28" s="1552" t="s">
        <v>8</v>
      </c>
      <c r="S28" s="1553">
        <f>F28</f>
        <v>100</v>
      </c>
      <c r="T28" s="1552" t="s">
        <v>8</v>
      </c>
      <c r="U28" s="1553">
        <f>H28</f>
        <v>100</v>
      </c>
      <c r="V28" s="1552" t="s">
        <v>8</v>
      </c>
      <c r="W28" s="1553">
        <f>J28</f>
        <v>100</v>
      </c>
      <c r="X28" s="1554"/>
      <c r="Y28" s="3428"/>
      <c r="Z28" s="1144" t="str">
        <f>Q28</f>
        <v>朝向</v>
      </c>
      <c r="AA28" s="1560">
        <f>D28/F28</f>
        <v>1</v>
      </c>
      <c r="AB28" s="1560">
        <f>D28/H28</f>
        <v>1</v>
      </c>
      <c r="AC28" s="1560">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428"/>
      <c r="Q29" s="1556">
        <f t="shared" si="11"/>
        <v>111</v>
      </c>
      <c r="R29" s="1557" t="s">
        <v>8</v>
      </c>
      <c r="S29" s="1558">
        <f t="shared" ref="S29:S47" si="12">F29</f>
        <v>100</v>
      </c>
      <c r="T29" s="1557" t="s">
        <v>8</v>
      </c>
      <c r="U29" s="1558">
        <f t="shared" ref="U29:U47" si="13">H29</f>
        <v>100</v>
      </c>
      <c r="V29" s="1557" t="s">
        <v>8</v>
      </c>
      <c r="W29" s="1558">
        <f t="shared" ref="W29:W47" si="14">J29</f>
        <v>100</v>
      </c>
      <c r="X29" s="1551"/>
      <c r="Y29" s="3428"/>
      <c r="Z29" s="1559">
        <f t="shared" ref="Z29:Z47" si="15">Q29</f>
        <v>111</v>
      </c>
      <c r="AA29" s="1560">
        <f t="shared" si="3"/>
        <v>1</v>
      </c>
      <c r="AB29" s="1560">
        <f t="shared" si="4"/>
        <v>1</v>
      </c>
      <c r="AC29" s="1560">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428"/>
      <c r="Q30" s="1556">
        <f t="shared" si="11"/>
        <v>111</v>
      </c>
      <c r="R30" s="1557" t="s">
        <v>8</v>
      </c>
      <c r="S30" s="1558">
        <f t="shared" si="12"/>
        <v>100</v>
      </c>
      <c r="T30" s="1557" t="s">
        <v>8</v>
      </c>
      <c r="U30" s="1558">
        <f t="shared" si="13"/>
        <v>100</v>
      </c>
      <c r="V30" s="1557" t="s">
        <v>8</v>
      </c>
      <c r="W30" s="1558">
        <f t="shared" si="14"/>
        <v>100</v>
      </c>
      <c r="X30" s="1551"/>
      <c r="Y30" s="3428"/>
      <c r="Z30" s="1559">
        <f t="shared" si="15"/>
        <v>111</v>
      </c>
      <c r="AA30" s="1560">
        <f t="shared" si="3"/>
        <v>1</v>
      </c>
      <c r="AB30" s="1560">
        <f t="shared" si="4"/>
        <v>1</v>
      </c>
      <c r="AC30" s="1560">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428"/>
      <c r="Q31" s="1556">
        <f t="shared" si="11"/>
        <v>111</v>
      </c>
      <c r="R31" s="1557" t="s">
        <v>8</v>
      </c>
      <c r="S31" s="1558">
        <f t="shared" si="12"/>
        <v>100</v>
      </c>
      <c r="T31" s="1557" t="s">
        <v>8</v>
      </c>
      <c r="U31" s="1558">
        <f t="shared" si="13"/>
        <v>100</v>
      </c>
      <c r="V31" s="1557" t="s">
        <v>8</v>
      </c>
      <c r="W31" s="1558">
        <f t="shared" si="14"/>
        <v>100</v>
      </c>
      <c r="X31" s="1551"/>
      <c r="Y31" s="3428"/>
      <c r="Z31" s="1559">
        <f t="shared" si="15"/>
        <v>111</v>
      </c>
      <c r="AA31" s="1560">
        <f t="shared" si="3"/>
        <v>1</v>
      </c>
      <c r="AB31" s="1560">
        <f t="shared" si="4"/>
        <v>1</v>
      </c>
      <c r="AC31" s="1560">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428"/>
      <c r="Q32" s="1556">
        <f t="shared" si="11"/>
        <v>111</v>
      </c>
      <c r="R32" s="1557" t="s">
        <v>8</v>
      </c>
      <c r="S32" s="1558">
        <f t="shared" si="12"/>
        <v>100</v>
      </c>
      <c r="T32" s="1557" t="s">
        <v>8</v>
      </c>
      <c r="U32" s="1558">
        <f t="shared" si="13"/>
        <v>100</v>
      </c>
      <c r="V32" s="1557" t="s">
        <v>8</v>
      </c>
      <c r="W32" s="1558">
        <f t="shared" si="14"/>
        <v>100</v>
      </c>
      <c r="X32" s="1551"/>
      <c r="Y32" s="3428"/>
      <c r="Z32" s="1559">
        <f t="shared" si="15"/>
        <v>111</v>
      </c>
      <c r="AA32" s="1560">
        <f t="shared" si="3"/>
        <v>1</v>
      </c>
      <c r="AB32" s="1560">
        <f t="shared" si="4"/>
        <v>1</v>
      </c>
      <c r="AC32" s="1560">
        <f t="shared" si="5"/>
        <v>1</v>
      </c>
    </row>
    <row r="33" spans="1:29" ht="15">
      <c r="A33" s="2860" t="s">
        <v>2749</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429" t="s">
        <v>550</v>
      </c>
      <c r="Q33" s="1556" t="str">
        <f t="shared" si="11"/>
        <v>建筑类型</v>
      </c>
      <c r="R33" s="1557" t="s">
        <v>8</v>
      </c>
      <c r="S33" s="1558">
        <f t="shared" si="12"/>
        <v>100</v>
      </c>
      <c r="T33" s="1557" t="s">
        <v>8</v>
      </c>
      <c r="U33" s="1558">
        <f t="shared" si="13"/>
        <v>100</v>
      </c>
      <c r="V33" s="1557" t="s">
        <v>8</v>
      </c>
      <c r="W33" s="1558">
        <f t="shared" si="14"/>
        <v>100</v>
      </c>
      <c r="X33" s="1551"/>
      <c r="Y33" s="3430" t="s">
        <v>550</v>
      </c>
      <c r="Z33" s="1559" t="str">
        <f t="shared" si="15"/>
        <v>建筑类型</v>
      </c>
      <c r="AA33" s="1560">
        <f t="shared" si="3"/>
        <v>1</v>
      </c>
      <c r="AB33" s="1560">
        <f t="shared" si="4"/>
        <v>1</v>
      </c>
      <c r="AC33" s="1560">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30"/>
      <c r="Q34" s="1588" t="str">
        <f t="shared" si="11"/>
        <v>项目建筑规模</v>
      </c>
      <c r="R34" s="1561" t="s">
        <v>8</v>
      </c>
      <c r="S34" s="1562" t="e">
        <f t="shared" si="12"/>
        <v>#N/A</v>
      </c>
      <c r="T34" s="1561" t="s">
        <v>8</v>
      </c>
      <c r="U34" s="1562" t="e">
        <f t="shared" si="13"/>
        <v>#N/A</v>
      </c>
      <c r="V34" s="1561" t="s">
        <v>8</v>
      </c>
      <c r="W34" s="1562" t="e">
        <f t="shared" si="14"/>
        <v>#N/A</v>
      </c>
      <c r="X34" s="1563"/>
      <c r="Y34" s="3430"/>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30"/>
      <c r="Q35" s="1556" t="str">
        <f t="shared" si="11"/>
        <v>建筑结构</v>
      </c>
      <c r="R35" s="1557" t="s">
        <v>8</v>
      </c>
      <c r="S35" s="1558">
        <f t="shared" si="12"/>
        <v>100</v>
      </c>
      <c r="T35" s="1557" t="s">
        <v>8</v>
      </c>
      <c r="U35" s="1558">
        <f t="shared" si="13"/>
        <v>100</v>
      </c>
      <c r="V35" s="1557" t="s">
        <v>8</v>
      </c>
      <c r="W35" s="1558">
        <f t="shared" si="14"/>
        <v>100</v>
      </c>
      <c r="X35" s="1551"/>
      <c r="Y35" s="3430"/>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30"/>
      <c r="Q36" s="1556" t="str">
        <f t="shared" si="11"/>
        <v>公共部分装修</v>
      </c>
      <c r="R36" s="1557" t="s">
        <v>8</v>
      </c>
      <c r="S36" s="1558">
        <f t="shared" si="12"/>
        <v>100</v>
      </c>
      <c r="T36" s="1557" t="s">
        <v>8</v>
      </c>
      <c r="U36" s="1558">
        <f t="shared" si="13"/>
        <v>100</v>
      </c>
      <c r="V36" s="1557" t="s">
        <v>8</v>
      </c>
      <c r="W36" s="1558">
        <f t="shared" si="14"/>
        <v>100</v>
      </c>
      <c r="X36" s="1551"/>
      <c r="Y36" s="3430"/>
      <c r="Z36" s="1559" t="str">
        <f t="shared" si="15"/>
        <v>公共部分装修</v>
      </c>
      <c r="AA36" s="1560">
        <f t="shared" si="3"/>
        <v>1</v>
      </c>
      <c r="AB36" s="1560">
        <f t="shared" si="4"/>
        <v>1</v>
      </c>
      <c r="AC36" s="1560">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430"/>
      <c r="Q37" s="1556" t="str">
        <f t="shared" si="11"/>
        <v>成新度</v>
      </c>
      <c r="R37" s="1557" t="s">
        <v>8</v>
      </c>
      <c r="S37" s="1558" t="e">
        <f t="shared" si="12"/>
        <v>#N/A</v>
      </c>
      <c r="T37" s="1557" t="s">
        <v>8</v>
      </c>
      <c r="U37" s="1558" t="e">
        <f t="shared" si="13"/>
        <v>#N/A</v>
      </c>
      <c r="V37" s="1557" t="s">
        <v>8</v>
      </c>
      <c r="W37" s="1558" t="e">
        <f t="shared" si="14"/>
        <v>#N/A</v>
      </c>
      <c r="X37" s="1551"/>
      <c r="Y37" s="3430"/>
      <c r="Z37" s="1559" t="str">
        <f t="shared" si="15"/>
        <v>成新度</v>
      </c>
      <c r="AA37" s="1560" t="e">
        <f t="shared" si="3"/>
        <v>#N/A</v>
      </c>
      <c r="AB37" s="1560" t="e">
        <f t="shared" si="4"/>
        <v>#N/A</v>
      </c>
      <c r="AC37" s="1560"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30"/>
      <c r="Q38" s="1145" t="str">
        <f t="shared" si="11"/>
        <v>写字楼等级</v>
      </c>
      <c r="R38" s="1552" t="s">
        <v>8</v>
      </c>
      <c r="S38" s="1553">
        <f t="shared" si="12"/>
        <v>100</v>
      </c>
      <c r="T38" s="1552" t="s">
        <v>8</v>
      </c>
      <c r="U38" s="1553">
        <f t="shared" si="13"/>
        <v>100</v>
      </c>
      <c r="V38" s="1552" t="s">
        <v>8</v>
      </c>
      <c r="W38" s="1553">
        <f t="shared" si="14"/>
        <v>100</v>
      </c>
      <c r="X38" s="1554"/>
      <c r="Y38" s="3430"/>
      <c r="Z38" s="1144"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30" t="s">
        <v>550</v>
      </c>
      <c r="Q39" s="1556" t="str">
        <f t="shared" si="11"/>
        <v>物业管理</v>
      </c>
      <c r="R39" s="1557" t="s">
        <v>8</v>
      </c>
      <c r="S39" s="1558">
        <f t="shared" si="12"/>
        <v>100</v>
      </c>
      <c r="T39" s="1557" t="s">
        <v>8</v>
      </c>
      <c r="U39" s="1558">
        <f t="shared" si="13"/>
        <v>100</v>
      </c>
      <c r="V39" s="1557" t="s">
        <v>8</v>
      </c>
      <c r="W39" s="1558">
        <f t="shared" si="14"/>
        <v>100</v>
      </c>
      <c r="X39" s="1551"/>
      <c r="Y39" s="3430" t="s">
        <v>550</v>
      </c>
      <c r="Z39" s="1559" t="str">
        <f t="shared" si="15"/>
        <v>物业管理</v>
      </c>
      <c r="AA39" s="1560">
        <f t="shared" si="3"/>
        <v>1</v>
      </c>
      <c r="AB39" s="1560">
        <f t="shared" si="4"/>
        <v>1</v>
      </c>
      <c r="AC39" s="1560">
        <f t="shared" si="5"/>
        <v>1</v>
      </c>
    </row>
    <row r="40" spans="1:29" ht="15">
      <c r="A40" s="593"/>
      <c r="B40" s="1878"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30"/>
      <c r="Q40" s="1556" t="str">
        <f t="shared" si="11"/>
        <v>市政基础设施</v>
      </c>
      <c r="R40" s="1557" t="s">
        <v>8</v>
      </c>
      <c r="S40" s="1558">
        <f t="shared" si="12"/>
        <v>100</v>
      </c>
      <c r="T40" s="1557" t="s">
        <v>8</v>
      </c>
      <c r="U40" s="1558">
        <f t="shared" si="13"/>
        <v>100</v>
      </c>
      <c r="V40" s="1557" t="s">
        <v>8</v>
      </c>
      <c r="W40" s="1558">
        <f t="shared" si="14"/>
        <v>100</v>
      </c>
      <c r="X40" s="1551"/>
      <c r="Y40" s="3430"/>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30"/>
      <c r="Q41" s="1556" t="str">
        <f t="shared" si="11"/>
        <v>层高</v>
      </c>
      <c r="R41" s="1557" t="s">
        <v>8</v>
      </c>
      <c r="S41" s="1558">
        <f t="shared" si="12"/>
        <v>100</v>
      </c>
      <c r="T41" s="1557" t="s">
        <v>8</v>
      </c>
      <c r="U41" s="1558">
        <f t="shared" si="13"/>
        <v>100</v>
      </c>
      <c r="V41" s="1557" t="s">
        <v>8</v>
      </c>
      <c r="W41" s="1558">
        <f t="shared" si="14"/>
        <v>100</v>
      </c>
      <c r="X41" s="1551"/>
      <c r="Y41" s="3430"/>
      <c r="Z41" s="1559" t="str">
        <f t="shared" si="15"/>
        <v>层高</v>
      </c>
      <c r="AA41" s="1560">
        <f t="shared" si="3"/>
        <v>1</v>
      </c>
      <c r="AB41" s="1560">
        <f t="shared" si="4"/>
        <v>1</v>
      </c>
      <c r="AC41" s="1560">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30"/>
      <c r="Q42" s="1588" t="str">
        <f t="shared" si="11"/>
        <v>单套建筑面积</v>
      </c>
      <c r="R42" s="1561" t="s">
        <v>8</v>
      </c>
      <c r="S42" s="1562">
        <f t="shared" si="12"/>
        <v>100</v>
      </c>
      <c r="T42" s="1561" t="s">
        <v>8</v>
      </c>
      <c r="U42" s="1562">
        <f t="shared" si="13"/>
        <v>100</v>
      </c>
      <c r="V42" s="1561" t="s">
        <v>8</v>
      </c>
      <c r="W42" s="1562">
        <f t="shared" si="14"/>
        <v>100</v>
      </c>
      <c r="X42" s="1563"/>
      <c r="Y42" s="3430"/>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30"/>
      <c r="Q43" s="1556" t="str">
        <f t="shared" si="11"/>
        <v>内部装修</v>
      </c>
      <c r="R43" s="1557" t="s">
        <v>8</v>
      </c>
      <c r="S43" s="1558">
        <f t="shared" si="12"/>
        <v>100</v>
      </c>
      <c r="T43" s="1557" t="s">
        <v>8</v>
      </c>
      <c r="U43" s="1558">
        <f t="shared" si="13"/>
        <v>100</v>
      </c>
      <c r="V43" s="1557" t="s">
        <v>8</v>
      </c>
      <c r="W43" s="1558">
        <f t="shared" si="14"/>
        <v>100</v>
      </c>
      <c r="X43" s="1551"/>
      <c r="Y43" s="3430"/>
      <c r="Z43" s="1559" t="str">
        <f t="shared" si="15"/>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30"/>
      <c r="Q44" s="1556" t="str">
        <f t="shared" si="11"/>
        <v>内部装修维护情况</v>
      </c>
      <c r="R44" s="1557" t="s">
        <v>8</v>
      </c>
      <c r="S44" s="1558">
        <f t="shared" si="12"/>
        <v>100</v>
      </c>
      <c r="T44" s="1557" t="s">
        <v>8</v>
      </c>
      <c r="U44" s="1558">
        <f t="shared" si="13"/>
        <v>100</v>
      </c>
      <c r="V44" s="1557" t="s">
        <v>8</v>
      </c>
      <c r="W44" s="1558">
        <f t="shared" si="14"/>
        <v>100</v>
      </c>
      <c r="X44" s="1551"/>
      <c r="Y44" s="3430"/>
      <c r="Z44" s="1559" t="str">
        <f t="shared" si="15"/>
        <v>内部装修维护情况</v>
      </c>
      <c r="AA44" s="1560">
        <f t="shared" si="3"/>
        <v>1</v>
      </c>
      <c r="AB44" s="1560">
        <f t="shared" si="4"/>
        <v>1</v>
      </c>
      <c r="AC44" s="1560">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30"/>
      <c r="Q45" s="1145">
        <f t="shared" si="11"/>
        <v>111</v>
      </c>
      <c r="R45" s="1552" t="s">
        <v>8</v>
      </c>
      <c r="S45" s="1553">
        <f t="shared" si="12"/>
        <v>100</v>
      </c>
      <c r="T45" s="1552" t="s">
        <v>8</v>
      </c>
      <c r="U45" s="1553">
        <f t="shared" si="13"/>
        <v>100</v>
      </c>
      <c r="V45" s="1552" t="s">
        <v>8</v>
      </c>
      <c r="W45" s="1553">
        <f t="shared" si="14"/>
        <v>100</v>
      </c>
      <c r="X45" s="1554"/>
      <c r="Y45" s="3430"/>
      <c r="Z45" s="1144">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30"/>
      <c r="Q46" s="1556">
        <f t="shared" si="11"/>
        <v>111</v>
      </c>
      <c r="R46" s="1557" t="s">
        <v>8</v>
      </c>
      <c r="S46" s="1558">
        <f t="shared" si="12"/>
        <v>100</v>
      </c>
      <c r="T46" s="1557" t="s">
        <v>8</v>
      </c>
      <c r="U46" s="1558">
        <f t="shared" si="13"/>
        <v>100</v>
      </c>
      <c r="V46" s="1557" t="s">
        <v>8</v>
      </c>
      <c r="W46" s="1558">
        <f t="shared" si="14"/>
        <v>100</v>
      </c>
      <c r="X46" s="1551"/>
      <c r="Y46" s="3430"/>
      <c r="Z46" s="1559">
        <f t="shared" si="15"/>
        <v>111</v>
      </c>
      <c r="AA46" s="1560">
        <f t="shared" si="3"/>
        <v>1</v>
      </c>
      <c r="AB46" s="1560">
        <f t="shared" si="4"/>
        <v>1</v>
      </c>
      <c r="AC46" s="1560">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11"/>
      <c r="Q47" s="1556">
        <f t="shared" si="11"/>
        <v>111</v>
      </c>
      <c r="R47" s="1557" t="s">
        <v>8</v>
      </c>
      <c r="S47" s="1558">
        <f t="shared" si="12"/>
        <v>100</v>
      </c>
      <c r="T47" s="1557" t="s">
        <v>8</v>
      </c>
      <c r="U47" s="1558">
        <f t="shared" si="13"/>
        <v>100</v>
      </c>
      <c r="V47" s="1557" t="s">
        <v>8</v>
      </c>
      <c r="W47" s="1558">
        <f t="shared" si="14"/>
        <v>100</v>
      </c>
      <c r="X47" s="1551"/>
      <c r="Y47" s="3511"/>
      <c r="Z47" s="1559">
        <f t="shared" si="15"/>
        <v>111</v>
      </c>
      <c r="AA47" s="1560">
        <f t="shared" si="3"/>
        <v>1</v>
      </c>
      <c r="AB47" s="1560">
        <f t="shared" si="4"/>
        <v>1</v>
      </c>
      <c r="AC47" s="1560">
        <f t="shared" si="5"/>
        <v>1</v>
      </c>
    </row>
    <row r="48" spans="1:29" ht="15">
      <c r="A48" s="606" t="s">
        <v>736</v>
      </c>
      <c r="B48" s="885"/>
      <c r="C48" s="2589" t="s">
        <v>1</v>
      </c>
      <c r="D48" s="2590"/>
      <c r="E48" s="2591"/>
      <c r="F48" s="2592"/>
      <c r="G48" s="2593"/>
      <c r="H48" s="2594"/>
      <c r="I48" s="2591"/>
      <c r="J48" s="2594"/>
      <c r="K48" s="1594"/>
      <c r="L48" s="2127"/>
      <c r="M48" s="2117"/>
      <c r="N48" s="2117"/>
      <c r="O48" s="2117"/>
      <c r="P48" s="3391" t="str">
        <f>A48</f>
        <v>成交单价（元/平方米）</v>
      </c>
      <c r="Q48" s="3393"/>
      <c r="R48" s="3510">
        <f>E48</f>
        <v>0</v>
      </c>
      <c r="S48" s="3510"/>
      <c r="T48" s="3510">
        <f>G48</f>
        <v>0</v>
      </c>
      <c r="U48" s="3510"/>
      <c r="V48" s="3510">
        <f>I48</f>
        <v>0</v>
      </c>
      <c r="W48" s="3510"/>
      <c r="X48" s="1543"/>
      <c r="Y48" s="1565"/>
      <c r="Z48" s="1543"/>
      <c r="AA48" s="1543"/>
      <c r="AB48" s="1543"/>
      <c r="AC48" s="1543"/>
    </row>
    <row r="49" spans="1:29" ht="15.75" thickBot="1">
      <c r="A49" s="614" t="s">
        <v>2754</v>
      </c>
      <c r="B49" s="886"/>
      <c r="C49" s="2595" t="e">
        <f>R50</f>
        <v>#DIV/0!</v>
      </c>
      <c r="D49" s="2596"/>
      <c r="E49" s="2597" t="e">
        <f>R49</f>
        <v>#DIV/0!</v>
      </c>
      <c r="F49" s="2597"/>
      <c r="G49" s="2595" t="e">
        <f>T49</f>
        <v>#DIV/0!</v>
      </c>
      <c r="H49" s="2596"/>
      <c r="I49" s="2597" t="e">
        <f>V49</f>
        <v>#DIV/0!</v>
      </c>
      <c r="J49" s="2596"/>
      <c r="K49" s="1595"/>
      <c r="L49" s="2127"/>
      <c r="M49" s="2117"/>
      <c r="N49" s="2117"/>
      <c r="O49" s="2117"/>
      <c r="P49" s="3391" t="str">
        <f>A49</f>
        <v>比较价格（元/平方米）</v>
      </c>
      <c r="Q49" s="3393"/>
      <c r="R49" s="3510" t="e">
        <f>IF(F1="售价",ROUND(PRODUCT(R48,AA7:AA47),0),ROUND(PRODUCT(R48,AA7:AA47),1))</f>
        <v>#DIV/0!</v>
      </c>
      <c r="S49" s="3510"/>
      <c r="T49" s="3510" t="e">
        <f>IF(F1="售价",ROUND(PRODUCT(T48,AB7:AB47),0),ROUND(PRODUCT(T48,AB7:AB47),1))</f>
        <v>#DIV/0!</v>
      </c>
      <c r="U49" s="3510"/>
      <c r="V49" s="3510" t="e">
        <f>IF(F1="售价",ROUND(PRODUCT(V48,AC7:AC47),0),ROUND(PRODUCT(V48,AC7:AC47),1))</f>
        <v>#DIV/0!</v>
      </c>
      <c r="W49" s="3510"/>
      <c r="X49" s="1543"/>
      <c r="Y49" s="1543"/>
      <c r="Z49" s="1543"/>
      <c r="AA49" s="1543"/>
      <c r="AB49" s="1543"/>
      <c r="AC49" s="1543"/>
    </row>
    <row r="50" spans="1:29" ht="15.75" thickBot="1">
      <c r="A50" s="620" t="s">
        <v>2928</v>
      </c>
      <c r="B50" s="621"/>
      <c r="C50" s="2598" t="e">
        <f>R50</f>
        <v>#DIV/0!</v>
      </c>
      <c r="D50" s="2598"/>
      <c r="E50" s="2598"/>
      <c r="F50" s="2598"/>
      <c r="G50" s="2598"/>
      <c r="H50" s="2598"/>
      <c r="I50" s="2598"/>
      <c r="J50" s="2598"/>
      <c r="K50" s="1596"/>
      <c r="L50" s="2127"/>
      <c r="M50" s="2117"/>
      <c r="N50" s="2117"/>
      <c r="O50" s="2117"/>
      <c r="P50" s="3516" t="str">
        <f>A50</f>
        <v>估价对象XX用房的比较价格（楼面单价，元/平方米）</v>
      </c>
      <c r="Q50" s="3391"/>
      <c r="R50" s="3509" t="e">
        <f>IF(F1="售价",ROUND(AVERAGE(R49:V49),0),ROUND(AVERAGE(R49:V49),1))</f>
        <v>#DIV/0!</v>
      </c>
      <c r="S50" s="3509"/>
      <c r="T50" s="3509"/>
      <c r="U50" s="3509"/>
      <c r="V50" s="3509"/>
      <c r="W50" s="3509"/>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4" t="s">
        <v>529</v>
      </c>
      <c r="B59" s="645"/>
      <c r="C59" s="2755" t="str">
        <f>YEAR(C7)&amp;"-"&amp;MONTH(C7)</f>
        <v>2020-4</v>
      </c>
      <c r="D59" s="2757">
        <f>EDATE(C59,-1)</f>
        <v>43891</v>
      </c>
      <c r="E59" s="2757">
        <f t="shared" ref="E59:O59" si="16">EDATE(D59,-1)</f>
        <v>43862</v>
      </c>
      <c r="F59" s="2757">
        <f t="shared" si="16"/>
        <v>43831</v>
      </c>
      <c r="G59" s="2757">
        <f t="shared" si="16"/>
        <v>43800</v>
      </c>
      <c r="H59" s="2757">
        <f t="shared" si="16"/>
        <v>43770</v>
      </c>
      <c r="I59" s="2757">
        <f t="shared" si="16"/>
        <v>43739</v>
      </c>
      <c r="J59" s="2757">
        <f t="shared" si="16"/>
        <v>43709</v>
      </c>
      <c r="K59" s="2757">
        <f t="shared" si="16"/>
        <v>43678</v>
      </c>
      <c r="L59" s="2757">
        <f t="shared" si="16"/>
        <v>43647</v>
      </c>
      <c r="M59" s="2757">
        <f t="shared" si="16"/>
        <v>43617</v>
      </c>
      <c r="N59" s="2757">
        <f t="shared" si="16"/>
        <v>43586</v>
      </c>
      <c r="O59" s="2757">
        <f t="shared" si="16"/>
        <v>43556</v>
      </c>
      <c r="P59" s="2194"/>
      <c r="Q59" s="2144"/>
      <c r="R59" s="2144"/>
      <c r="S59" s="2144"/>
      <c r="T59" s="2144"/>
      <c r="U59" s="2144"/>
      <c r="V59" s="2144"/>
      <c r="W59" s="2144"/>
      <c r="X59" s="2144"/>
      <c r="Y59" s="2144"/>
      <c r="Z59" s="2144"/>
      <c r="AA59" s="2144"/>
      <c r="AB59" s="2144"/>
      <c r="AC59" s="2144"/>
    </row>
    <row r="60" spans="1:29" s="1214"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4"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4"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2553</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2554</v>
      </c>
      <c r="C83" s="2560" t="s">
        <v>2555</v>
      </c>
      <c r="D83" s="2560" t="s">
        <v>2556</v>
      </c>
      <c r="E83" s="2560" t="s">
        <v>2557</v>
      </c>
      <c r="F83" s="2560" t="s">
        <v>2558</v>
      </c>
      <c r="G83" s="2560" t="s">
        <v>2559</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2552</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30"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30"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399" t="s">
        <v>522</v>
      </c>
      <c r="D4" s="3400"/>
      <c r="E4" s="3433" t="s">
        <v>523</v>
      </c>
      <c r="F4" s="3434"/>
      <c r="G4" s="3399" t="s">
        <v>524</v>
      </c>
      <c r="H4" s="3400"/>
      <c r="I4" s="3399" t="s">
        <v>525</v>
      </c>
      <c r="J4" s="3400"/>
      <c r="K4" s="513" t="s">
        <v>526</v>
      </c>
      <c r="L4" s="2116"/>
      <c r="M4" s="2117"/>
      <c r="N4" s="2117"/>
      <c r="O4" s="2117"/>
      <c r="P4" s="3401" t="s">
        <v>527</v>
      </c>
      <c r="Q4" s="3402"/>
      <c r="R4" s="3407" t="s">
        <v>523</v>
      </c>
      <c r="S4" s="3408"/>
      <c r="T4" s="3407" t="s">
        <v>524</v>
      </c>
      <c r="U4" s="3408"/>
      <c r="V4" s="3394" t="s">
        <v>525</v>
      </c>
      <c r="W4" s="3394"/>
      <c r="X4" s="1551"/>
      <c r="Y4" s="3407" t="s">
        <v>527</v>
      </c>
      <c r="Z4" s="3408"/>
      <c r="AA4" s="3396" t="s">
        <v>523</v>
      </c>
      <c r="AB4" s="3397" t="s">
        <v>524</v>
      </c>
      <c r="AC4" s="3396" t="s">
        <v>525</v>
      </c>
    </row>
    <row r="5" spans="1:29" ht="15">
      <c r="A5" s="514"/>
      <c r="B5" s="515"/>
      <c r="C5" s="3415" t="s">
        <v>2922</v>
      </c>
      <c r="D5" s="3416"/>
      <c r="E5" s="3435" t="s">
        <v>2923</v>
      </c>
      <c r="F5" s="3436"/>
      <c r="G5" s="3415" t="s">
        <v>2924</v>
      </c>
      <c r="H5" s="3416"/>
      <c r="I5" s="3415" t="s">
        <v>2925</v>
      </c>
      <c r="J5" s="3416"/>
      <c r="K5" s="513"/>
      <c r="L5" s="2116"/>
      <c r="M5" s="2117"/>
      <c r="N5" s="2117"/>
      <c r="O5" s="2117"/>
      <c r="P5" s="3403"/>
      <c r="Q5" s="3404"/>
      <c r="R5" s="3409"/>
      <c r="S5" s="3410"/>
      <c r="T5" s="3409"/>
      <c r="U5" s="3410"/>
      <c r="V5" s="3394"/>
      <c r="W5" s="3394"/>
      <c r="X5" s="1551"/>
      <c r="Y5" s="3409"/>
      <c r="Z5" s="3410"/>
      <c r="AA5" s="3397"/>
      <c r="AB5" s="3397"/>
      <c r="AC5" s="3397"/>
    </row>
    <row r="6" spans="1:29" ht="15.75" thickBot="1">
      <c r="A6" s="516"/>
      <c r="B6" s="517"/>
      <c r="C6" s="3413" t="s">
        <v>2926</v>
      </c>
      <c r="D6" s="3414"/>
      <c r="E6" s="3431" t="s">
        <v>2926</v>
      </c>
      <c r="F6" s="3432"/>
      <c r="G6" s="3413" t="s">
        <v>2926</v>
      </c>
      <c r="H6" s="3414"/>
      <c r="I6" s="3413" t="s">
        <v>2926</v>
      </c>
      <c r="J6" s="3414"/>
      <c r="K6" s="513" t="s">
        <v>528</v>
      </c>
      <c r="L6" s="2116"/>
      <c r="M6" s="2117"/>
      <c r="N6" s="2117"/>
      <c r="O6" s="2117"/>
      <c r="P6" s="3405"/>
      <c r="Q6" s="3406"/>
      <c r="R6" s="3409"/>
      <c r="S6" s="3410"/>
      <c r="T6" s="3411"/>
      <c r="U6" s="3412"/>
      <c r="V6" s="3394"/>
      <c r="W6" s="3394"/>
      <c r="X6" s="1551"/>
      <c r="Y6" s="3411"/>
      <c r="Z6" s="3412"/>
      <c r="AA6" s="3398"/>
      <c r="AB6" s="3398"/>
      <c r="AC6" s="3398"/>
    </row>
    <row r="7" spans="1:29" s="1214" customFormat="1" ht="15.75" thickBot="1">
      <c r="A7" s="2865"/>
      <c r="B7" s="2872" t="s">
        <v>529</v>
      </c>
      <c r="C7" s="518">
        <f>'数据-取费表'!B2</f>
        <v>43942</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24" t="s">
        <v>530</v>
      </c>
      <c r="Q7" s="3426"/>
      <c r="R7" s="1552" t="s">
        <v>8</v>
      </c>
      <c r="S7" s="1553">
        <f t="shared" ref="S7:S15" si="0">F7</f>
        <v>0</v>
      </c>
      <c r="T7" s="1552" t="s">
        <v>8</v>
      </c>
      <c r="U7" s="1553">
        <f t="shared" ref="U7:U15" si="1">H7</f>
        <v>0</v>
      </c>
      <c r="V7" s="1552" t="s">
        <v>8</v>
      </c>
      <c r="W7" s="1553">
        <f t="shared" ref="W7:W15" si="2">J7</f>
        <v>0</v>
      </c>
      <c r="X7" s="1554"/>
      <c r="Y7" s="3424" t="s">
        <v>530</v>
      </c>
      <c r="Z7" s="3425"/>
      <c r="AA7" s="1555" t="e">
        <f>D7/F7</f>
        <v>#DIV/0!</v>
      </c>
      <c r="AB7" s="1555" t="e">
        <f>D7/H7</f>
        <v>#DIV/0!</v>
      </c>
      <c r="AC7" s="1555" t="e">
        <f>D7/J7</f>
        <v>#DIV/0!</v>
      </c>
    </row>
    <row r="8" spans="1:29" s="1214"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24" t="s">
        <v>533</v>
      </c>
      <c r="Q8" s="3425"/>
      <c r="R8" s="1552" t="s">
        <v>8</v>
      </c>
      <c r="S8" s="1553">
        <f t="shared" si="0"/>
        <v>0</v>
      </c>
      <c r="T8" s="1552" t="s">
        <v>8</v>
      </c>
      <c r="U8" s="1553">
        <f t="shared" si="1"/>
        <v>0</v>
      </c>
      <c r="V8" s="1552" t="s">
        <v>8</v>
      </c>
      <c r="W8" s="1553">
        <f t="shared" si="2"/>
        <v>0</v>
      </c>
      <c r="X8" s="1554"/>
      <c r="Y8" s="3424" t="s">
        <v>533</v>
      </c>
      <c r="Z8" s="3425"/>
      <c r="AA8" s="1555" t="e">
        <f t="shared" ref="AA8:AA40" si="3">D8/F8</f>
        <v>#DIV/0!</v>
      </c>
      <c r="AB8" s="1555" t="e">
        <f t="shared" ref="AB8:AB40" si="4">D8/H8</f>
        <v>#DIV/0!</v>
      </c>
      <c r="AC8" s="1555" t="e">
        <f t="shared" ref="AC8:AC40" si="5">D8/J8</f>
        <v>#DIV/0!</v>
      </c>
    </row>
    <row r="9" spans="1:29" s="1214" customFormat="1" ht="15">
      <c r="A9" s="2867"/>
      <c r="B9" s="2874" t="s">
        <v>2750</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393" t="s">
        <v>535</v>
      </c>
      <c r="Q9" s="1145" t="str">
        <f t="shared" ref="Q9:Q15" si="6">B9</f>
        <v>用途</v>
      </c>
      <c r="R9" s="1552" t="s">
        <v>8</v>
      </c>
      <c r="S9" s="1553">
        <f t="shared" si="0"/>
        <v>100</v>
      </c>
      <c r="T9" s="1552" t="s">
        <v>8</v>
      </c>
      <c r="U9" s="1553">
        <f t="shared" si="1"/>
        <v>100</v>
      </c>
      <c r="V9" s="1552" t="s">
        <v>8</v>
      </c>
      <c r="W9" s="1553">
        <f t="shared" si="2"/>
        <v>100</v>
      </c>
      <c r="X9" s="1554"/>
      <c r="Y9" s="3339" t="s">
        <v>536</v>
      </c>
      <c r="Z9" s="1144" t="str">
        <f t="shared" ref="Z9:Z15" si="7">Q9</f>
        <v>用途</v>
      </c>
      <c r="AA9" s="1555">
        <f t="shared" si="3"/>
        <v>1</v>
      </c>
      <c r="AB9" s="1555">
        <f t="shared" si="4"/>
        <v>1</v>
      </c>
      <c r="AC9" s="1555">
        <f t="shared" si="5"/>
        <v>1</v>
      </c>
    </row>
    <row r="10" spans="1:29" s="1332" customFormat="1" ht="27">
      <c r="A10" s="2868"/>
      <c r="B10" s="2873" t="s">
        <v>2751</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393"/>
      <c r="Q10" s="1145" t="str">
        <f t="shared" si="6"/>
        <v>土地使用年限（年）</v>
      </c>
      <c r="R10" s="1552" t="s">
        <v>8</v>
      </c>
      <c r="S10" s="1553">
        <f t="shared" si="0"/>
        <v>100</v>
      </c>
      <c r="T10" s="1552" t="s">
        <v>8</v>
      </c>
      <c r="U10" s="1553">
        <f t="shared" si="1"/>
        <v>100</v>
      </c>
      <c r="V10" s="1552" t="s">
        <v>8</v>
      </c>
      <c r="W10" s="1553">
        <f t="shared" si="2"/>
        <v>100</v>
      </c>
      <c r="X10" s="1554"/>
      <c r="Y10" s="3339"/>
      <c r="Z10" s="1144" t="str">
        <f t="shared" si="7"/>
        <v>土地使用年限（年）</v>
      </c>
      <c r="AA10" s="1555">
        <f t="shared" si="3"/>
        <v>1</v>
      </c>
      <c r="AB10" s="1555">
        <f t="shared" si="4"/>
        <v>1</v>
      </c>
      <c r="AC10" s="1555">
        <f t="shared" si="5"/>
        <v>1</v>
      </c>
    </row>
    <row r="11" spans="1:29" ht="15">
      <c r="A11" s="2869"/>
      <c r="B11" s="2873" t="s">
        <v>2752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393"/>
      <c r="Q11" s="1145" t="str">
        <f t="shared" si="6"/>
        <v>容积率</v>
      </c>
      <c r="R11" s="1552" t="s">
        <v>8</v>
      </c>
      <c r="S11" s="1553" t="e">
        <f t="shared" si="0"/>
        <v>#N/A</v>
      </c>
      <c r="T11" s="1552" t="s">
        <v>8</v>
      </c>
      <c r="U11" s="1553" t="e">
        <f t="shared" si="1"/>
        <v>#N/A</v>
      </c>
      <c r="V11" s="1552" t="s">
        <v>8</v>
      </c>
      <c r="W11" s="1553" t="e">
        <f t="shared" si="2"/>
        <v>#N/A</v>
      </c>
      <c r="X11" s="1554"/>
      <c r="Y11" s="3339"/>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393"/>
      <c r="Q12" s="1145">
        <f t="shared" si="6"/>
        <v>111</v>
      </c>
      <c r="R12" s="1552" t="s">
        <v>8</v>
      </c>
      <c r="S12" s="1553">
        <f t="shared" si="0"/>
        <v>100</v>
      </c>
      <c r="T12" s="1552" t="s">
        <v>8</v>
      </c>
      <c r="U12" s="1553">
        <f t="shared" si="1"/>
        <v>100</v>
      </c>
      <c r="V12" s="1552" t="s">
        <v>8</v>
      </c>
      <c r="W12" s="1553">
        <f t="shared" si="2"/>
        <v>100</v>
      </c>
      <c r="X12" s="1554"/>
      <c r="Y12" s="3339"/>
      <c r="Z12" s="1144">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393"/>
      <c r="Q13" s="1145">
        <f t="shared" si="6"/>
        <v>111</v>
      </c>
      <c r="R13" s="1552" t="s">
        <v>8</v>
      </c>
      <c r="S13" s="1553">
        <f t="shared" si="0"/>
        <v>100</v>
      </c>
      <c r="T13" s="1552" t="s">
        <v>8</v>
      </c>
      <c r="U13" s="1553">
        <f t="shared" si="1"/>
        <v>100</v>
      </c>
      <c r="V13" s="1552" t="s">
        <v>8</v>
      </c>
      <c r="W13" s="1553">
        <f t="shared" si="2"/>
        <v>100</v>
      </c>
      <c r="X13" s="1554"/>
      <c r="Y13" s="3339"/>
      <c r="Z13" s="1144">
        <f t="shared" si="7"/>
        <v>111</v>
      </c>
      <c r="AA13" s="1555">
        <f t="shared" si="3"/>
        <v>1</v>
      </c>
      <c r="AB13" s="1555">
        <f t="shared" si="4"/>
        <v>1</v>
      </c>
      <c r="AC13" s="1555">
        <f t="shared" si="5"/>
        <v>1</v>
      </c>
    </row>
    <row r="14" spans="1:29" ht="15.75" thickBot="1">
      <c r="A14" s="2871"/>
      <c r="B14" s="2877">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393"/>
      <c r="Q14" s="1145">
        <f t="shared" si="6"/>
        <v>111</v>
      </c>
      <c r="R14" s="1552" t="s">
        <v>8</v>
      </c>
      <c r="S14" s="1553">
        <f t="shared" si="0"/>
        <v>100</v>
      </c>
      <c r="T14" s="1552" t="s">
        <v>8</v>
      </c>
      <c r="U14" s="1553">
        <f t="shared" si="1"/>
        <v>100</v>
      </c>
      <c r="V14" s="1552" t="s">
        <v>8</v>
      </c>
      <c r="W14" s="1553">
        <f t="shared" si="2"/>
        <v>100</v>
      </c>
      <c r="X14" s="1554"/>
      <c r="Y14" s="3339"/>
      <c r="Z14" s="1144">
        <f t="shared" si="7"/>
        <v>111</v>
      </c>
      <c r="AA14" s="1555">
        <f t="shared" si="3"/>
        <v>1</v>
      </c>
      <c r="AB14" s="1555">
        <f t="shared" si="4"/>
        <v>1</v>
      </c>
      <c r="AC14" s="1555">
        <f t="shared" si="5"/>
        <v>1</v>
      </c>
    </row>
    <row r="15" spans="1:29" ht="57">
      <c r="A15" s="2863" t="s">
        <v>2748</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427" t="s">
        <v>540</v>
      </c>
      <c r="Q15" s="1556" t="str">
        <f t="shared" si="6"/>
        <v>产业集聚程度</v>
      </c>
      <c r="R15" s="1557" t="s">
        <v>8</v>
      </c>
      <c r="S15" s="1558">
        <f t="shared" si="0"/>
        <v>100</v>
      </c>
      <c r="T15" s="1557" t="s">
        <v>8</v>
      </c>
      <c r="U15" s="1558">
        <f t="shared" si="1"/>
        <v>100</v>
      </c>
      <c r="V15" s="1557" t="s">
        <v>8</v>
      </c>
      <c r="W15" s="1558">
        <f t="shared" si="2"/>
        <v>100</v>
      </c>
      <c r="X15" s="1551"/>
      <c r="Y15" s="3427"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428"/>
      <c r="Q16" s="1556"/>
      <c r="R16" s="1557"/>
      <c r="S16" s="1558"/>
      <c r="T16" s="1557"/>
      <c r="U16" s="1558"/>
      <c r="V16" s="1557"/>
      <c r="W16" s="1558"/>
      <c r="X16" s="1551"/>
      <c r="Y16" s="3428"/>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428"/>
      <c r="Q17" s="1556" t="str">
        <f>B17</f>
        <v>交通便捷度</v>
      </c>
      <c r="R17" s="1557" t="s">
        <v>8</v>
      </c>
      <c r="S17" s="1558">
        <f>F17</f>
        <v>100</v>
      </c>
      <c r="T17" s="1557" t="s">
        <v>8</v>
      </c>
      <c r="U17" s="1558">
        <f>H17</f>
        <v>100</v>
      </c>
      <c r="V17" s="1557" t="s">
        <v>8</v>
      </c>
      <c r="W17" s="1558">
        <f>J17</f>
        <v>100</v>
      </c>
      <c r="X17" s="1551"/>
      <c r="Y17" s="3428"/>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428"/>
      <c r="Q18" s="1556"/>
      <c r="R18" s="1557"/>
      <c r="S18" s="1558"/>
      <c r="T18" s="1557"/>
      <c r="U18" s="1558"/>
      <c r="V18" s="1557"/>
      <c r="W18" s="1558"/>
      <c r="X18" s="1551"/>
      <c r="Y18" s="3428"/>
      <c r="Z18" s="1559"/>
      <c r="AA18" s="1560">
        <v>1</v>
      </c>
      <c r="AB18" s="1560">
        <v>1</v>
      </c>
      <c r="AC18" s="1560">
        <v>1</v>
      </c>
    </row>
    <row r="19" spans="1:29" ht="42.75">
      <c r="A19" s="531"/>
      <c r="B19" s="2565"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428"/>
      <c r="Q19" s="1556" t="str">
        <f>B19</f>
        <v>公共配套设施</v>
      </c>
      <c r="R19" s="1557" t="s">
        <v>8</v>
      </c>
      <c r="S19" s="1558">
        <f>F19</f>
        <v>100</v>
      </c>
      <c r="T19" s="1557" t="s">
        <v>8</v>
      </c>
      <c r="U19" s="1558">
        <f>H19</f>
        <v>100</v>
      </c>
      <c r="V19" s="1557" t="s">
        <v>8</v>
      </c>
      <c r="W19" s="1558">
        <f>J19</f>
        <v>100</v>
      </c>
      <c r="X19" s="1551"/>
      <c r="Y19" s="3428"/>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7"/>
      <c r="L20" s="2125"/>
      <c r="M20" s="2117"/>
      <c r="N20" s="2117"/>
      <c r="O20" s="2124"/>
      <c r="P20" s="3428"/>
      <c r="Q20" s="1556"/>
      <c r="R20" s="1557"/>
      <c r="S20" s="1558"/>
      <c r="T20" s="1557"/>
      <c r="U20" s="1558"/>
      <c r="V20" s="1557"/>
      <c r="W20" s="1558"/>
      <c r="X20" s="1551"/>
      <c r="Y20" s="3428"/>
      <c r="Z20" s="1559"/>
      <c r="AA20" s="1560">
        <v>1</v>
      </c>
      <c r="AB20" s="1560">
        <v>1</v>
      </c>
      <c r="AC20" s="1560">
        <v>1</v>
      </c>
    </row>
    <row r="21" spans="1:29" ht="28.5">
      <c r="A21" s="531"/>
      <c r="B21" s="2553"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428"/>
      <c r="Q21" s="2541" t="str">
        <f>B21</f>
        <v>基础设施水平</v>
      </c>
      <c r="R21" s="1557" t="s">
        <v>8</v>
      </c>
      <c r="S21" s="1558">
        <f>F21</f>
        <v>100</v>
      </c>
      <c r="T21" s="1557" t="s">
        <v>8</v>
      </c>
      <c r="U21" s="1558">
        <f>H21</f>
        <v>100</v>
      </c>
      <c r="V21" s="1557" t="s">
        <v>8</v>
      </c>
      <c r="W21" s="1558">
        <f>J21</f>
        <v>100</v>
      </c>
      <c r="X21" s="2543"/>
      <c r="Y21" s="3428"/>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428"/>
      <c r="Q22" s="2541"/>
      <c r="R22" s="1557"/>
      <c r="S22" s="1558"/>
      <c r="T22" s="1557"/>
      <c r="U22" s="1558"/>
      <c r="V22" s="1557"/>
      <c r="W22" s="1558"/>
      <c r="X22" s="2543"/>
      <c r="Y22" s="3428"/>
      <c r="Z22" s="2542"/>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428"/>
      <c r="Q23" s="1556" t="str">
        <f>B23</f>
        <v>环境质量</v>
      </c>
      <c r="R23" s="1557" t="s">
        <v>8</v>
      </c>
      <c r="S23" s="1558">
        <f>F23</f>
        <v>100</v>
      </c>
      <c r="T23" s="1557" t="s">
        <v>8</v>
      </c>
      <c r="U23" s="1558">
        <f>H23</f>
        <v>100</v>
      </c>
      <c r="V23" s="1557" t="s">
        <v>8</v>
      </c>
      <c r="W23" s="1558">
        <f>J23</f>
        <v>100</v>
      </c>
      <c r="X23" s="1551"/>
      <c r="Y23" s="3428"/>
      <c r="Z23" s="1559" t="str">
        <f>Q23</f>
        <v>环境质量</v>
      </c>
      <c r="AA23" s="1560">
        <f t="shared" si="3"/>
        <v>1</v>
      </c>
      <c r="AB23" s="1560">
        <f t="shared" si="4"/>
        <v>1</v>
      </c>
      <c r="AC23" s="1560">
        <f t="shared" si="5"/>
        <v>1</v>
      </c>
    </row>
    <row r="24" spans="1:29" ht="15">
      <c r="A24" s="531"/>
      <c r="B24" s="920"/>
      <c r="C24" s="575"/>
      <c r="D24" s="554"/>
      <c r="E24" s="555"/>
      <c r="F24" s="556"/>
      <c r="G24" s="557"/>
      <c r="H24" s="554"/>
      <c r="I24" s="555"/>
      <c r="J24" s="554"/>
      <c r="K24" s="897"/>
      <c r="L24" s="2125"/>
      <c r="M24" s="2117"/>
      <c r="N24" s="2117"/>
      <c r="O24" s="2124"/>
      <c r="P24" s="3428"/>
      <c r="Q24" s="1556"/>
      <c r="R24" s="1557"/>
      <c r="S24" s="1558"/>
      <c r="T24" s="1557"/>
      <c r="U24" s="1558"/>
      <c r="V24" s="1557"/>
      <c r="W24" s="1558"/>
      <c r="X24" s="1551"/>
      <c r="Y24" s="3428"/>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28"/>
      <c r="Q25" s="1556">
        <f>B25</f>
        <v>111</v>
      </c>
      <c r="R25" s="1557" t="s">
        <v>8</v>
      </c>
      <c r="S25" s="1558">
        <f>F25</f>
        <v>100</v>
      </c>
      <c r="T25" s="1557" t="s">
        <v>8</v>
      </c>
      <c r="U25" s="1558">
        <f>H25</f>
        <v>100</v>
      </c>
      <c r="V25" s="1557" t="s">
        <v>8</v>
      </c>
      <c r="W25" s="1558">
        <f>J25</f>
        <v>100</v>
      </c>
      <c r="X25" s="1551"/>
      <c r="Y25" s="3428"/>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28"/>
      <c r="Q26" s="1556">
        <f t="shared" ref="Q26:Q40" si="11">B26</f>
        <v>111</v>
      </c>
      <c r="R26" s="1557" t="s">
        <v>8</v>
      </c>
      <c r="S26" s="1558">
        <f>F26</f>
        <v>100</v>
      </c>
      <c r="T26" s="1557" t="s">
        <v>8</v>
      </c>
      <c r="U26" s="1558">
        <f>H26</f>
        <v>100</v>
      </c>
      <c r="V26" s="1557" t="s">
        <v>8</v>
      </c>
      <c r="W26" s="1558">
        <f>J26</f>
        <v>100</v>
      </c>
      <c r="X26" s="1551"/>
      <c r="Y26" s="3428"/>
      <c r="Z26" s="1559">
        <f>Q26</f>
        <v>111</v>
      </c>
      <c r="AA26" s="1560">
        <f t="shared" si="3"/>
        <v>1</v>
      </c>
      <c r="AB26" s="1560">
        <f t="shared" si="4"/>
        <v>1</v>
      </c>
      <c r="AC26" s="1560">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428"/>
      <c r="Q27" s="1145">
        <f t="shared" si="11"/>
        <v>111</v>
      </c>
      <c r="R27" s="1552" t="s">
        <v>8</v>
      </c>
      <c r="S27" s="1553">
        <f>F27</f>
        <v>100</v>
      </c>
      <c r="T27" s="1552" t="s">
        <v>8</v>
      </c>
      <c r="U27" s="1553">
        <f>H27</f>
        <v>100</v>
      </c>
      <c r="V27" s="1552" t="s">
        <v>8</v>
      </c>
      <c r="W27" s="1553">
        <f>J27</f>
        <v>100</v>
      </c>
      <c r="X27" s="1554"/>
      <c r="Y27" s="3428"/>
      <c r="Z27" s="1144">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428"/>
      <c r="Q28" s="1556">
        <f t="shared" si="11"/>
        <v>111</v>
      </c>
      <c r="R28" s="1557" t="s">
        <v>8</v>
      </c>
      <c r="S28" s="1558">
        <f t="shared" ref="S28:S40" si="12">F28</f>
        <v>100</v>
      </c>
      <c r="T28" s="1557" t="s">
        <v>8</v>
      </c>
      <c r="U28" s="1558">
        <f t="shared" ref="U28:U40" si="13">H28</f>
        <v>100</v>
      </c>
      <c r="V28" s="1557" t="s">
        <v>8</v>
      </c>
      <c r="W28" s="1558">
        <f t="shared" ref="W28:W40" si="14">J28</f>
        <v>100</v>
      </c>
      <c r="X28" s="1551"/>
      <c r="Y28" s="3428"/>
      <c r="Z28" s="1559">
        <f t="shared" ref="Z28:Z40" si="15">Q28</f>
        <v>111</v>
      </c>
      <c r="AA28" s="1560">
        <f t="shared" si="3"/>
        <v>1</v>
      </c>
      <c r="AB28" s="1560">
        <f t="shared" si="4"/>
        <v>1</v>
      </c>
      <c r="AC28" s="1560">
        <f t="shared" si="5"/>
        <v>1</v>
      </c>
    </row>
    <row r="29" spans="1:29" ht="15">
      <c r="A29" s="2860" t="s">
        <v>2749</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429" t="s">
        <v>550</v>
      </c>
      <c r="Q29" s="1556" t="str">
        <f t="shared" si="11"/>
        <v>建筑类型</v>
      </c>
      <c r="R29" s="1557" t="s">
        <v>8</v>
      </c>
      <c r="S29" s="1558">
        <f t="shared" si="12"/>
        <v>100</v>
      </c>
      <c r="T29" s="1557" t="s">
        <v>8</v>
      </c>
      <c r="U29" s="1558">
        <f t="shared" si="13"/>
        <v>100</v>
      </c>
      <c r="V29" s="1557" t="s">
        <v>8</v>
      </c>
      <c r="W29" s="1558">
        <f t="shared" si="14"/>
        <v>100</v>
      </c>
      <c r="X29" s="1551"/>
      <c r="Y29" s="3430" t="s">
        <v>550</v>
      </c>
      <c r="Z29" s="1559" t="str">
        <f t="shared" si="15"/>
        <v>建筑类型</v>
      </c>
      <c r="AA29" s="1560">
        <f t="shared" si="3"/>
        <v>1</v>
      </c>
      <c r="AB29" s="1560">
        <f t="shared" si="4"/>
        <v>1</v>
      </c>
      <c r="AC29" s="1560">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30"/>
      <c r="Q30" s="1588" t="str">
        <f t="shared" si="11"/>
        <v>项目建筑规模</v>
      </c>
      <c r="R30" s="1561" t="s">
        <v>8</v>
      </c>
      <c r="S30" s="1562" t="e">
        <f t="shared" si="12"/>
        <v>#N/A</v>
      </c>
      <c r="T30" s="1561" t="s">
        <v>8</v>
      </c>
      <c r="U30" s="1562" t="e">
        <f t="shared" si="13"/>
        <v>#N/A</v>
      </c>
      <c r="V30" s="1561" t="s">
        <v>8</v>
      </c>
      <c r="W30" s="1562" t="e">
        <f t="shared" si="14"/>
        <v>#N/A</v>
      </c>
      <c r="X30" s="1563"/>
      <c r="Y30" s="3430"/>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30"/>
      <c r="Q31" s="1556" t="str">
        <f t="shared" si="11"/>
        <v>建筑结构</v>
      </c>
      <c r="R31" s="1557" t="s">
        <v>8</v>
      </c>
      <c r="S31" s="1558">
        <f t="shared" si="12"/>
        <v>100</v>
      </c>
      <c r="T31" s="1557" t="s">
        <v>8</v>
      </c>
      <c r="U31" s="1558">
        <f t="shared" si="13"/>
        <v>100</v>
      </c>
      <c r="V31" s="1557" t="s">
        <v>8</v>
      </c>
      <c r="W31" s="1558">
        <f t="shared" si="14"/>
        <v>100</v>
      </c>
      <c r="X31" s="1551"/>
      <c r="Y31" s="3430"/>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30"/>
      <c r="Q32" s="1556" t="str">
        <f t="shared" si="11"/>
        <v>公共部分装修</v>
      </c>
      <c r="R32" s="1557" t="s">
        <v>8</v>
      </c>
      <c r="S32" s="1558">
        <f t="shared" si="12"/>
        <v>100</v>
      </c>
      <c r="T32" s="1557" t="s">
        <v>8</v>
      </c>
      <c r="U32" s="1558">
        <f t="shared" si="13"/>
        <v>100</v>
      </c>
      <c r="V32" s="1557" t="s">
        <v>8</v>
      </c>
      <c r="W32" s="1558">
        <f t="shared" si="14"/>
        <v>100</v>
      </c>
      <c r="X32" s="1551"/>
      <c r="Y32" s="3430"/>
      <c r="Z32" s="1559" t="str">
        <f t="shared" si="15"/>
        <v>公共部分装修</v>
      </c>
      <c r="AA32" s="1560">
        <f t="shared" si="3"/>
        <v>1</v>
      </c>
      <c r="AB32" s="1560">
        <f t="shared" si="4"/>
        <v>1</v>
      </c>
      <c r="AC32" s="1560">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430"/>
      <c r="Q33" s="1556" t="str">
        <f t="shared" si="11"/>
        <v>成新度</v>
      </c>
      <c r="R33" s="1557" t="s">
        <v>8</v>
      </c>
      <c r="S33" s="1558" t="e">
        <f t="shared" si="12"/>
        <v>#N/A</v>
      </c>
      <c r="T33" s="1557" t="s">
        <v>8</v>
      </c>
      <c r="U33" s="1558" t="e">
        <f t="shared" si="13"/>
        <v>#N/A</v>
      </c>
      <c r="V33" s="1557" t="s">
        <v>8</v>
      </c>
      <c r="W33" s="1558" t="e">
        <f t="shared" si="14"/>
        <v>#N/A</v>
      </c>
      <c r="X33" s="1551"/>
      <c r="Y33" s="3430"/>
      <c r="Z33" s="1559" t="str">
        <f t="shared" si="15"/>
        <v>成新度</v>
      </c>
      <c r="AA33" s="1560" t="e">
        <f t="shared" si="3"/>
        <v>#N/A</v>
      </c>
      <c r="AB33" s="1560" t="e">
        <f t="shared" si="4"/>
        <v>#N/A</v>
      </c>
      <c r="AC33" s="1560"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30"/>
      <c r="Q34" s="1145" t="str">
        <f t="shared" si="11"/>
        <v>物业管理</v>
      </c>
      <c r="R34" s="1552" t="s">
        <v>8</v>
      </c>
      <c r="S34" s="1553">
        <f t="shared" si="12"/>
        <v>100</v>
      </c>
      <c r="T34" s="1552" t="s">
        <v>8</v>
      </c>
      <c r="U34" s="1553">
        <f t="shared" si="13"/>
        <v>100</v>
      </c>
      <c r="V34" s="1552" t="s">
        <v>8</v>
      </c>
      <c r="W34" s="1553">
        <f t="shared" si="14"/>
        <v>100</v>
      </c>
      <c r="X34" s="1554"/>
      <c r="Y34" s="3430"/>
      <c r="Z34" s="1144" t="str">
        <f t="shared" si="15"/>
        <v>物业管理</v>
      </c>
      <c r="AA34" s="1555">
        <f t="shared" si="3"/>
        <v>1</v>
      </c>
      <c r="AB34" s="1555">
        <f t="shared" si="4"/>
        <v>1</v>
      </c>
      <c r="AC34" s="1555">
        <f t="shared" si="5"/>
        <v>1</v>
      </c>
    </row>
    <row r="35" spans="1:29" ht="15">
      <c r="A35" s="593"/>
      <c r="B35" s="1878"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30" t="s">
        <v>550</v>
      </c>
      <c r="Q35" s="1556" t="str">
        <f t="shared" si="11"/>
        <v>市政基础设施</v>
      </c>
      <c r="R35" s="1557" t="s">
        <v>8</v>
      </c>
      <c r="S35" s="1558">
        <f t="shared" si="12"/>
        <v>100</v>
      </c>
      <c r="T35" s="1557" t="s">
        <v>8</v>
      </c>
      <c r="U35" s="1558">
        <f t="shared" si="13"/>
        <v>100</v>
      </c>
      <c r="V35" s="1557" t="s">
        <v>8</v>
      </c>
      <c r="W35" s="1558">
        <f t="shared" si="14"/>
        <v>100</v>
      </c>
      <c r="X35" s="1551"/>
      <c r="Y35" s="3430"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30"/>
      <c r="Q36" s="1556" t="str">
        <f t="shared" si="11"/>
        <v>内部装修</v>
      </c>
      <c r="R36" s="1557" t="s">
        <v>8</v>
      </c>
      <c r="S36" s="1558">
        <f t="shared" si="12"/>
        <v>100</v>
      </c>
      <c r="T36" s="1557" t="s">
        <v>8</v>
      </c>
      <c r="U36" s="1558">
        <f t="shared" si="13"/>
        <v>100</v>
      </c>
      <c r="V36" s="1557" t="s">
        <v>8</v>
      </c>
      <c r="W36" s="1558">
        <f t="shared" si="14"/>
        <v>100</v>
      </c>
      <c r="X36" s="1551"/>
      <c r="Y36" s="3430"/>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30"/>
      <c r="Q37" s="1556" t="str">
        <f t="shared" si="11"/>
        <v>内部装修状况</v>
      </c>
      <c r="R37" s="1557" t="s">
        <v>8</v>
      </c>
      <c r="S37" s="1558">
        <f t="shared" si="12"/>
        <v>100</v>
      </c>
      <c r="T37" s="1557" t="s">
        <v>8</v>
      </c>
      <c r="U37" s="1558">
        <f t="shared" si="13"/>
        <v>100</v>
      </c>
      <c r="V37" s="1557" t="s">
        <v>8</v>
      </c>
      <c r="W37" s="1558">
        <f t="shared" si="14"/>
        <v>100</v>
      </c>
      <c r="X37" s="1551"/>
      <c r="Y37" s="3430"/>
      <c r="Z37" s="1559" t="str">
        <f t="shared" si="15"/>
        <v>内部装修状况</v>
      </c>
      <c r="AA37" s="1560">
        <f t="shared" si="3"/>
        <v>1</v>
      </c>
      <c r="AB37" s="1560">
        <f t="shared" si="4"/>
        <v>1</v>
      </c>
      <c r="AC37" s="1560">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430"/>
      <c r="Q38" s="1588">
        <f t="shared" si="11"/>
        <v>111</v>
      </c>
      <c r="R38" s="1561" t="s">
        <v>8</v>
      </c>
      <c r="S38" s="1562">
        <f t="shared" si="12"/>
        <v>100</v>
      </c>
      <c r="T38" s="1561" t="s">
        <v>8</v>
      </c>
      <c r="U38" s="1562">
        <f t="shared" si="13"/>
        <v>100</v>
      </c>
      <c r="V38" s="1561" t="s">
        <v>8</v>
      </c>
      <c r="W38" s="1562">
        <f t="shared" si="14"/>
        <v>100</v>
      </c>
      <c r="X38" s="1563"/>
      <c r="Y38" s="3430"/>
      <c r="Z38" s="1564">
        <f t="shared" si="15"/>
        <v>111</v>
      </c>
      <c r="AA38" s="1560">
        <f t="shared" si="3"/>
        <v>1</v>
      </c>
      <c r="AB38" s="1560">
        <f t="shared" si="4"/>
        <v>1</v>
      </c>
      <c r="AC38" s="1560">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430"/>
      <c r="Q39" s="1556">
        <f t="shared" si="11"/>
        <v>111</v>
      </c>
      <c r="R39" s="1557" t="s">
        <v>8</v>
      </c>
      <c r="S39" s="1558">
        <f t="shared" si="12"/>
        <v>100</v>
      </c>
      <c r="T39" s="1557" t="s">
        <v>8</v>
      </c>
      <c r="U39" s="1558">
        <f t="shared" si="13"/>
        <v>100</v>
      </c>
      <c r="V39" s="1557" t="s">
        <v>8</v>
      </c>
      <c r="W39" s="1558">
        <f t="shared" si="14"/>
        <v>100</v>
      </c>
      <c r="X39" s="1551"/>
      <c r="Y39" s="3430"/>
      <c r="Z39" s="1559">
        <f t="shared" si="15"/>
        <v>111</v>
      </c>
      <c r="AA39" s="1560">
        <f t="shared" si="3"/>
        <v>1</v>
      </c>
      <c r="AB39" s="1560">
        <f t="shared" si="4"/>
        <v>1</v>
      </c>
      <c r="AC39" s="1560">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511"/>
      <c r="Q40" s="1556">
        <f t="shared" si="11"/>
        <v>111</v>
      </c>
      <c r="R40" s="1557" t="s">
        <v>8</v>
      </c>
      <c r="S40" s="1558">
        <f t="shared" si="12"/>
        <v>100</v>
      </c>
      <c r="T40" s="1557" t="s">
        <v>8</v>
      </c>
      <c r="U40" s="1558">
        <f t="shared" si="13"/>
        <v>100</v>
      </c>
      <c r="V40" s="1557" t="s">
        <v>8</v>
      </c>
      <c r="W40" s="1558">
        <f t="shared" si="14"/>
        <v>100</v>
      </c>
      <c r="X40" s="1551"/>
      <c r="Y40" s="3511"/>
      <c r="Z40" s="1559">
        <f t="shared" si="15"/>
        <v>111</v>
      </c>
      <c r="AA40" s="1560">
        <f t="shared" si="3"/>
        <v>1</v>
      </c>
      <c r="AB40" s="1560">
        <f t="shared" si="4"/>
        <v>1</v>
      </c>
      <c r="AC40" s="1560">
        <f t="shared" si="5"/>
        <v>1</v>
      </c>
    </row>
    <row r="41" spans="1:29" ht="15">
      <c r="A41" s="606" t="s">
        <v>736</v>
      </c>
      <c r="B41" s="885"/>
      <c r="C41" s="2589" t="s">
        <v>1</v>
      </c>
      <c r="D41" s="2590"/>
      <c r="E41" s="2591"/>
      <c r="F41" s="2592"/>
      <c r="G41" s="2593"/>
      <c r="H41" s="2594"/>
      <c r="I41" s="2591"/>
      <c r="J41" s="2594"/>
      <c r="K41" s="1594"/>
      <c r="L41" s="2127"/>
      <c r="M41" s="2128"/>
      <c r="N41" s="2117"/>
      <c r="O41" s="2128"/>
      <c r="P41" s="3393" t="str">
        <f>A41</f>
        <v>成交单价（元/平方米）</v>
      </c>
      <c r="Q41" s="3393"/>
      <c r="R41" s="3510">
        <f>E41</f>
        <v>0</v>
      </c>
      <c r="S41" s="3510"/>
      <c r="T41" s="3510">
        <f>G41</f>
        <v>0</v>
      </c>
      <c r="U41" s="3510"/>
      <c r="V41" s="3510">
        <f>I41</f>
        <v>0</v>
      </c>
      <c r="W41" s="3510"/>
      <c r="X41" s="1543"/>
      <c r="Y41" s="1565"/>
      <c r="Z41" s="1543"/>
      <c r="AA41" s="1543"/>
      <c r="AB41" s="1543"/>
      <c r="AC41" s="1543"/>
    </row>
    <row r="42" spans="1:29" ht="15.75" thickBot="1">
      <c r="A42" s="614" t="s">
        <v>2754</v>
      </c>
      <c r="B42" s="886"/>
      <c r="C42" s="2595" t="e">
        <f>R43</f>
        <v>#DIV/0!</v>
      </c>
      <c r="D42" s="2596"/>
      <c r="E42" s="2597" t="e">
        <f>R42</f>
        <v>#DIV/0!</v>
      </c>
      <c r="F42" s="2597"/>
      <c r="G42" s="2595" t="e">
        <f>T42</f>
        <v>#DIV/0!</v>
      </c>
      <c r="H42" s="2596"/>
      <c r="I42" s="2597" t="e">
        <f>V42</f>
        <v>#DIV/0!</v>
      </c>
      <c r="J42" s="2596"/>
      <c r="K42" s="1595"/>
      <c r="L42" s="2127"/>
      <c r="M42" s="2128"/>
      <c r="N42" s="2117"/>
      <c r="O42" s="2128"/>
      <c r="P42" s="3393" t="str">
        <f>A42</f>
        <v>比较价格（元/平方米）</v>
      </c>
      <c r="Q42" s="3393"/>
      <c r="R42" s="3510" t="e">
        <f>IF(F1="售价",ROUND(PRODUCT(R41,AA7:AA40),0),ROUND(PRODUCT(R41,AA7:AA40),1))</f>
        <v>#DIV/0!</v>
      </c>
      <c r="S42" s="3510"/>
      <c r="T42" s="3510" t="e">
        <f>IF(F1="售价",ROUND(PRODUCT(T41,AB7:AB40),0),ROUND(PRODUCT(T41,AB7:AB40),1))</f>
        <v>#DIV/0!</v>
      </c>
      <c r="U42" s="3510"/>
      <c r="V42" s="3510" t="e">
        <f>IF(F1="售价",ROUND(PRODUCT(V41,AC7:AC40),0),ROUND(PRODUCT(V41,AC7:AC40),1))</f>
        <v>#DIV/0!</v>
      </c>
      <c r="W42" s="3510"/>
      <c r="X42" s="1543"/>
      <c r="Y42" s="1543"/>
      <c r="Z42" s="1543"/>
      <c r="AA42" s="1543"/>
      <c r="AB42" s="1543"/>
      <c r="AC42" s="1543"/>
    </row>
    <row r="43" spans="1:29" ht="15.75" thickBot="1">
      <c r="A43" s="620" t="s">
        <v>2928</v>
      </c>
      <c r="B43" s="621"/>
      <c r="C43" s="2598" t="e">
        <f>R43</f>
        <v>#DIV/0!</v>
      </c>
      <c r="D43" s="2598"/>
      <c r="E43" s="2598"/>
      <c r="F43" s="2598"/>
      <c r="G43" s="2598"/>
      <c r="H43" s="2598"/>
      <c r="I43" s="2598"/>
      <c r="J43" s="2598"/>
      <c r="K43" s="1596"/>
      <c r="L43" s="2127"/>
      <c r="M43" s="2128"/>
      <c r="N43" s="2128"/>
      <c r="O43" s="2128"/>
      <c r="P43" s="3390" t="str">
        <f>A43</f>
        <v>估价对象XX用房的比较价格（楼面单价，元/平方米）</v>
      </c>
      <c r="Q43" s="3391"/>
      <c r="R43" s="3509" t="e">
        <f>IF(F1="售价",ROUND(AVERAGE(R42:V42),0),ROUND(AVERAGE(R42:V42),1))</f>
        <v>#DIV/0!</v>
      </c>
      <c r="S43" s="3509"/>
      <c r="T43" s="3509"/>
      <c r="U43" s="3509"/>
      <c r="V43" s="3509"/>
      <c r="W43" s="3509"/>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4" t="s">
        <v>529</v>
      </c>
      <c r="B52" s="645"/>
      <c r="C52" s="2755" t="str">
        <f>YEAR(C7)&amp;"-"&amp;MONTH(C7)</f>
        <v>2020-4</v>
      </c>
      <c r="D52" s="2757">
        <f>EDATE(C52,-1)</f>
        <v>43891</v>
      </c>
      <c r="E52" s="2757">
        <f t="shared" ref="E52:O52" si="16">EDATE(D52,-1)</f>
        <v>43862</v>
      </c>
      <c r="F52" s="2757">
        <f t="shared" si="16"/>
        <v>43831</v>
      </c>
      <c r="G52" s="2757">
        <f t="shared" si="16"/>
        <v>43800</v>
      </c>
      <c r="H52" s="2757">
        <f t="shared" si="16"/>
        <v>43770</v>
      </c>
      <c r="I52" s="2757">
        <f t="shared" si="16"/>
        <v>43739</v>
      </c>
      <c r="J52" s="2757">
        <f t="shared" si="16"/>
        <v>43709</v>
      </c>
      <c r="K52" s="2757">
        <f t="shared" si="16"/>
        <v>43678</v>
      </c>
      <c r="L52" s="2757">
        <f t="shared" si="16"/>
        <v>43647</v>
      </c>
      <c r="M52" s="2757">
        <f t="shared" si="16"/>
        <v>43617</v>
      </c>
      <c r="N52" s="2757">
        <f t="shared" si="16"/>
        <v>43586</v>
      </c>
      <c r="O52" s="2757">
        <f t="shared" si="16"/>
        <v>43556</v>
      </c>
      <c r="P52" s="2143"/>
      <c r="Q52" s="2144"/>
      <c r="R52" s="2144"/>
      <c r="S52" s="2144"/>
      <c r="T52" s="2144"/>
      <c r="U52" s="2144"/>
      <c r="V52" s="2144"/>
      <c r="W52" s="2144"/>
      <c r="X52" s="2144"/>
      <c r="Y52" s="2144"/>
      <c r="Z52" s="2144"/>
      <c r="AA52" s="2144"/>
      <c r="AB52" s="2144"/>
      <c r="AC52" s="2144"/>
    </row>
    <row r="53" spans="1:29" s="1214"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4"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4"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2553</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2554</v>
      </c>
      <c r="C76" s="2560" t="s">
        <v>2555</v>
      </c>
      <c r="D76" s="2560" t="s">
        <v>2556</v>
      </c>
      <c r="E76" s="2560" t="s">
        <v>2557</v>
      </c>
      <c r="F76" s="2560" t="s">
        <v>2558</v>
      </c>
      <c r="G76" s="2560" t="s">
        <v>2559</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2552</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B1" zoomScale="80" zoomScaleNormal="80" workbookViewId="0">
      <selection activeCell="P4" sqref="P4:W38"/>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5.87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t="s">
        <v>923</v>
      </c>
      <c r="C1" s="503" t="s">
        <v>792</v>
      </c>
      <c r="D1" s="848" t="s">
        <v>2994</v>
      </c>
      <c r="E1" s="505"/>
      <c r="F1" s="2760" t="s">
        <v>3176</v>
      </c>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794</v>
      </c>
      <c r="B2" s="849">
        <f>IF(B37="元/平方米",ROUND(B3*D3/10000,0),ROUND(F3*C39/10000,0))</f>
        <v>20210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795</v>
      </c>
      <c r="B3" s="509">
        <f>IF(B37="元/平方米",C39,ROUND(B2*10000/D3,0))</f>
        <v>6088</v>
      </c>
      <c r="C3" s="851" t="s">
        <v>796</v>
      </c>
      <c r="D3" s="850">
        <f>SUMIF('数据-汇总表'!$C19:$C33,D1,'数据-汇总表'!$E19:$E33)</f>
        <v>33195.879999999997</v>
      </c>
      <c r="E3" s="1831" t="s">
        <v>2073</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399" t="s">
        <v>798</v>
      </c>
      <c r="D4" s="3400"/>
      <c r="E4" s="3399" t="s">
        <v>799</v>
      </c>
      <c r="F4" s="3400"/>
      <c r="G4" s="3399" t="s">
        <v>800</v>
      </c>
      <c r="H4" s="3400"/>
      <c r="I4" s="3399" t="s">
        <v>801</v>
      </c>
      <c r="J4" s="3400"/>
      <c r="K4" s="513" t="s">
        <v>802</v>
      </c>
      <c r="L4" s="2116"/>
      <c r="M4" s="2117"/>
      <c r="N4" s="2117"/>
      <c r="O4" s="2117"/>
      <c r="P4" s="3401" t="s">
        <v>803</v>
      </c>
      <c r="Q4" s="3402"/>
      <c r="R4" s="3407" t="s">
        <v>799</v>
      </c>
      <c r="S4" s="3408"/>
      <c r="T4" s="3407" t="s">
        <v>800</v>
      </c>
      <c r="U4" s="3408"/>
      <c r="V4" s="3394" t="s">
        <v>801</v>
      </c>
      <c r="W4" s="3394"/>
      <c r="X4" s="1551"/>
      <c r="Y4" s="3407" t="s">
        <v>803</v>
      </c>
      <c r="Z4" s="3408"/>
      <c r="AA4" s="3396" t="s">
        <v>799</v>
      </c>
      <c r="AB4" s="3397" t="s">
        <v>800</v>
      </c>
      <c r="AC4" s="3396" t="s">
        <v>801</v>
      </c>
    </row>
    <row r="5" spans="1:29" ht="15">
      <c r="A5" s="514"/>
      <c r="B5" s="515"/>
      <c r="C5" s="3415" t="s">
        <v>2922</v>
      </c>
      <c r="D5" s="3416"/>
      <c r="E5" s="3513" t="s">
        <v>3196</v>
      </c>
      <c r="F5" s="3416"/>
      <c r="G5" s="3513" t="s">
        <v>3179</v>
      </c>
      <c r="H5" s="3416"/>
      <c r="I5" s="3513" t="s">
        <v>3195</v>
      </c>
      <c r="J5" s="3416"/>
      <c r="K5" s="513"/>
      <c r="L5" s="2116"/>
      <c r="M5" s="2117"/>
      <c r="N5" s="2117"/>
      <c r="O5" s="2117"/>
      <c r="P5" s="3403"/>
      <c r="Q5" s="3404"/>
      <c r="R5" s="3409"/>
      <c r="S5" s="3410"/>
      <c r="T5" s="3409"/>
      <c r="U5" s="3410"/>
      <c r="V5" s="3394"/>
      <c r="W5" s="3394"/>
      <c r="X5" s="1551"/>
      <c r="Y5" s="3409"/>
      <c r="Z5" s="3410"/>
      <c r="AA5" s="3397"/>
      <c r="AB5" s="3397"/>
      <c r="AC5" s="3397"/>
    </row>
    <row r="6" spans="1:29" ht="15.75" thickBot="1">
      <c r="A6" s="516"/>
      <c r="B6" s="517"/>
      <c r="C6" s="3413" t="s">
        <v>2926</v>
      </c>
      <c r="D6" s="3414"/>
      <c r="E6" s="3520" t="s">
        <v>3180</v>
      </c>
      <c r="F6" s="3418"/>
      <c r="G6" s="3512" t="s">
        <v>3181</v>
      </c>
      <c r="H6" s="3414"/>
      <c r="I6" s="3512" t="s">
        <v>3180</v>
      </c>
      <c r="J6" s="3414"/>
      <c r="K6" s="513" t="s">
        <v>528</v>
      </c>
      <c r="L6" s="2116"/>
      <c r="M6" s="2117"/>
      <c r="N6" s="2117"/>
      <c r="O6" s="2117"/>
      <c r="P6" s="3405"/>
      <c r="Q6" s="3406"/>
      <c r="R6" s="3409"/>
      <c r="S6" s="3410"/>
      <c r="T6" s="3411"/>
      <c r="U6" s="3412"/>
      <c r="V6" s="3394"/>
      <c r="W6" s="3394"/>
      <c r="X6" s="1551"/>
      <c r="Y6" s="3411"/>
      <c r="Z6" s="3412"/>
      <c r="AA6" s="3398"/>
      <c r="AB6" s="3398"/>
      <c r="AC6" s="3398"/>
    </row>
    <row r="7" spans="1:29" s="1214" customFormat="1" ht="15.75" thickBot="1">
      <c r="A7" s="2865"/>
      <c r="B7" s="2872" t="s">
        <v>529</v>
      </c>
      <c r="C7" s="518">
        <f>'数据-取费表'!B2</f>
        <v>43942</v>
      </c>
      <c r="D7" s="519">
        <v>100</v>
      </c>
      <c r="E7" s="520">
        <v>43633</v>
      </c>
      <c r="F7" s="521">
        <f>SUMIF(48:48,YEAR(E7)&amp;"-"&amp;MONTH(E7),49:49)</f>
        <v>99</v>
      </c>
      <c r="G7" s="522">
        <v>43704</v>
      </c>
      <c r="H7" s="519">
        <f>SUMIF(48:48,YEAR(G7)&amp;"-"&amp;MONTH(G7),49:49)</f>
        <v>99</v>
      </c>
      <c r="I7" s="522">
        <v>43829</v>
      </c>
      <c r="J7" s="519">
        <f>SUMIF(48:48,YEAR(I7)&amp;"-"&amp;MONTH(I7),49:49)</f>
        <v>99.5</v>
      </c>
      <c r="K7" s="523"/>
      <c r="L7" s="2118"/>
      <c r="M7" s="2119"/>
      <c r="N7" s="2119"/>
      <c r="O7" s="2119"/>
      <c r="P7" s="3424" t="s">
        <v>530</v>
      </c>
      <c r="Q7" s="3426"/>
      <c r="R7" s="1552" t="s">
        <v>8</v>
      </c>
      <c r="S7" s="1553">
        <f t="shared" ref="S7:S14" si="0">F7</f>
        <v>99</v>
      </c>
      <c r="T7" s="1552" t="s">
        <v>8</v>
      </c>
      <c r="U7" s="1553">
        <f t="shared" ref="U7:U14" si="1">H7</f>
        <v>99</v>
      </c>
      <c r="V7" s="1552" t="s">
        <v>8</v>
      </c>
      <c r="W7" s="1553">
        <f t="shared" ref="W7:W14" si="2">J7</f>
        <v>99.5</v>
      </c>
      <c r="X7" s="1554"/>
      <c r="Y7" s="3424" t="s">
        <v>530</v>
      </c>
      <c r="Z7" s="3425"/>
      <c r="AA7" s="1555">
        <f>D7/F7</f>
        <v>1.0101010101010102</v>
      </c>
      <c r="AB7" s="1555">
        <f>D7/H7</f>
        <v>1.0101010101010102</v>
      </c>
      <c r="AC7" s="1555">
        <f>D7/J7</f>
        <v>1.0050251256281406</v>
      </c>
    </row>
    <row r="8" spans="1:29" s="1214" customFormat="1" ht="15.75" thickBot="1">
      <c r="A8" s="2866"/>
      <c r="B8" s="2873" t="s">
        <v>531</v>
      </c>
      <c r="C8" s="524" t="s">
        <v>576</v>
      </c>
      <c r="D8" s="519">
        <v>100</v>
      </c>
      <c r="E8" s="524" t="s">
        <v>3044</v>
      </c>
      <c r="F8" s="521">
        <f>SUMIF(51:51,E8,52:52)-SUMIF(51:51,C8,52:52)+100</f>
        <v>100</v>
      </c>
      <c r="G8" s="524" t="s">
        <v>3044</v>
      </c>
      <c r="H8" s="519">
        <f>SUMIF(51:51,G8,52:52)-SUMIF(51:51,C8,52:52)+100</f>
        <v>100</v>
      </c>
      <c r="I8" s="524" t="s">
        <v>3044</v>
      </c>
      <c r="J8" s="519">
        <f>SUMIF(51:51,I8,52:52)-SUMIF(51:51,C8,52:52)+100</f>
        <v>100</v>
      </c>
      <c r="K8" s="523"/>
      <c r="L8" s="2118"/>
      <c r="M8" s="2119"/>
      <c r="N8" s="2119"/>
      <c r="O8" s="2119"/>
      <c r="P8" s="3424" t="s">
        <v>533</v>
      </c>
      <c r="Q8" s="3425"/>
      <c r="R8" s="1552" t="s">
        <v>8</v>
      </c>
      <c r="S8" s="1553">
        <f t="shared" si="0"/>
        <v>100</v>
      </c>
      <c r="T8" s="1552" t="s">
        <v>8</v>
      </c>
      <c r="U8" s="1553">
        <f t="shared" si="1"/>
        <v>100</v>
      </c>
      <c r="V8" s="1552" t="s">
        <v>8</v>
      </c>
      <c r="W8" s="1553">
        <f t="shared" si="2"/>
        <v>100</v>
      </c>
      <c r="X8" s="1554"/>
      <c r="Y8" s="3424" t="s">
        <v>533</v>
      </c>
      <c r="Z8" s="3425"/>
      <c r="AA8" s="1555">
        <f t="shared" ref="AA8:AA36" si="3">D8/F8</f>
        <v>1</v>
      </c>
      <c r="AB8" s="1555">
        <f t="shared" ref="AB8:AB36" si="4">D8/H8</f>
        <v>1</v>
      </c>
      <c r="AC8" s="1555">
        <f t="shared" ref="AC8:AC36" si="5">D8/J8</f>
        <v>1</v>
      </c>
    </row>
    <row r="9" spans="1:29" s="1214" customFormat="1" ht="15">
      <c r="A9" s="2867"/>
      <c r="B9" s="2874" t="s">
        <v>2750</v>
      </c>
      <c r="C9" s="3196" t="s">
        <v>3182</v>
      </c>
      <c r="D9" s="253">
        <v>100</v>
      </c>
      <c r="E9" s="859" t="s">
        <v>2994</v>
      </c>
      <c r="F9" s="253">
        <f>SUMIF(53:53,E9,54:54)-SUMIF(53:53,C9,54:54)+100</f>
        <v>100</v>
      </c>
      <c r="G9" s="857" t="s">
        <v>2994</v>
      </c>
      <c r="H9" s="253">
        <f>SUMIF(53:53,G9,54:54)-SUMIF(53:53,C9,54:54)+100</f>
        <v>100</v>
      </c>
      <c r="I9" s="857" t="s">
        <v>2994</v>
      </c>
      <c r="J9" s="253">
        <f>SUMIF(53:53,I9,54:54)-SUMIF(53:53,C9,54:54)+100</f>
        <v>100</v>
      </c>
      <c r="K9" s="523"/>
      <c r="L9" s="2118"/>
      <c r="M9" s="2119"/>
      <c r="N9" s="2119"/>
      <c r="O9" s="2120"/>
      <c r="P9" s="3393" t="s">
        <v>535</v>
      </c>
      <c r="Q9" s="1145" t="str">
        <f t="shared" ref="Q9:Q14" si="6">B9</f>
        <v>用途</v>
      </c>
      <c r="R9" s="1552" t="s">
        <v>8</v>
      </c>
      <c r="S9" s="1553">
        <f t="shared" si="0"/>
        <v>100</v>
      </c>
      <c r="T9" s="1552" t="s">
        <v>8</v>
      </c>
      <c r="U9" s="1553">
        <f t="shared" si="1"/>
        <v>100</v>
      </c>
      <c r="V9" s="1552" t="s">
        <v>8</v>
      </c>
      <c r="W9" s="1553">
        <f t="shared" si="2"/>
        <v>100</v>
      </c>
      <c r="X9" s="1554"/>
      <c r="Y9" s="3339" t="s">
        <v>536</v>
      </c>
      <c r="Z9" s="1144" t="str">
        <f t="shared" ref="Z9:Z14" si="7">Q9</f>
        <v>用途</v>
      </c>
      <c r="AA9" s="1555">
        <f t="shared" si="3"/>
        <v>1</v>
      </c>
      <c r="AB9" s="1555">
        <f t="shared" si="4"/>
        <v>1</v>
      </c>
      <c r="AC9" s="1555">
        <f t="shared" si="5"/>
        <v>1</v>
      </c>
    </row>
    <row r="10" spans="1:29" s="1332" customFormat="1" ht="27.75" thickBot="1">
      <c r="A10" s="2868"/>
      <c r="B10" s="2873" t="s">
        <v>2751</v>
      </c>
      <c r="C10" s="860" t="s">
        <v>3183</v>
      </c>
      <c r="D10" s="254">
        <v>100</v>
      </c>
      <c r="E10" s="860" t="s">
        <v>3183</v>
      </c>
      <c r="F10" s="254">
        <f>SUMIF(55:55,E10,56:56)-SUMIF(55:55,C10,56:56)+100</f>
        <v>100</v>
      </c>
      <c r="G10" s="861" t="s">
        <v>3183</v>
      </c>
      <c r="H10" s="254">
        <f>SUMIF(55:55,G10,56:56)-SUMIF(55:55,C10,56:56)+100</f>
        <v>100</v>
      </c>
      <c r="I10" s="860" t="s">
        <v>3183</v>
      </c>
      <c r="J10" s="254">
        <f>SUMIF(55:55,I10,56:56)-SUMIF(55:55,C10,56:56)+100</f>
        <v>100</v>
      </c>
      <c r="K10" s="583">
        <v>2</v>
      </c>
      <c r="L10" s="2121"/>
      <c r="M10" s="2161"/>
      <c r="N10" s="2161"/>
      <c r="O10" s="2122"/>
      <c r="P10" s="3393"/>
      <c r="Q10" s="1145" t="str">
        <f t="shared" si="6"/>
        <v>土地使用年限（年）</v>
      </c>
      <c r="R10" s="1552" t="s">
        <v>8</v>
      </c>
      <c r="S10" s="1553">
        <f t="shared" si="0"/>
        <v>100</v>
      </c>
      <c r="T10" s="1552" t="s">
        <v>8</v>
      </c>
      <c r="U10" s="1553">
        <f t="shared" si="1"/>
        <v>100</v>
      </c>
      <c r="V10" s="1552" t="s">
        <v>8</v>
      </c>
      <c r="W10" s="1553">
        <f t="shared" si="2"/>
        <v>100</v>
      </c>
      <c r="X10" s="1554"/>
      <c r="Y10" s="3339"/>
      <c r="Z10" s="1144" t="str">
        <f t="shared" si="7"/>
        <v>土地使用年限（年）</v>
      </c>
      <c r="AA10" s="1555">
        <f t="shared" si="3"/>
        <v>1</v>
      </c>
      <c r="AB10" s="1555">
        <f t="shared" si="4"/>
        <v>1</v>
      </c>
      <c r="AC10" s="1555">
        <f t="shared" si="5"/>
        <v>1</v>
      </c>
    </row>
    <row r="11" spans="1:29" ht="15" hidden="1">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393"/>
      <c r="Q11" s="1145">
        <f t="shared" si="6"/>
        <v>111</v>
      </c>
      <c r="R11" s="1552" t="s">
        <v>8</v>
      </c>
      <c r="S11" s="1553">
        <f t="shared" si="0"/>
        <v>100</v>
      </c>
      <c r="T11" s="1552" t="s">
        <v>8</v>
      </c>
      <c r="U11" s="1553">
        <f t="shared" si="1"/>
        <v>100</v>
      </c>
      <c r="V11" s="1552" t="s">
        <v>8</v>
      </c>
      <c r="W11" s="1553">
        <f t="shared" si="2"/>
        <v>100</v>
      </c>
      <c r="X11" s="1554"/>
      <c r="Y11" s="3339"/>
      <c r="Z11" s="1144">
        <f t="shared" si="7"/>
        <v>111</v>
      </c>
      <c r="AA11" s="1555">
        <f t="shared" si="3"/>
        <v>1</v>
      </c>
      <c r="AB11" s="1555">
        <f t="shared" si="4"/>
        <v>1</v>
      </c>
      <c r="AC11" s="1555">
        <f t="shared" si="5"/>
        <v>1</v>
      </c>
    </row>
    <row r="12" spans="1:29" s="1214" customFormat="1" ht="15" hidden="1">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393"/>
      <c r="Q12" s="1145">
        <f t="shared" si="6"/>
        <v>111</v>
      </c>
      <c r="R12" s="1552" t="s">
        <v>8</v>
      </c>
      <c r="S12" s="1553">
        <f t="shared" si="0"/>
        <v>100</v>
      </c>
      <c r="T12" s="1552" t="s">
        <v>8</v>
      </c>
      <c r="U12" s="1553">
        <f t="shared" si="1"/>
        <v>100</v>
      </c>
      <c r="V12" s="1552" t="s">
        <v>8</v>
      </c>
      <c r="W12" s="1553">
        <f t="shared" si="2"/>
        <v>100</v>
      </c>
      <c r="X12" s="1554"/>
      <c r="Y12" s="3339"/>
      <c r="Z12" s="1144">
        <f t="shared" si="7"/>
        <v>111</v>
      </c>
      <c r="AA12" s="1555">
        <f>D12/F12</f>
        <v>1</v>
      </c>
      <c r="AB12" s="1555">
        <f>D12/H12</f>
        <v>1</v>
      </c>
      <c r="AC12" s="1555">
        <f>D12/J12</f>
        <v>1</v>
      </c>
    </row>
    <row r="13" spans="1:29" ht="15.75" hidden="1"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393"/>
      <c r="Q13" s="1145">
        <f t="shared" si="6"/>
        <v>111</v>
      </c>
      <c r="R13" s="1552" t="s">
        <v>8</v>
      </c>
      <c r="S13" s="1553">
        <f t="shared" si="0"/>
        <v>100</v>
      </c>
      <c r="T13" s="1552" t="s">
        <v>8</v>
      </c>
      <c r="U13" s="1553">
        <f t="shared" si="1"/>
        <v>100</v>
      </c>
      <c r="V13" s="1552" t="s">
        <v>8</v>
      </c>
      <c r="W13" s="1553">
        <f t="shared" si="2"/>
        <v>100</v>
      </c>
      <c r="X13" s="1554"/>
      <c r="Y13" s="3339"/>
      <c r="Z13" s="1144">
        <f t="shared" si="7"/>
        <v>111</v>
      </c>
      <c r="AA13" s="1555">
        <f t="shared" si="3"/>
        <v>1</v>
      </c>
      <c r="AB13" s="1555">
        <f t="shared" si="4"/>
        <v>1</v>
      </c>
      <c r="AC13" s="1555">
        <f t="shared" si="5"/>
        <v>1</v>
      </c>
    </row>
    <row r="14" spans="1:29" ht="85.5">
      <c r="A14" s="2863" t="s">
        <v>2748</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98</v>
      </c>
      <c r="G14" s="551"/>
      <c r="H14" s="548">
        <f>SUMIF(63:63,G15,64:64)-SUMIF(63:63,C15,64:64)+100</f>
        <v>100</v>
      </c>
      <c r="I14" s="549"/>
      <c r="J14" s="548">
        <f>SUMIF(63:63,I15,64:64)-SUMIF(63:63,C15,64:64)+100</f>
        <v>102</v>
      </c>
      <c r="K14" s="896">
        <f>'不动产比较法-住宅'!K17</f>
        <v>2</v>
      </c>
      <c r="L14" s="2125"/>
      <c r="M14" s="2117"/>
      <c r="N14" s="2117"/>
      <c r="O14" s="2124"/>
      <c r="P14" s="3427" t="s">
        <v>540</v>
      </c>
      <c r="Q14" s="1556" t="str">
        <f t="shared" si="6"/>
        <v>交通便捷度</v>
      </c>
      <c r="R14" s="1557" t="s">
        <v>8</v>
      </c>
      <c r="S14" s="1558">
        <f t="shared" si="0"/>
        <v>98</v>
      </c>
      <c r="T14" s="1557" t="s">
        <v>8</v>
      </c>
      <c r="U14" s="1558">
        <f t="shared" si="1"/>
        <v>100</v>
      </c>
      <c r="V14" s="1557" t="s">
        <v>8</v>
      </c>
      <c r="W14" s="1558">
        <f t="shared" si="2"/>
        <v>102</v>
      </c>
      <c r="X14" s="1551"/>
      <c r="Y14" s="3427" t="s">
        <v>540</v>
      </c>
      <c r="Z14" s="1559" t="str">
        <f t="shared" si="7"/>
        <v>交通便捷度</v>
      </c>
      <c r="AA14" s="1560">
        <f t="shared" si="3"/>
        <v>1.0204081632653061</v>
      </c>
      <c r="AB14" s="1560">
        <f t="shared" si="4"/>
        <v>1</v>
      </c>
      <c r="AC14" s="1560">
        <f t="shared" si="5"/>
        <v>0.98039215686274506</v>
      </c>
    </row>
    <row r="15" spans="1:29" ht="15">
      <c r="A15" s="514"/>
      <c r="B15" s="922"/>
      <c r="C15" s="575" t="s">
        <v>3123</v>
      </c>
      <c r="D15" s="554"/>
      <c r="E15" s="575" t="s">
        <v>3125</v>
      </c>
      <c r="F15" s="556"/>
      <c r="G15" s="575" t="s">
        <v>3123</v>
      </c>
      <c r="H15" s="558"/>
      <c r="I15" s="575" t="s">
        <v>3124</v>
      </c>
      <c r="J15" s="554"/>
      <c r="K15" s="897"/>
      <c r="L15" s="2125"/>
      <c r="M15" s="2117"/>
      <c r="N15" s="2117"/>
      <c r="O15" s="2124"/>
      <c r="P15" s="3428"/>
      <c r="Q15" s="1556"/>
      <c r="R15" s="1557"/>
      <c r="S15" s="1558"/>
      <c r="T15" s="1557"/>
      <c r="U15" s="1558"/>
      <c r="V15" s="1557"/>
      <c r="W15" s="1558"/>
      <c r="X15" s="1551"/>
      <c r="Y15" s="3428"/>
      <c r="Z15" s="1559"/>
      <c r="AA15" s="1560">
        <v>1</v>
      </c>
      <c r="AB15" s="1560">
        <v>1</v>
      </c>
      <c r="AC15" s="1560">
        <v>1</v>
      </c>
    </row>
    <row r="16" spans="1:29" ht="42.75">
      <c r="A16" s="514"/>
      <c r="B16" s="2565" t="s">
        <v>2542</v>
      </c>
      <c r="C16" s="871" t="str">
        <f>IF(B1="工业",估价对象房地状况!G5,估价对象房地状况!C7)</f>
        <v>估价对象所在区域公共配套设施齐备情况</v>
      </c>
      <c r="D16" s="564">
        <v>100</v>
      </c>
      <c r="E16" s="571"/>
      <c r="F16" s="570">
        <f>SUMIF(65:65,E17,66:66)-SUMIF(65:65,C17,66:66)+100</f>
        <v>103</v>
      </c>
      <c r="G16" s="571"/>
      <c r="H16" s="564">
        <f>SUMIF(65:65,G17,66:66)-SUMIF(65:65,C17,66:66)+100</f>
        <v>100</v>
      </c>
      <c r="I16" s="569"/>
      <c r="J16" s="564">
        <f>SUMIF(65:65,I17,66:66)-SUMIF(65:65,C17,66:66)+100</f>
        <v>103</v>
      </c>
      <c r="K16" s="896">
        <f>'不动产比较法-住宅'!K19</f>
        <v>3</v>
      </c>
      <c r="L16" s="2125"/>
      <c r="M16" s="2117"/>
      <c r="N16" s="2117"/>
      <c r="O16" s="2124"/>
      <c r="P16" s="3428"/>
      <c r="Q16" s="1556" t="str">
        <f>B16</f>
        <v>公共配套设施</v>
      </c>
      <c r="R16" s="1557" t="s">
        <v>8</v>
      </c>
      <c r="S16" s="1558">
        <f>F16</f>
        <v>103</v>
      </c>
      <c r="T16" s="1557" t="s">
        <v>8</v>
      </c>
      <c r="U16" s="1558">
        <f>H16</f>
        <v>100</v>
      </c>
      <c r="V16" s="1557" t="s">
        <v>8</v>
      </c>
      <c r="W16" s="1558">
        <f>J16</f>
        <v>103</v>
      </c>
      <c r="X16" s="1551"/>
      <c r="Y16" s="3428"/>
      <c r="Z16" s="1559" t="str">
        <f>Q16</f>
        <v>公共配套设施</v>
      </c>
      <c r="AA16" s="1560">
        <f t="shared" si="3"/>
        <v>0.970873786407767</v>
      </c>
      <c r="AB16" s="1560">
        <f t="shared" si="4"/>
        <v>1</v>
      </c>
      <c r="AC16" s="1560">
        <f t="shared" si="5"/>
        <v>0.970873786407767</v>
      </c>
    </row>
    <row r="17" spans="1:29" ht="15">
      <c r="A17" s="514"/>
      <c r="B17" s="565"/>
      <c r="C17" s="872" t="s">
        <v>3125</v>
      </c>
      <c r="D17" s="554"/>
      <c r="E17" s="575" t="s">
        <v>3123</v>
      </c>
      <c r="F17" s="556"/>
      <c r="G17" s="575" t="s">
        <v>3125</v>
      </c>
      <c r="H17" s="554"/>
      <c r="I17" s="575" t="s">
        <v>3123</v>
      </c>
      <c r="J17" s="554"/>
      <c r="K17" s="897"/>
      <c r="L17" s="2125"/>
      <c r="M17" s="2117"/>
      <c r="N17" s="2117"/>
      <c r="O17" s="2124"/>
      <c r="P17" s="3428"/>
      <c r="Q17" s="1556"/>
      <c r="R17" s="1557"/>
      <c r="S17" s="1558"/>
      <c r="T17" s="1557"/>
      <c r="U17" s="1558"/>
      <c r="V17" s="1557"/>
      <c r="W17" s="1558"/>
      <c r="X17" s="1551"/>
      <c r="Y17" s="3428"/>
      <c r="Z17" s="1559"/>
      <c r="AA17" s="1560">
        <v>1</v>
      </c>
      <c r="AB17" s="1560">
        <v>1</v>
      </c>
      <c r="AC17" s="1560">
        <v>1</v>
      </c>
    </row>
    <row r="18" spans="1:29" ht="28.5">
      <c r="A18" s="514"/>
      <c r="B18" s="2553"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f>'不动产比较法-住宅'!K21</f>
        <v>2</v>
      </c>
      <c r="L18" s="2125"/>
      <c r="M18" s="2117"/>
      <c r="N18" s="2117"/>
      <c r="O18" s="2124"/>
      <c r="P18" s="3428"/>
      <c r="Q18" s="2541" t="str">
        <f>B18</f>
        <v>基础设施水平</v>
      </c>
      <c r="R18" s="1557" t="s">
        <v>8</v>
      </c>
      <c r="S18" s="1558">
        <f>F18</f>
        <v>100</v>
      </c>
      <c r="T18" s="1557" t="s">
        <v>8</v>
      </c>
      <c r="U18" s="1558">
        <f>H18</f>
        <v>100</v>
      </c>
      <c r="V18" s="1557" t="s">
        <v>8</v>
      </c>
      <c r="W18" s="1558">
        <f>J18</f>
        <v>100</v>
      </c>
      <c r="X18" s="2543"/>
      <c r="Y18" s="3428"/>
      <c r="Z18" s="2542" t="str">
        <f>Q18</f>
        <v>基础设施水平</v>
      </c>
      <c r="AA18" s="1560">
        <f t="shared" ref="AA18" si="8">D18/F18</f>
        <v>1</v>
      </c>
      <c r="AB18" s="1560">
        <f t="shared" ref="AB18" si="9">D18/H18</f>
        <v>1</v>
      </c>
      <c r="AC18" s="1560">
        <f t="shared" ref="AC18" si="10">D18/J18</f>
        <v>1</v>
      </c>
    </row>
    <row r="19" spans="1:29" ht="15">
      <c r="A19" s="514"/>
      <c r="B19" s="577"/>
      <c r="C19" s="872" t="s">
        <v>3126</v>
      </c>
      <c r="D19" s="558"/>
      <c r="E19" s="575" t="s">
        <v>3126</v>
      </c>
      <c r="F19" s="556"/>
      <c r="G19" s="575" t="s">
        <v>3126</v>
      </c>
      <c r="H19" s="554"/>
      <c r="I19" s="575" t="s">
        <v>3126</v>
      </c>
      <c r="J19" s="554"/>
      <c r="K19" s="2564"/>
      <c r="L19" s="2125"/>
      <c r="M19" s="2117"/>
      <c r="N19" s="2117"/>
      <c r="O19" s="2124"/>
      <c r="P19" s="3428"/>
      <c r="Q19" s="2541"/>
      <c r="R19" s="1557"/>
      <c r="S19" s="1558"/>
      <c r="T19" s="1557"/>
      <c r="U19" s="1558"/>
      <c r="V19" s="1557"/>
      <c r="W19" s="1558"/>
      <c r="X19" s="2543"/>
      <c r="Y19" s="3428"/>
      <c r="Z19" s="2542"/>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105</v>
      </c>
      <c r="G20" s="563"/>
      <c r="H20" s="558">
        <f>SUMIF(69:69,G21,70:70)-SUMIF(69:69,C21,70:70)+100</f>
        <v>100</v>
      </c>
      <c r="I20" s="561"/>
      <c r="J20" s="558">
        <f>SUMIF(69:69,I21,70:70)-SUMIF(69:69,C21,70:70)+100</f>
        <v>105</v>
      </c>
      <c r="K20" s="896">
        <f>'不动产比较法-住宅'!K23</f>
        <v>5</v>
      </c>
      <c r="L20" s="2125"/>
      <c r="M20" s="2117"/>
      <c r="N20" s="2117"/>
      <c r="O20" s="2124"/>
      <c r="P20" s="3428"/>
      <c r="Q20" s="1556" t="str">
        <f>B20</f>
        <v>自然及人文环境</v>
      </c>
      <c r="R20" s="1557" t="s">
        <v>8</v>
      </c>
      <c r="S20" s="1558">
        <f>F20</f>
        <v>105</v>
      </c>
      <c r="T20" s="1557" t="s">
        <v>8</v>
      </c>
      <c r="U20" s="1558">
        <f>H20</f>
        <v>100</v>
      </c>
      <c r="V20" s="1557" t="s">
        <v>8</v>
      </c>
      <c r="W20" s="1558">
        <f>J20</f>
        <v>105</v>
      </c>
      <c r="X20" s="1551"/>
      <c r="Y20" s="3428"/>
      <c r="Z20" s="1559" t="str">
        <f>Q20</f>
        <v>自然及人文环境</v>
      </c>
      <c r="AA20" s="1560">
        <f t="shared" si="3"/>
        <v>0.95238095238095233</v>
      </c>
      <c r="AB20" s="1560">
        <f t="shared" si="4"/>
        <v>1</v>
      </c>
      <c r="AC20" s="1560">
        <f t="shared" si="5"/>
        <v>0.95238095238095233</v>
      </c>
    </row>
    <row r="21" spans="1:29" ht="15.75" thickBot="1">
      <c r="A21" s="514"/>
      <c r="B21" s="565"/>
      <c r="C21" s="575" t="s">
        <v>3125</v>
      </c>
      <c r="D21" s="554"/>
      <c r="E21" s="575" t="s">
        <v>3123</v>
      </c>
      <c r="F21" s="556"/>
      <c r="G21" s="575" t="s">
        <v>3125</v>
      </c>
      <c r="H21" s="554"/>
      <c r="I21" s="575" t="s">
        <v>3123</v>
      </c>
      <c r="J21" s="554"/>
      <c r="K21" s="897"/>
      <c r="L21" s="2125"/>
      <c r="M21" s="2117"/>
      <c r="N21" s="2117"/>
      <c r="O21" s="2124"/>
      <c r="P21" s="3428"/>
      <c r="Q21" s="1556"/>
      <c r="R21" s="1557"/>
      <c r="S21" s="1558"/>
      <c r="T21" s="1557"/>
      <c r="U21" s="1558"/>
      <c r="V21" s="1557"/>
      <c r="W21" s="1558"/>
      <c r="X21" s="1551"/>
      <c r="Y21" s="3428"/>
      <c r="Z21" s="1559"/>
      <c r="AA21" s="1560">
        <v>1</v>
      </c>
      <c r="AB21" s="1560">
        <v>1</v>
      </c>
      <c r="AC21" s="1560">
        <v>1</v>
      </c>
    </row>
    <row r="22" spans="1:29" ht="15" hidden="1">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28"/>
      <c r="Q22" s="1556" t="str">
        <f>B22</f>
        <v>楼层</v>
      </c>
      <c r="R22" s="1557" t="s">
        <v>8</v>
      </c>
      <c r="S22" s="1558">
        <f>F22</f>
        <v>100</v>
      </c>
      <c r="T22" s="1557" t="s">
        <v>8</v>
      </c>
      <c r="U22" s="1558">
        <f>H22</f>
        <v>100</v>
      </c>
      <c r="V22" s="1557" t="s">
        <v>8</v>
      </c>
      <c r="W22" s="1558">
        <f>J22</f>
        <v>100</v>
      </c>
      <c r="X22" s="1551"/>
      <c r="Y22" s="3428"/>
      <c r="Z22" s="1559" t="str">
        <f>Q22</f>
        <v>楼层</v>
      </c>
      <c r="AA22" s="1560">
        <f t="shared" si="3"/>
        <v>1</v>
      </c>
      <c r="AB22" s="1560">
        <f t="shared" si="4"/>
        <v>1</v>
      </c>
      <c r="AC22" s="1560">
        <f t="shared" si="5"/>
        <v>1</v>
      </c>
    </row>
    <row r="23" spans="1:29" ht="15" hidden="1">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28"/>
      <c r="Q23" s="1556">
        <f>B23</f>
        <v>111</v>
      </c>
      <c r="R23" s="1557" t="s">
        <v>8</v>
      </c>
      <c r="S23" s="1558">
        <f>F23</f>
        <v>100</v>
      </c>
      <c r="T23" s="1557" t="s">
        <v>8</v>
      </c>
      <c r="U23" s="1558">
        <f>H23</f>
        <v>100</v>
      </c>
      <c r="V23" s="1557" t="s">
        <v>8</v>
      </c>
      <c r="W23" s="1558">
        <f>J23</f>
        <v>100</v>
      </c>
      <c r="X23" s="1551"/>
      <c r="Y23" s="3428"/>
      <c r="Z23" s="1559">
        <f>Q23</f>
        <v>111</v>
      </c>
      <c r="AA23" s="1560">
        <f t="shared" si="3"/>
        <v>1</v>
      </c>
      <c r="AB23" s="1560">
        <f t="shared" si="4"/>
        <v>1</v>
      </c>
      <c r="AC23" s="1560">
        <f t="shared" si="5"/>
        <v>1</v>
      </c>
    </row>
    <row r="24" spans="1:29" ht="15" hidden="1">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28"/>
      <c r="Q24" s="1556">
        <f t="shared" ref="Q24:Q36" si="11">B24</f>
        <v>111</v>
      </c>
      <c r="R24" s="1557" t="s">
        <v>8</v>
      </c>
      <c r="S24" s="1558">
        <f>F24</f>
        <v>100</v>
      </c>
      <c r="T24" s="1557" t="s">
        <v>8</v>
      </c>
      <c r="U24" s="1558">
        <f>H24</f>
        <v>100</v>
      </c>
      <c r="V24" s="1557" t="s">
        <v>8</v>
      </c>
      <c r="W24" s="1558">
        <f>J24</f>
        <v>100</v>
      </c>
      <c r="X24" s="1551"/>
      <c r="Y24" s="3428"/>
      <c r="Z24" s="1559">
        <f>Q24</f>
        <v>111</v>
      </c>
      <c r="AA24" s="1560">
        <f t="shared" si="3"/>
        <v>1</v>
      </c>
      <c r="AB24" s="1560">
        <f t="shared" si="4"/>
        <v>1</v>
      </c>
      <c r="AC24" s="1560">
        <f t="shared" si="5"/>
        <v>1</v>
      </c>
    </row>
    <row r="25" spans="1:29" s="1214" customFormat="1" ht="15.75" hidden="1"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428"/>
      <c r="Q25" s="1145">
        <f t="shared" si="11"/>
        <v>111</v>
      </c>
      <c r="R25" s="1552" t="s">
        <v>8</v>
      </c>
      <c r="S25" s="1553">
        <f>F25</f>
        <v>100</v>
      </c>
      <c r="T25" s="1552" t="s">
        <v>8</v>
      </c>
      <c r="U25" s="1553">
        <f>H25</f>
        <v>100</v>
      </c>
      <c r="V25" s="1552" t="s">
        <v>8</v>
      </c>
      <c r="W25" s="1553">
        <f>J25</f>
        <v>100</v>
      </c>
      <c r="X25" s="1554"/>
      <c r="Y25" s="3428"/>
      <c r="Z25" s="1144">
        <f>Q25</f>
        <v>111</v>
      </c>
      <c r="AA25" s="1560">
        <f>D25/F25</f>
        <v>1</v>
      </c>
      <c r="AB25" s="1560">
        <f>D25/H25</f>
        <v>1</v>
      </c>
      <c r="AC25" s="1560">
        <f>D25/J25</f>
        <v>1</v>
      </c>
    </row>
    <row r="26" spans="1:29" ht="15">
      <c r="A26" s="2860" t="s">
        <v>2749</v>
      </c>
      <c r="B26" s="170" t="s">
        <v>806</v>
      </c>
      <c r="C26" s="926" t="str">
        <f>B1</f>
        <v>住宅</v>
      </c>
      <c r="D26" s="554">
        <v>100</v>
      </c>
      <c r="E26" s="575" t="s">
        <v>923</v>
      </c>
      <c r="F26" s="556">
        <f>SUMIF(79:79,E26,80:80)-SUMIF(79:79,C26,80:80)+100</f>
        <v>100</v>
      </c>
      <c r="G26" s="575" t="s">
        <v>923</v>
      </c>
      <c r="H26" s="554">
        <f>SUMIF(79:79,G26,80:80)-SUMIF(79:79,C26,80:80)+100</f>
        <v>100</v>
      </c>
      <c r="I26" s="575" t="s">
        <v>923</v>
      </c>
      <c r="J26" s="554">
        <f>SUMIF(79:79,I26,80:80)-SUMIF(79:79,C26,80:80)+100</f>
        <v>100</v>
      </c>
      <c r="K26" s="583">
        <v>2</v>
      </c>
      <c r="L26" s="2125"/>
      <c r="M26" s="2117"/>
      <c r="N26" s="2117"/>
      <c r="O26" s="2124"/>
      <c r="P26" s="3429"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30" t="s">
        <v>550</v>
      </c>
      <c r="Z26" s="1559" t="str">
        <f t="shared" ref="Z26:Z36" si="15">Q26</f>
        <v>配套类型</v>
      </c>
      <c r="AA26" s="1560">
        <f t="shared" si="3"/>
        <v>1</v>
      </c>
      <c r="AB26" s="1560">
        <f t="shared" si="4"/>
        <v>1</v>
      </c>
      <c r="AC26" s="1560">
        <f t="shared" si="5"/>
        <v>1</v>
      </c>
    </row>
    <row r="27" spans="1:29" s="1333" customFormat="1" ht="15" hidden="1">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430"/>
      <c r="Q27" s="1588" t="str">
        <f t="shared" si="11"/>
        <v>项目停车位配比</v>
      </c>
      <c r="R27" s="1561" t="s">
        <v>8</v>
      </c>
      <c r="S27" s="1562">
        <f t="shared" si="12"/>
        <v>100</v>
      </c>
      <c r="T27" s="1561" t="s">
        <v>8</v>
      </c>
      <c r="U27" s="1562">
        <f t="shared" si="13"/>
        <v>100</v>
      </c>
      <c r="V27" s="1561" t="s">
        <v>8</v>
      </c>
      <c r="W27" s="1562">
        <f t="shared" si="14"/>
        <v>100</v>
      </c>
      <c r="X27" s="1563"/>
      <c r="Y27" s="3430"/>
      <c r="Z27" s="1564" t="str">
        <f t="shared" si="15"/>
        <v>项目停车位配比</v>
      </c>
      <c r="AA27" s="1560">
        <f t="shared" si="3"/>
        <v>1</v>
      </c>
      <c r="AB27" s="1560">
        <f t="shared" si="4"/>
        <v>1</v>
      </c>
      <c r="AC27" s="1560">
        <f t="shared" si="5"/>
        <v>1</v>
      </c>
    </row>
    <row r="28" spans="1:29" ht="15">
      <c r="A28" s="929"/>
      <c r="B28" s="581" t="s">
        <v>808</v>
      </c>
      <c r="C28" s="573" t="s">
        <v>3212</v>
      </c>
      <c r="D28" s="539">
        <v>100</v>
      </c>
      <c r="E28" s="573" t="s">
        <v>3212</v>
      </c>
      <c r="F28" s="574">
        <f>SUMIF(83:83,E28,84:84)-SUMIF(83:83,C28,84:84)+100</f>
        <v>100</v>
      </c>
      <c r="G28" s="573" t="s">
        <v>3212</v>
      </c>
      <c r="H28" s="539">
        <f>SUMIF(83:83,G28,84:84)-SUMIF(83:83,C28,84:84)+100</f>
        <v>100</v>
      </c>
      <c r="I28" s="573" t="s">
        <v>3212</v>
      </c>
      <c r="J28" s="539">
        <f>SUMIF(83:83,I28,84:84)-SUMIF(83:83,C28,84:84)+100</f>
        <v>100</v>
      </c>
      <c r="K28" s="583">
        <v>1</v>
      </c>
      <c r="L28" s="2125"/>
      <c r="M28" s="2117"/>
      <c r="N28" s="2117"/>
      <c r="O28" s="2124"/>
      <c r="P28" s="3430"/>
      <c r="Q28" s="1556" t="str">
        <f t="shared" si="11"/>
        <v>公共部分装修</v>
      </c>
      <c r="R28" s="1557" t="s">
        <v>8</v>
      </c>
      <c r="S28" s="1558">
        <f t="shared" si="12"/>
        <v>100</v>
      </c>
      <c r="T28" s="1557" t="s">
        <v>8</v>
      </c>
      <c r="U28" s="1558">
        <f t="shared" si="13"/>
        <v>100</v>
      </c>
      <c r="V28" s="1557" t="s">
        <v>8</v>
      </c>
      <c r="W28" s="1558">
        <f t="shared" si="14"/>
        <v>100</v>
      </c>
      <c r="X28" s="1551"/>
      <c r="Y28" s="3430"/>
      <c r="Z28" s="1559" t="str">
        <f t="shared" si="15"/>
        <v>公共部分装修</v>
      </c>
      <c r="AA28" s="1560">
        <f t="shared" si="3"/>
        <v>1</v>
      </c>
      <c r="AB28" s="1560">
        <f t="shared" si="4"/>
        <v>1</v>
      </c>
      <c r="AC28" s="1560">
        <f t="shared" si="5"/>
        <v>1</v>
      </c>
    </row>
    <row r="29" spans="1:29" ht="15">
      <c r="A29" s="929"/>
      <c r="B29" s="581" t="s">
        <v>809</v>
      </c>
      <c r="C29" s="881">
        <v>1</v>
      </c>
      <c r="D29" s="539">
        <v>100</v>
      </c>
      <c r="E29" s="881">
        <f>ROUND(1-(2020-2015)/60,2)</f>
        <v>0.92</v>
      </c>
      <c r="F29" s="574">
        <f>LOOKUP(E29,86:86,87:87)-LOOKUP(C29,86:86,87:87)+100</f>
        <v>100</v>
      </c>
      <c r="G29" s="881">
        <f>ROUND(1-(2020-2015)/60,2)</f>
        <v>0.92</v>
      </c>
      <c r="H29" s="574">
        <f>LOOKUP(G29,86:86,87:87)-LOOKUP(C29,86:86,87:87)+100</f>
        <v>100</v>
      </c>
      <c r="I29" s="881">
        <f>ROUND(1-(2020-2019)/60,2)</f>
        <v>0.98</v>
      </c>
      <c r="J29" s="539">
        <f>LOOKUP(I29,86:86,87:87)-LOOKUP(C29,86:86,87:87)+100</f>
        <v>100</v>
      </c>
      <c r="K29" s="583">
        <v>2</v>
      </c>
      <c r="L29" s="2125"/>
      <c r="M29" s="2117"/>
      <c r="N29" s="2117"/>
      <c r="O29" s="2124"/>
      <c r="P29" s="3430"/>
      <c r="Q29" s="1556" t="str">
        <f t="shared" si="11"/>
        <v>成新率</v>
      </c>
      <c r="R29" s="1557" t="s">
        <v>8</v>
      </c>
      <c r="S29" s="1558">
        <f t="shared" si="12"/>
        <v>100</v>
      </c>
      <c r="T29" s="1557" t="s">
        <v>8</v>
      </c>
      <c r="U29" s="1558">
        <f t="shared" si="13"/>
        <v>100</v>
      </c>
      <c r="V29" s="1557" t="s">
        <v>8</v>
      </c>
      <c r="W29" s="1558">
        <f t="shared" si="14"/>
        <v>100</v>
      </c>
      <c r="X29" s="1551"/>
      <c r="Y29" s="3430"/>
      <c r="Z29" s="1559" t="str">
        <f t="shared" si="15"/>
        <v>成新率</v>
      </c>
      <c r="AA29" s="1560">
        <f t="shared" si="3"/>
        <v>1</v>
      </c>
      <c r="AB29" s="1560">
        <f t="shared" si="4"/>
        <v>1</v>
      </c>
      <c r="AC29" s="1560">
        <f t="shared" si="5"/>
        <v>1</v>
      </c>
    </row>
    <row r="30" spans="1:29" ht="15">
      <c r="A30" s="929"/>
      <c r="B30" s="581" t="s">
        <v>810</v>
      </c>
      <c r="C30" s="930" t="s">
        <v>3210</v>
      </c>
      <c r="D30" s="539">
        <v>100</v>
      </c>
      <c r="E30" s="930" t="s">
        <v>3210</v>
      </c>
      <c r="F30" s="574">
        <f>SUMIF(88:88,E30,89:89)-SUMIF(88:88,C30,89:89)+100</f>
        <v>100</v>
      </c>
      <c r="G30" s="930" t="s">
        <v>3210</v>
      </c>
      <c r="H30" s="539">
        <f>SUMIF(88:88,E30,89:89)-SUMIF(88:88,C30,89:89)+100</f>
        <v>100</v>
      </c>
      <c r="I30" s="930" t="s">
        <v>3210</v>
      </c>
      <c r="J30" s="539">
        <f>SUMIF(88:88,E30,89:89)-SUMIF(88:88,C30,89:89)+100</f>
        <v>100</v>
      </c>
      <c r="K30" s="583">
        <v>2</v>
      </c>
      <c r="L30" s="2125"/>
      <c r="M30" s="2117"/>
      <c r="N30" s="2117"/>
      <c r="O30" s="2124"/>
      <c r="P30" s="3430"/>
      <c r="Q30" s="1556" t="str">
        <f t="shared" si="11"/>
        <v>物业等级</v>
      </c>
      <c r="R30" s="1557" t="s">
        <v>8</v>
      </c>
      <c r="S30" s="1558">
        <f t="shared" si="12"/>
        <v>100</v>
      </c>
      <c r="T30" s="1557" t="s">
        <v>8</v>
      </c>
      <c r="U30" s="1558">
        <f t="shared" si="13"/>
        <v>100</v>
      </c>
      <c r="V30" s="1557" t="s">
        <v>8</v>
      </c>
      <c r="W30" s="1558">
        <f t="shared" si="14"/>
        <v>100</v>
      </c>
      <c r="X30" s="1551"/>
      <c r="Y30" s="3430"/>
      <c r="Z30" s="1559" t="str">
        <f t="shared" si="15"/>
        <v>物业等级</v>
      </c>
      <c r="AA30" s="1560">
        <f t="shared" si="3"/>
        <v>1</v>
      </c>
      <c r="AB30" s="1560">
        <f t="shared" si="4"/>
        <v>1</v>
      </c>
      <c r="AC30" s="1560">
        <f t="shared" si="5"/>
        <v>1</v>
      </c>
    </row>
    <row r="31" spans="1:29" s="1214" customFormat="1" ht="15">
      <c r="A31" s="931"/>
      <c r="B31" s="581" t="s">
        <v>811</v>
      </c>
      <c r="C31" s="878">
        <v>35</v>
      </c>
      <c r="D31" s="254">
        <v>100</v>
      </c>
      <c r="E31" s="878">
        <v>23</v>
      </c>
      <c r="F31" s="574">
        <f>LOOKUP(E31,91:91,92:92)-LOOKUP(C31,91:91,92:92)+100</f>
        <v>96</v>
      </c>
      <c r="G31" s="878">
        <v>34</v>
      </c>
      <c r="H31" s="539">
        <f>LOOKUP(G31,91:91,92:92)-LOOKUP(C31,91:91,92:92)+100</f>
        <v>100</v>
      </c>
      <c r="I31" s="878">
        <v>37</v>
      </c>
      <c r="J31" s="539">
        <f>LOOKUP(I31,91:91,92:92)-LOOKUP(C31,91:91,92:92)+100</f>
        <v>100</v>
      </c>
      <c r="K31" s="583"/>
      <c r="L31" s="2118"/>
      <c r="M31" s="2119"/>
      <c r="N31" s="2119"/>
      <c r="O31" s="2120"/>
      <c r="P31" s="3430"/>
      <c r="Q31" s="1145" t="str">
        <f t="shared" si="11"/>
        <v>停车位面积</v>
      </c>
      <c r="R31" s="1552" t="s">
        <v>8</v>
      </c>
      <c r="S31" s="1553">
        <f t="shared" si="12"/>
        <v>96</v>
      </c>
      <c r="T31" s="1552" t="s">
        <v>8</v>
      </c>
      <c r="U31" s="1553">
        <f t="shared" si="13"/>
        <v>100</v>
      </c>
      <c r="V31" s="1552" t="s">
        <v>8</v>
      </c>
      <c r="W31" s="1553">
        <f t="shared" si="14"/>
        <v>100</v>
      </c>
      <c r="X31" s="1554"/>
      <c r="Y31" s="3430"/>
      <c r="Z31" s="1144" t="str">
        <f t="shared" si="15"/>
        <v>停车位面积</v>
      </c>
      <c r="AA31" s="1555">
        <f t="shared" si="3"/>
        <v>1.0416666666666667</v>
      </c>
      <c r="AB31" s="1555">
        <f t="shared" si="4"/>
        <v>1</v>
      </c>
      <c r="AC31" s="1555">
        <f t="shared" si="5"/>
        <v>1</v>
      </c>
    </row>
    <row r="32" spans="1:29" ht="15">
      <c r="A32" s="929"/>
      <c r="B32" s="581" t="s">
        <v>812</v>
      </c>
      <c r="C32" s="573" t="s">
        <v>3191</v>
      </c>
      <c r="D32" s="539">
        <v>100</v>
      </c>
      <c r="E32" s="573" t="s">
        <v>3191</v>
      </c>
      <c r="F32" s="574">
        <f>SUMIF(93:93,E32,94:94)-SUMIF(93:93,C32,94:94)+100</f>
        <v>100</v>
      </c>
      <c r="G32" s="573" t="s">
        <v>3191</v>
      </c>
      <c r="H32" s="539">
        <f>SUMIF(93:93,G32,94:94)-SUMIF(93:93,C32,94:94)+100</f>
        <v>100</v>
      </c>
      <c r="I32" s="573" t="s">
        <v>3191</v>
      </c>
      <c r="J32" s="539">
        <f>SUMIF(93:93,I32,94:94)-SUMIF(93:93,C32,94:94)+100</f>
        <v>100</v>
      </c>
      <c r="K32" s="583">
        <v>2</v>
      </c>
      <c r="L32" s="2125"/>
      <c r="M32" s="2117"/>
      <c r="N32" s="2117"/>
      <c r="O32" s="2124"/>
      <c r="P32" s="3430" t="s">
        <v>550</v>
      </c>
      <c r="Q32" s="1556" t="str">
        <f t="shared" si="11"/>
        <v>车位类型</v>
      </c>
      <c r="R32" s="1557" t="s">
        <v>8</v>
      </c>
      <c r="S32" s="1558">
        <f t="shared" si="12"/>
        <v>100</v>
      </c>
      <c r="T32" s="1557" t="s">
        <v>8</v>
      </c>
      <c r="U32" s="1558">
        <f t="shared" si="13"/>
        <v>100</v>
      </c>
      <c r="V32" s="1557" t="s">
        <v>8</v>
      </c>
      <c r="W32" s="1558">
        <f t="shared" si="14"/>
        <v>100</v>
      </c>
      <c r="X32" s="1551"/>
      <c r="Y32" s="3430" t="s">
        <v>550</v>
      </c>
      <c r="Z32" s="1559" t="str">
        <f t="shared" si="15"/>
        <v>车位类型</v>
      </c>
      <c r="AA32" s="1560">
        <f t="shared" si="3"/>
        <v>1</v>
      </c>
      <c r="AB32" s="1560">
        <f t="shared" si="4"/>
        <v>1</v>
      </c>
      <c r="AC32" s="1560">
        <f t="shared" si="5"/>
        <v>1</v>
      </c>
    </row>
    <row r="33" spans="1:29" ht="15.75" thickBot="1">
      <c r="A33" s="929"/>
      <c r="B33" s="581" t="s">
        <v>813</v>
      </c>
      <c r="C33" s="573" t="s">
        <v>2996</v>
      </c>
      <c r="D33" s="539">
        <v>100</v>
      </c>
      <c r="E33" s="573" t="s">
        <v>2996</v>
      </c>
      <c r="F33" s="574">
        <f>SUMIF(95:95,E33,96:96)-SUMIF(95:95,C33,96:96)+100</f>
        <v>100</v>
      </c>
      <c r="G33" s="573" t="s">
        <v>2996</v>
      </c>
      <c r="H33" s="539">
        <f>SUMIF(95:95,G33,96:96)-SUMIF(95:95,C33,96:96)+100</f>
        <v>100</v>
      </c>
      <c r="I33" s="573" t="s">
        <v>2996</v>
      </c>
      <c r="J33" s="539">
        <f>SUMIF(95:95,I33,96:96)-SUMIF(95:95,C33,96:96)+100</f>
        <v>100</v>
      </c>
      <c r="K33" s="583">
        <v>5</v>
      </c>
      <c r="L33" s="2125"/>
      <c r="M33" s="2117"/>
      <c r="N33" s="2117"/>
      <c r="O33" s="2124"/>
      <c r="P33" s="3430"/>
      <c r="Q33" s="1556" t="str">
        <f t="shared" si="11"/>
        <v>是否直接入户</v>
      </c>
      <c r="R33" s="1557" t="s">
        <v>8</v>
      </c>
      <c r="S33" s="1558">
        <f t="shared" si="12"/>
        <v>100</v>
      </c>
      <c r="T33" s="1557" t="s">
        <v>8</v>
      </c>
      <c r="U33" s="1558">
        <f t="shared" si="13"/>
        <v>100</v>
      </c>
      <c r="V33" s="1557" t="s">
        <v>8</v>
      </c>
      <c r="W33" s="1558">
        <f t="shared" si="14"/>
        <v>100</v>
      </c>
      <c r="X33" s="1551"/>
      <c r="Y33" s="3430"/>
      <c r="Z33" s="1559" t="str">
        <f t="shared" si="15"/>
        <v>是否直接入户</v>
      </c>
      <c r="AA33" s="1560">
        <f t="shared" si="3"/>
        <v>1</v>
      </c>
      <c r="AB33" s="1560">
        <f t="shared" si="4"/>
        <v>1</v>
      </c>
      <c r="AC33" s="1560">
        <f t="shared" si="5"/>
        <v>1</v>
      </c>
    </row>
    <row r="34" spans="1:29" ht="15" hidden="1">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30"/>
      <c r="Q34" s="1556">
        <f t="shared" si="11"/>
        <v>111</v>
      </c>
      <c r="R34" s="1557" t="s">
        <v>8</v>
      </c>
      <c r="S34" s="1558">
        <f t="shared" si="12"/>
        <v>100</v>
      </c>
      <c r="T34" s="1557" t="s">
        <v>8</v>
      </c>
      <c r="U34" s="1558">
        <f t="shared" si="13"/>
        <v>100</v>
      </c>
      <c r="V34" s="1557" t="s">
        <v>8</v>
      </c>
      <c r="W34" s="1558">
        <f t="shared" si="14"/>
        <v>100</v>
      </c>
      <c r="X34" s="1551"/>
      <c r="Y34" s="3430"/>
      <c r="Z34" s="1559">
        <f t="shared" si="15"/>
        <v>111</v>
      </c>
      <c r="AA34" s="1560">
        <f t="shared" si="3"/>
        <v>1</v>
      </c>
      <c r="AB34" s="1560">
        <f t="shared" si="4"/>
        <v>1</v>
      </c>
      <c r="AC34" s="1560">
        <f t="shared" si="5"/>
        <v>1</v>
      </c>
    </row>
    <row r="35" spans="1:29" s="1333" customFormat="1" ht="15" hidden="1">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30"/>
      <c r="Q35" s="1588">
        <f t="shared" si="11"/>
        <v>111</v>
      </c>
      <c r="R35" s="1561" t="s">
        <v>8</v>
      </c>
      <c r="S35" s="1562">
        <f t="shared" si="12"/>
        <v>100</v>
      </c>
      <c r="T35" s="1561" t="s">
        <v>8</v>
      </c>
      <c r="U35" s="1562">
        <f t="shared" si="13"/>
        <v>100</v>
      </c>
      <c r="V35" s="1561" t="s">
        <v>8</v>
      </c>
      <c r="W35" s="1562">
        <f t="shared" si="14"/>
        <v>100</v>
      </c>
      <c r="X35" s="1563"/>
      <c r="Y35" s="3430"/>
      <c r="Z35" s="1564">
        <f t="shared" si="15"/>
        <v>111</v>
      </c>
      <c r="AA35" s="1560">
        <f t="shared" si="3"/>
        <v>1</v>
      </c>
      <c r="AB35" s="1560">
        <f t="shared" si="4"/>
        <v>1</v>
      </c>
      <c r="AC35" s="1560">
        <f t="shared" si="5"/>
        <v>1</v>
      </c>
    </row>
    <row r="36" spans="1:29" ht="15.75" hidden="1"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30"/>
      <c r="Q36" s="1556">
        <f t="shared" si="11"/>
        <v>111</v>
      </c>
      <c r="R36" s="1557" t="s">
        <v>8</v>
      </c>
      <c r="S36" s="1558">
        <f t="shared" si="12"/>
        <v>100</v>
      </c>
      <c r="T36" s="1557" t="s">
        <v>8</v>
      </c>
      <c r="U36" s="1558">
        <f t="shared" si="13"/>
        <v>100</v>
      </c>
      <c r="V36" s="1557" t="s">
        <v>8</v>
      </c>
      <c r="W36" s="1558">
        <f t="shared" si="14"/>
        <v>100</v>
      </c>
      <c r="X36" s="1551"/>
      <c r="Y36" s="3430"/>
      <c r="Z36" s="1559">
        <f t="shared" si="15"/>
        <v>111</v>
      </c>
      <c r="AA36" s="1560">
        <f t="shared" si="3"/>
        <v>1</v>
      </c>
      <c r="AB36" s="1560">
        <f t="shared" si="4"/>
        <v>1</v>
      </c>
      <c r="AC36" s="1560">
        <f t="shared" si="5"/>
        <v>1</v>
      </c>
    </row>
    <row r="37" spans="1:29" ht="15">
      <c r="A37" s="1829" t="s">
        <v>2074</v>
      </c>
      <c r="B37" s="1830" t="s">
        <v>2075</v>
      </c>
      <c r="C37" s="2589" t="s">
        <v>1</v>
      </c>
      <c r="D37" s="2590"/>
      <c r="E37" s="2591">
        <v>5284</v>
      </c>
      <c r="F37" s="2592"/>
      <c r="G37" s="2593">
        <v>6773</v>
      </c>
      <c r="H37" s="2594"/>
      <c r="I37" s="2591">
        <v>6779</v>
      </c>
      <c r="J37" s="2594"/>
      <c r="K37" s="1594"/>
      <c r="L37" s="2127"/>
      <c r="M37" s="2128"/>
      <c r="N37" s="2117"/>
      <c r="O37" s="2128"/>
      <c r="P37" s="3393" t="str">
        <f>A37</f>
        <v>成交单价</v>
      </c>
      <c r="Q37" s="3393"/>
      <c r="R37" s="3510">
        <f>E37</f>
        <v>5284</v>
      </c>
      <c r="S37" s="3510"/>
      <c r="T37" s="3510">
        <f>G37</f>
        <v>6773</v>
      </c>
      <c r="U37" s="3510"/>
      <c r="V37" s="3510">
        <f>I37</f>
        <v>6779</v>
      </c>
      <c r="W37" s="3510"/>
      <c r="X37" s="1543"/>
      <c r="Y37" s="1565"/>
      <c r="Z37" s="1543"/>
      <c r="AA37" s="1543"/>
      <c r="AB37" s="1543"/>
      <c r="AC37" s="1543"/>
    </row>
    <row r="38" spans="1:29" ht="15.75" thickBot="1">
      <c r="A38" s="614" t="s">
        <v>2754</v>
      </c>
      <c r="B38" s="886"/>
      <c r="C38" s="2595">
        <f>R39</f>
        <v>6088</v>
      </c>
      <c r="D38" s="2596"/>
      <c r="E38" s="2597">
        <f>R38</f>
        <v>5246</v>
      </c>
      <c r="F38" s="2597"/>
      <c r="G38" s="2595">
        <f>T38</f>
        <v>6841</v>
      </c>
      <c r="H38" s="2596"/>
      <c r="I38" s="2597">
        <f>V38</f>
        <v>6176</v>
      </c>
      <c r="J38" s="2596"/>
      <c r="K38" s="1595"/>
      <c r="L38" s="2127"/>
      <c r="M38" s="2128"/>
      <c r="N38" s="2128"/>
      <c r="O38" s="2128"/>
      <c r="P38" s="3393" t="str">
        <f>A38</f>
        <v>比较价格（元/平方米）</v>
      </c>
      <c r="Q38" s="3393"/>
      <c r="R38" s="3510">
        <f>IF(F1="售价",ROUND(PRODUCT(R37,AA7:AA36),0),ROUND(PRODUCT(R37,AA7:AA36),1))</f>
        <v>5246</v>
      </c>
      <c r="S38" s="3510"/>
      <c r="T38" s="3510">
        <f>IF(F1="售价",ROUND(PRODUCT(T37,AB7:AB36),0),ROUND(PRODUCT(T37,AB7:AB36),1))</f>
        <v>6841</v>
      </c>
      <c r="U38" s="3510"/>
      <c r="V38" s="3510">
        <f>IF(F1="售价",ROUND(PRODUCT(V37,AC7:AC36),0),ROUND(PRODUCT(V37,AC7:AC36),1))</f>
        <v>6176</v>
      </c>
      <c r="W38" s="3510"/>
      <c r="X38" s="1543"/>
      <c r="Y38" s="1543"/>
      <c r="Z38" s="1543"/>
      <c r="AA38" s="1543"/>
      <c r="AB38" s="1543"/>
      <c r="AC38" s="1543"/>
    </row>
    <row r="39" spans="1:29" ht="15.75" thickBot="1">
      <c r="A39" s="620" t="s">
        <v>2928</v>
      </c>
      <c r="B39" s="621"/>
      <c r="C39" s="2598">
        <f>R39</f>
        <v>6088</v>
      </c>
      <c r="D39" s="2598"/>
      <c r="E39" s="2598"/>
      <c r="F39" s="2598"/>
      <c r="G39" s="2598"/>
      <c r="H39" s="2598"/>
      <c r="I39" s="2598"/>
      <c r="J39" s="2598"/>
      <c r="K39" s="1596"/>
      <c r="L39" s="2127"/>
      <c r="M39" s="2128"/>
      <c r="N39" s="2128"/>
      <c r="O39" s="2128"/>
      <c r="P39" s="3390" t="str">
        <f>A39</f>
        <v>估价对象XX用房的比较价格（楼面单价，元/平方米）</v>
      </c>
      <c r="Q39" s="3391"/>
      <c r="R39" s="3509">
        <f>IF(F1="售价",ROUND(AVERAGE(R38:V38),0),ROUND(AVERAGE(R38:V38),1))</f>
        <v>6088</v>
      </c>
      <c r="S39" s="3509"/>
      <c r="T39" s="3509"/>
      <c r="U39" s="3509"/>
      <c r="V39" s="3509"/>
      <c r="W39" s="3509"/>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f>IF(E37&lt;E38,E38/E37-1,E37/E38-1)</f>
        <v>7.2436141822340705E-3</v>
      </c>
      <c r="F42" s="626" t="str">
        <f>IF(OR(E42&gt;=0.3,E42&lt;=-0.3),"超过30%","")</f>
        <v/>
      </c>
      <c r="G42" s="625">
        <f>IF(G37&lt;G38,G38/G37-1,G37/G38-1)</f>
        <v>1.0039864166543566E-2</v>
      </c>
      <c r="H42" s="626" t="str">
        <f>IF(OR(G42&gt;=0.3,G42&lt;=-0.3),"超过30%","")</f>
        <v/>
      </c>
      <c r="I42" s="625">
        <f>IF(I37&lt;I38,I38/I37-1,I37/I38-1)</f>
        <v>9.7636010362694314E-2</v>
      </c>
      <c r="J42" s="626" t="str">
        <f>IF(OR(I42&gt;=0.3,I42&lt;=-0.3),"超过30%","")</f>
        <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f>IF(E38&lt;G38,G38/E38-1,E38/G38-1)</f>
        <v>0.30404117422798316</v>
      </c>
      <c r="F43" s="626" t="str">
        <f>IF(OR(E43&gt;=0.2,E43&lt;=-0.2),"超过20%","")</f>
        <v>超过20%</v>
      </c>
      <c r="G43" s="625">
        <f>IF(G38&lt;I38,I38/G38-1,G38/I38-1)</f>
        <v>0.10767487046632129</v>
      </c>
      <c r="H43" s="626" t="str">
        <f>IF(OR(G43&gt;=0.2,G43&lt;=-0.2),"超过20%","")</f>
        <v/>
      </c>
      <c r="I43" s="625">
        <f>IF(I38&lt;E38,E38/I38-1,I38/E38-1)</f>
        <v>0.17727792603888681</v>
      </c>
      <c r="J43" s="626" t="str">
        <f>IF(OR(I43&gt;=0.2,I43&lt;=-0.2),"超过20%","")</f>
        <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3" t="s">
        <v>559</v>
      </c>
      <c r="D44" s="627"/>
      <c r="E44" s="625">
        <f>IF(E37&lt;G37,G37/E37-1,E37/G37-1)</f>
        <v>0.28179409538228617</v>
      </c>
      <c r="F44" s="626" t="str">
        <f>IF(OR(E44&gt;=0.3,E44&lt;=-0.3),"超过30%","")</f>
        <v/>
      </c>
      <c r="G44" s="625">
        <f>IF(G37&lt;I37,I37/G37-1,G37/I37-1)</f>
        <v>8.8587036763621008E-4</v>
      </c>
      <c r="H44" s="626" t="str">
        <f>IF(OR(G44&gt;=0.3,G44&lt;=-0.3),"超过30%","")</f>
        <v/>
      </c>
      <c r="I44" s="625">
        <f>IF(I37&lt;E37,E37/I37-1,I37/E37-1)</f>
        <v>0.28292959878879631</v>
      </c>
      <c r="J44" s="626" t="str">
        <f>IF(OR(I44&gt;=0.3,I44&lt;=-0.3),"超过30%","")</f>
        <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4" t="s">
        <v>529</v>
      </c>
      <c r="B48" s="645"/>
      <c r="C48" s="2755" t="str">
        <f>YEAR(C7)&amp;"-"&amp;MONTH(C7)</f>
        <v>2020-4</v>
      </c>
      <c r="D48" s="2757">
        <f>EDATE(C48,-1)</f>
        <v>43891</v>
      </c>
      <c r="E48" s="2757">
        <f t="shared" ref="E48:O48" si="16">EDATE(D48,-1)</f>
        <v>43862</v>
      </c>
      <c r="F48" s="2757">
        <f t="shared" si="16"/>
        <v>43831</v>
      </c>
      <c r="G48" s="2757">
        <f t="shared" si="16"/>
        <v>43800</v>
      </c>
      <c r="H48" s="2757">
        <f t="shared" si="16"/>
        <v>43770</v>
      </c>
      <c r="I48" s="2757">
        <f t="shared" si="16"/>
        <v>43739</v>
      </c>
      <c r="J48" s="2757">
        <f t="shared" si="16"/>
        <v>43709</v>
      </c>
      <c r="K48" s="2757">
        <f t="shared" si="16"/>
        <v>43678</v>
      </c>
      <c r="L48" s="2757">
        <f t="shared" si="16"/>
        <v>43647</v>
      </c>
      <c r="M48" s="2757">
        <f t="shared" si="16"/>
        <v>43617</v>
      </c>
      <c r="N48" s="2757">
        <f t="shared" si="16"/>
        <v>43586</v>
      </c>
      <c r="O48" s="2757">
        <f t="shared" si="16"/>
        <v>43556</v>
      </c>
      <c r="P48" s="2143"/>
      <c r="Q48" s="2144"/>
      <c r="R48" s="2144"/>
      <c r="S48" s="2144"/>
      <c r="T48" s="2144"/>
      <c r="U48" s="2144"/>
      <c r="V48" s="2144"/>
      <c r="W48" s="2144"/>
      <c r="X48" s="2144"/>
      <c r="Y48" s="2144"/>
      <c r="Z48" s="2144"/>
      <c r="AA48" s="2144"/>
      <c r="AB48" s="2144"/>
      <c r="AC48" s="2144"/>
    </row>
    <row r="49" spans="1:29" s="1214" customFormat="1" ht="15">
      <c r="A49" s="646"/>
      <c r="B49" s="647"/>
      <c r="C49" s="2756">
        <v>100</v>
      </c>
      <c r="D49" s="649">
        <v>100</v>
      </c>
      <c r="E49" s="649">
        <v>100</v>
      </c>
      <c r="F49" s="649">
        <v>100</v>
      </c>
      <c r="G49" s="649">
        <v>99.5</v>
      </c>
      <c r="H49" s="649">
        <v>99.5</v>
      </c>
      <c r="I49" s="649">
        <v>99.5</v>
      </c>
      <c r="J49" s="649">
        <v>99.5</v>
      </c>
      <c r="K49" s="649">
        <v>99</v>
      </c>
      <c r="L49" s="649">
        <v>99</v>
      </c>
      <c r="M49" s="650">
        <v>99</v>
      </c>
      <c r="N49" s="649">
        <v>99</v>
      </c>
      <c r="O49" s="651"/>
      <c r="P49" s="2141"/>
      <c r="Q49" s="1976"/>
      <c r="R49" s="1976"/>
      <c r="S49" s="1976"/>
      <c r="T49" s="1976"/>
      <c r="U49" s="1976"/>
      <c r="V49" s="1976"/>
      <c r="W49" s="1976"/>
      <c r="X49" s="1976"/>
      <c r="Y49" s="1976"/>
      <c r="Z49" s="1976"/>
      <c r="AA49" s="1976"/>
      <c r="AB49" s="1976"/>
      <c r="AC49" s="1976"/>
    </row>
    <row r="50" spans="1:29" s="1214"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4"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t="str">
        <f>C9</f>
        <v>车库</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98</v>
      </c>
      <c r="E64" s="678">
        <f>D64-$K14</f>
        <v>96</v>
      </c>
      <c r="F64" s="678">
        <f>E64-$K14</f>
        <v>94</v>
      </c>
      <c r="G64" s="678">
        <f>F64-$K14</f>
        <v>92</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2553</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97</v>
      </c>
      <c r="E66" s="678">
        <f>D66-$K16</f>
        <v>94</v>
      </c>
      <c r="F66" s="678">
        <f>E66-$K16</f>
        <v>91</v>
      </c>
      <c r="G66" s="678">
        <f>F66-$K16</f>
        <v>88</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2554</v>
      </c>
      <c r="C67" s="2560" t="s">
        <v>2555</v>
      </c>
      <c r="D67" s="2560" t="s">
        <v>2556</v>
      </c>
      <c r="E67" s="2560" t="s">
        <v>2557</v>
      </c>
      <c r="F67" s="2560" t="s">
        <v>2558</v>
      </c>
      <c r="G67" s="2560" t="s">
        <v>2559</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98</v>
      </c>
      <c r="E68" s="678">
        <f>D68-$K18</f>
        <v>96</v>
      </c>
      <c r="F68" s="678">
        <f>E68-$K18</f>
        <v>94</v>
      </c>
      <c r="G68" s="678">
        <f>F68-$K18</f>
        <v>92</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95</v>
      </c>
      <c r="E70" s="678">
        <f>D70-$K20</f>
        <v>90</v>
      </c>
      <c r="F70" s="678">
        <f>E70-$K20</f>
        <v>85</v>
      </c>
      <c r="G70" s="678">
        <f>F70-$K20</f>
        <v>80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t="str">
        <f>C26</f>
        <v>住宅</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98</v>
      </c>
      <c r="E80" s="678">
        <f t="shared" si="17"/>
        <v>96</v>
      </c>
      <c r="F80" s="678">
        <f t="shared" si="17"/>
        <v>94</v>
      </c>
      <c r="G80" s="678">
        <f t="shared" si="17"/>
        <v>92</v>
      </c>
      <c r="H80" s="678">
        <f t="shared" si="17"/>
        <v>90</v>
      </c>
      <c r="I80" s="678">
        <f t="shared" si="17"/>
        <v>88</v>
      </c>
      <c r="J80" s="678">
        <f t="shared" si="17"/>
        <v>86</v>
      </c>
      <c r="K80" s="678">
        <f t="shared" si="17"/>
        <v>84</v>
      </c>
      <c r="L80" s="678">
        <f t="shared" si="17"/>
        <v>82</v>
      </c>
      <c r="M80" s="679">
        <f t="shared" si="17"/>
        <v>80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3190" t="s">
        <v>3184</v>
      </c>
      <c r="D83" s="3190" t="s">
        <v>3185</v>
      </c>
      <c r="E83" s="3195" t="s">
        <v>3186</v>
      </c>
      <c r="F83" s="3195" t="s">
        <v>3187</v>
      </c>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99</v>
      </c>
      <c r="E84" s="678">
        <f t="shared" si="18"/>
        <v>98</v>
      </c>
      <c r="F84" s="678">
        <f t="shared" si="18"/>
        <v>97</v>
      </c>
      <c r="G84" s="678">
        <f t="shared" si="18"/>
        <v>96</v>
      </c>
      <c r="H84" s="678">
        <f t="shared" si="18"/>
        <v>95</v>
      </c>
      <c r="I84" s="678">
        <f t="shared" si="18"/>
        <v>94</v>
      </c>
      <c r="J84" s="678">
        <f t="shared" si="18"/>
        <v>93</v>
      </c>
      <c r="K84" s="678">
        <f t="shared" si="18"/>
        <v>92</v>
      </c>
      <c r="L84" s="678">
        <f t="shared" si="18"/>
        <v>91</v>
      </c>
      <c r="M84" s="679">
        <f t="shared" si="18"/>
        <v>90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3187" t="s">
        <v>3188</v>
      </c>
      <c r="D88" s="3187" t="s">
        <v>3189</v>
      </c>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7"/>
      <c r="B90" s="672" t="s">
        <v>818</v>
      </c>
      <c r="C90" s="707" t="str">
        <f>C91&amp;"(含)"&amp;"-"&amp;D91</f>
        <v>0(含)-30</v>
      </c>
      <c r="D90" s="707" t="str">
        <f t="shared" ref="D90:L90" si="21">D91&amp;"(含)"&amp;"-"&amp;E91</f>
        <v>30(含)-60</v>
      </c>
      <c r="E90" s="707" t="str">
        <f t="shared" si="21"/>
        <v>60(含)-90</v>
      </c>
      <c r="F90" s="707" t="str">
        <f t="shared" si="21"/>
        <v>90(含)-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7"/>
      <c r="B91" s="680"/>
      <c r="C91" s="729">
        <v>0</v>
      </c>
      <c r="D91" s="729">
        <v>30</v>
      </c>
      <c r="E91" s="729">
        <v>60</v>
      </c>
      <c r="F91" s="729">
        <v>90</v>
      </c>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v>100</v>
      </c>
      <c r="D92" s="670">
        <v>104</v>
      </c>
      <c r="E92" s="670">
        <v>108</v>
      </c>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3190" t="s">
        <v>3190</v>
      </c>
      <c r="D93" s="3190" t="s">
        <v>3192</v>
      </c>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3187" t="s">
        <v>3193</v>
      </c>
      <c r="D95" s="3187" t="s">
        <v>3194</v>
      </c>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95</v>
      </c>
      <c r="E96" s="678">
        <f>D96-$K33</f>
        <v>90</v>
      </c>
      <c r="F96" s="678">
        <f>E96-$K33</f>
        <v>85</v>
      </c>
      <c r="G96" s="678">
        <f>F96-$K33</f>
        <v>80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3"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39" sqref="F39"/>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1" t="s">
        <v>718</v>
      </c>
      <c r="B1" s="921" t="s">
        <v>2995</v>
      </c>
      <c r="C1" s="503" t="s">
        <v>792</v>
      </c>
      <c r="D1" s="848" t="s">
        <v>2995</v>
      </c>
      <c r="E1" s="505"/>
      <c r="F1" s="2760" t="s">
        <v>3176</v>
      </c>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794</v>
      </c>
      <c r="B2" s="849">
        <f>ROUND(B3*D3/10000,0)</f>
        <v>11629</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795</v>
      </c>
      <c r="B3" s="509">
        <f>C37</f>
        <v>20869</v>
      </c>
      <c r="C3" s="851" t="s">
        <v>796</v>
      </c>
      <c r="D3" s="850">
        <f>SUMIF('数据-汇总表'!$C19:$C33,D1,'数据-汇总表'!$E19:$E33)</f>
        <v>5572.52</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399" t="s">
        <v>798</v>
      </c>
      <c r="D4" s="3400"/>
      <c r="E4" s="3433" t="s">
        <v>799</v>
      </c>
      <c r="F4" s="3434"/>
      <c r="G4" s="3399" t="s">
        <v>800</v>
      </c>
      <c r="H4" s="3400"/>
      <c r="I4" s="3399" t="s">
        <v>801</v>
      </c>
      <c r="J4" s="3400"/>
      <c r="K4" s="513" t="s">
        <v>802</v>
      </c>
      <c r="L4" s="2116"/>
      <c r="M4" s="2117"/>
      <c r="N4" s="2117"/>
      <c r="O4" s="2117"/>
      <c r="P4" s="3401" t="s">
        <v>803</v>
      </c>
      <c r="Q4" s="3402"/>
      <c r="R4" s="3407" t="s">
        <v>799</v>
      </c>
      <c r="S4" s="3408"/>
      <c r="T4" s="3407" t="s">
        <v>800</v>
      </c>
      <c r="U4" s="3408"/>
      <c r="V4" s="3394" t="s">
        <v>801</v>
      </c>
      <c r="W4" s="3394"/>
      <c r="X4" s="1551"/>
      <c r="Y4" s="3407" t="s">
        <v>803</v>
      </c>
      <c r="Z4" s="3408"/>
      <c r="AA4" s="3396" t="s">
        <v>799</v>
      </c>
      <c r="AB4" s="3397" t="s">
        <v>800</v>
      </c>
      <c r="AC4" s="3396" t="s">
        <v>801</v>
      </c>
    </row>
    <row r="5" spans="1:29" ht="15">
      <c r="A5" s="514"/>
      <c r="B5" s="515"/>
      <c r="C5" s="3415" t="s">
        <v>2922</v>
      </c>
      <c r="D5" s="3416"/>
      <c r="E5" s="3435" t="str">
        <f>Sheet1!N100</f>
        <v>华锦佳苑、和悦华锦</v>
      </c>
      <c r="F5" s="3436"/>
      <c r="G5" s="3415" t="str">
        <f>Sheet1!N111</f>
        <v>金隅·金麟府、金林佳园</v>
      </c>
      <c r="H5" s="3416"/>
      <c r="I5" s="3415" t="str">
        <f>Sheet1!N120</f>
        <v>金隅学府</v>
      </c>
      <c r="J5" s="3416"/>
      <c r="K5" s="513"/>
      <c r="L5" s="2116"/>
      <c r="M5" s="2117"/>
      <c r="N5" s="2117"/>
      <c r="O5" s="2117"/>
      <c r="P5" s="3403"/>
      <c r="Q5" s="3404"/>
      <c r="R5" s="3409"/>
      <c r="S5" s="3410"/>
      <c r="T5" s="3409"/>
      <c r="U5" s="3410"/>
      <c r="V5" s="3394"/>
      <c r="W5" s="3394"/>
      <c r="X5" s="1551"/>
      <c r="Y5" s="3409"/>
      <c r="Z5" s="3410"/>
      <c r="AA5" s="3397"/>
      <c r="AB5" s="3397"/>
      <c r="AC5" s="3397"/>
    </row>
    <row r="6" spans="1:29" ht="15.75" thickBot="1">
      <c r="A6" s="516"/>
      <c r="B6" s="517"/>
      <c r="C6" s="3413" t="s">
        <v>2926</v>
      </c>
      <c r="D6" s="3414"/>
      <c r="E6" s="3431" t="s">
        <v>2926</v>
      </c>
      <c r="F6" s="3432"/>
      <c r="G6" s="3413" t="s">
        <v>2926</v>
      </c>
      <c r="H6" s="3414"/>
      <c r="I6" s="3413" t="s">
        <v>2926</v>
      </c>
      <c r="J6" s="3414"/>
      <c r="K6" s="513" t="s">
        <v>528</v>
      </c>
      <c r="L6" s="2116"/>
      <c r="M6" s="2117"/>
      <c r="N6" s="2117"/>
      <c r="O6" s="2117"/>
      <c r="P6" s="3405"/>
      <c r="Q6" s="3406"/>
      <c r="R6" s="3409"/>
      <c r="S6" s="3410"/>
      <c r="T6" s="3411"/>
      <c r="U6" s="3412"/>
      <c r="V6" s="3394"/>
      <c r="W6" s="3394"/>
      <c r="X6" s="1551"/>
      <c r="Y6" s="3411"/>
      <c r="Z6" s="3412"/>
      <c r="AA6" s="3398"/>
      <c r="AB6" s="3398"/>
      <c r="AC6" s="3398"/>
    </row>
    <row r="7" spans="1:29" s="1214" customFormat="1" ht="15.75" thickBot="1">
      <c r="A7" s="2865"/>
      <c r="B7" s="2872" t="s">
        <v>529</v>
      </c>
      <c r="C7" s="518">
        <f>'数据-取费表'!B2</f>
        <v>43942</v>
      </c>
      <c r="D7" s="519">
        <v>100</v>
      </c>
      <c r="E7" s="520">
        <v>43922</v>
      </c>
      <c r="F7" s="521">
        <f>SUMIF(46:46,YEAR(E7)&amp;"-"&amp;MONTH(E7),47:47)</f>
        <v>100</v>
      </c>
      <c r="G7" s="522">
        <v>43922</v>
      </c>
      <c r="H7" s="519">
        <f>SUMIF(46:46,YEAR(G7)&amp;"-"&amp;MONTH(G7),47:47)</f>
        <v>100</v>
      </c>
      <c r="I7" s="522">
        <v>43922</v>
      </c>
      <c r="J7" s="519">
        <f>SUMIF(46:46,YEAR(I7)&amp;"-"&amp;MONTH(I7),47:47)</f>
        <v>100</v>
      </c>
      <c r="K7" s="523"/>
      <c r="L7" s="2118"/>
      <c r="M7" s="2119"/>
      <c r="N7" s="2119"/>
      <c r="O7" s="2119"/>
      <c r="P7" s="3424" t="s">
        <v>530</v>
      </c>
      <c r="Q7" s="3426"/>
      <c r="R7" s="1552" t="s">
        <v>8</v>
      </c>
      <c r="S7" s="1553">
        <f t="shared" ref="S7:S14" si="0">F7</f>
        <v>100</v>
      </c>
      <c r="T7" s="1552" t="s">
        <v>8</v>
      </c>
      <c r="U7" s="1553">
        <f t="shared" ref="U7:U14" si="1">H7</f>
        <v>100</v>
      </c>
      <c r="V7" s="1552" t="s">
        <v>8</v>
      </c>
      <c r="W7" s="1553">
        <f t="shared" ref="W7:W14" si="2">J7</f>
        <v>100</v>
      </c>
      <c r="X7" s="1554"/>
      <c r="Y7" s="3424" t="s">
        <v>530</v>
      </c>
      <c r="Z7" s="3425"/>
      <c r="AA7" s="1555">
        <f>D7/F7</f>
        <v>1</v>
      </c>
      <c r="AB7" s="1555">
        <f>D7/H7</f>
        <v>1</v>
      </c>
      <c r="AC7" s="1555">
        <f>D7/J7</f>
        <v>1</v>
      </c>
    </row>
    <row r="8" spans="1:29" s="1214" customFormat="1" ht="15.75" thickBot="1">
      <c r="A8" s="2866"/>
      <c r="B8" s="2873" t="s">
        <v>531</v>
      </c>
      <c r="C8" s="524" t="s">
        <v>576</v>
      </c>
      <c r="D8" s="519">
        <v>100</v>
      </c>
      <c r="E8" s="524" t="s">
        <v>3044</v>
      </c>
      <c r="F8" s="521">
        <f>SUMIF(49:49,E8,50:50)-SUMIF(49:49,C8,50:50)+100</f>
        <v>100</v>
      </c>
      <c r="G8" s="524" t="s">
        <v>3044</v>
      </c>
      <c r="H8" s="519">
        <f>SUMIF(49:49,G8,50:50)-SUMIF(49:49,C8,50:50)+100</f>
        <v>100</v>
      </c>
      <c r="I8" s="524" t="s">
        <v>3044</v>
      </c>
      <c r="J8" s="519">
        <f>SUMIF(49:49,I8,50:50)-SUMIF(49:49,C8,50:50)+100</f>
        <v>100</v>
      </c>
      <c r="K8" s="523"/>
      <c r="L8" s="2118"/>
      <c r="M8" s="2119"/>
      <c r="N8" s="2119"/>
      <c r="O8" s="2119"/>
      <c r="P8" s="3424" t="s">
        <v>533</v>
      </c>
      <c r="Q8" s="3425"/>
      <c r="R8" s="1552" t="s">
        <v>8</v>
      </c>
      <c r="S8" s="1553">
        <f t="shared" si="0"/>
        <v>100</v>
      </c>
      <c r="T8" s="1552" t="s">
        <v>8</v>
      </c>
      <c r="U8" s="1553">
        <f t="shared" si="1"/>
        <v>100</v>
      </c>
      <c r="V8" s="1552" t="s">
        <v>8</v>
      </c>
      <c r="W8" s="1553">
        <f t="shared" si="2"/>
        <v>100</v>
      </c>
      <c r="X8" s="1554"/>
      <c r="Y8" s="3424" t="s">
        <v>533</v>
      </c>
      <c r="Z8" s="3425"/>
      <c r="AA8" s="1555">
        <f t="shared" ref="AA8:AA34" si="3">D8/F8</f>
        <v>1</v>
      </c>
      <c r="AB8" s="1555">
        <f t="shared" ref="AB8:AB34" si="4">D8/H8</f>
        <v>1</v>
      </c>
      <c r="AC8" s="1555">
        <f t="shared" ref="AC8:AC34" si="5">D8/J8</f>
        <v>1</v>
      </c>
    </row>
    <row r="9" spans="1:29" s="1214" customFormat="1" ht="15.75" thickBot="1">
      <c r="A9" s="2867"/>
      <c r="B9" s="2874" t="s">
        <v>2750</v>
      </c>
      <c r="C9" s="3196" t="s">
        <v>3203</v>
      </c>
      <c r="D9" s="253">
        <v>100</v>
      </c>
      <c r="E9" s="859" t="s">
        <v>3202</v>
      </c>
      <c r="F9" s="253">
        <f>SUMIF(51:51,E9,52:52)-SUMIF(51:51,C9,52:52)+100</f>
        <v>100</v>
      </c>
      <c r="G9" s="859" t="s">
        <v>3202</v>
      </c>
      <c r="H9" s="253">
        <f>SUMIF(51:51,G9,52:52)-SUMIF(51:51,C9,52:52)+100</f>
        <v>100</v>
      </c>
      <c r="I9" s="859" t="s">
        <v>3202</v>
      </c>
      <c r="J9" s="253">
        <f>SUMIF(51:51,I9,52:52)-SUMIF(51:51,C9,52:52)+100</f>
        <v>100</v>
      </c>
      <c r="K9" s="523"/>
      <c r="L9" s="2118"/>
      <c r="M9" s="2119"/>
      <c r="N9" s="2119"/>
      <c r="O9" s="2120"/>
      <c r="P9" s="3393" t="s">
        <v>535</v>
      </c>
      <c r="Q9" s="1145" t="str">
        <f t="shared" ref="Q9:Q14" si="6">B9</f>
        <v>用途</v>
      </c>
      <c r="R9" s="1552" t="s">
        <v>8</v>
      </c>
      <c r="S9" s="1553">
        <f t="shared" si="0"/>
        <v>100</v>
      </c>
      <c r="T9" s="1552" t="s">
        <v>8</v>
      </c>
      <c r="U9" s="1553">
        <f t="shared" si="1"/>
        <v>100</v>
      </c>
      <c r="V9" s="1552" t="s">
        <v>8</v>
      </c>
      <c r="W9" s="1553">
        <f t="shared" si="2"/>
        <v>100</v>
      </c>
      <c r="X9" s="1554"/>
      <c r="Y9" s="3339" t="s">
        <v>536</v>
      </c>
      <c r="Z9" s="1144" t="str">
        <f t="shared" ref="Z9:Z14" si="7">Q9</f>
        <v>用途</v>
      </c>
      <c r="AA9" s="1555">
        <f t="shared" si="3"/>
        <v>1</v>
      </c>
      <c r="AB9" s="1555">
        <f t="shared" si="4"/>
        <v>1</v>
      </c>
      <c r="AC9" s="1555">
        <f t="shared" si="5"/>
        <v>1</v>
      </c>
    </row>
    <row r="10" spans="1:29" s="1332" customFormat="1" ht="27" hidden="1">
      <c r="A10" s="2868"/>
      <c r="B10" s="2873" t="s">
        <v>2751</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393"/>
      <c r="Q10" s="1145" t="str">
        <f t="shared" si="6"/>
        <v>土地使用年限（年）</v>
      </c>
      <c r="R10" s="1552" t="s">
        <v>8</v>
      </c>
      <c r="S10" s="1553">
        <f t="shared" si="0"/>
        <v>100</v>
      </c>
      <c r="T10" s="1552" t="s">
        <v>8</v>
      </c>
      <c r="U10" s="1553">
        <f t="shared" si="1"/>
        <v>100</v>
      </c>
      <c r="V10" s="1552" t="s">
        <v>8</v>
      </c>
      <c r="W10" s="1553">
        <f t="shared" si="2"/>
        <v>100</v>
      </c>
      <c r="X10" s="1554"/>
      <c r="Y10" s="3339"/>
      <c r="Z10" s="1144" t="str">
        <f t="shared" si="7"/>
        <v>土地使用年限（年）</v>
      </c>
      <c r="AA10" s="1555">
        <f t="shared" si="3"/>
        <v>1</v>
      </c>
      <c r="AB10" s="1555">
        <f t="shared" si="4"/>
        <v>1</v>
      </c>
      <c r="AC10" s="1555">
        <f t="shared" si="5"/>
        <v>1</v>
      </c>
    </row>
    <row r="11" spans="1:29" ht="15" hidden="1">
      <c r="A11" s="2870"/>
      <c r="B11" s="2876">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393"/>
      <c r="Q11" s="1145">
        <f t="shared" si="6"/>
        <v>111</v>
      </c>
      <c r="R11" s="1552" t="s">
        <v>8</v>
      </c>
      <c r="S11" s="1553">
        <f t="shared" si="0"/>
        <v>100</v>
      </c>
      <c r="T11" s="1552" t="s">
        <v>8</v>
      </c>
      <c r="U11" s="1553">
        <f t="shared" si="1"/>
        <v>100</v>
      </c>
      <c r="V11" s="1552" t="s">
        <v>8</v>
      </c>
      <c r="W11" s="1553">
        <f t="shared" si="2"/>
        <v>100</v>
      </c>
      <c r="X11" s="1554"/>
      <c r="Y11" s="3339"/>
      <c r="Z11" s="1144">
        <f t="shared" si="7"/>
        <v>111</v>
      </c>
      <c r="AA11" s="1555">
        <f t="shared" si="3"/>
        <v>1</v>
      </c>
      <c r="AB11" s="1555">
        <f t="shared" si="4"/>
        <v>1</v>
      </c>
      <c r="AC11" s="1555">
        <f t="shared" si="5"/>
        <v>1</v>
      </c>
    </row>
    <row r="12" spans="1:29" s="1214" customFormat="1" ht="15" hidden="1">
      <c r="A12" s="2870"/>
      <c r="B12" s="2876">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393"/>
      <c r="Q12" s="1145">
        <f t="shared" si="6"/>
        <v>111</v>
      </c>
      <c r="R12" s="1552" t="s">
        <v>8</v>
      </c>
      <c r="S12" s="1553">
        <f t="shared" si="0"/>
        <v>100</v>
      </c>
      <c r="T12" s="1552" t="s">
        <v>8</v>
      </c>
      <c r="U12" s="1553">
        <f t="shared" si="1"/>
        <v>100</v>
      </c>
      <c r="V12" s="1552" t="s">
        <v>8</v>
      </c>
      <c r="W12" s="1553">
        <f t="shared" si="2"/>
        <v>100</v>
      </c>
      <c r="X12" s="1554"/>
      <c r="Y12" s="3339"/>
      <c r="Z12" s="1144">
        <f t="shared" si="7"/>
        <v>111</v>
      </c>
      <c r="AA12" s="1555">
        <f>D12/F12</f>
        <v>1</v>
      </c>
      <c r="AB12" s="1555">
        <f>D12/H12</f>
        <v>1</v>
      </c>
      <c r="AC12" s="1555">
        <f>D12/J12</f>
        <v>1</v>
      </c>
    </row>
    <row r="13" spans="1:29" ht="15.75" hidden="1" thickBot="1">
      <c r="A13" s="2871"/>
      <c r="B13" s="2877">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393"/>
      <c r="Q13" s="1145">
        <f t="shared" si="6"/>
        <v>111</v>
      </c>
      <c r="R13" s="1552" t="s">
        <v>8</v>
      </c>
      <c r="S13" s="1553">
        <f t="shared" si="0"/>
        <v>100</v>
      </c>
      <c r="T13" s="1552" t="s">
        <v>8</v>
      </c>
      <c r="U13" s="1553">
        <f t="shared" si="1"/>
        <v>100</v>
      </c>
      <c r="V13" s="1552" t="s">
        <v>8</v>
      </c>
      <c r="W13" s="1553">
        <f t="shared" si="2"/>
        <v>100</v>
      </c>
      <c r="X13" s="1554"/>
      <c r="Y13" s="3339"/>
      <c r="Z13" s="1144">
        <f t="shared" si="7"/>
        <v>111</v>
      </c>
      <c r="AA13" s="1555">
        <f t="shared" si="3"/>
        <v>1</v>
      </c>
      <c r="AB13" s="1555">
        <f t="shared" si="4"/>
        <v>1</v>
      </c>
      <c r="AC13" s="1555">
        <f t="shared" si="5"/>
        <v>1</v>
      </c>
    </row>
    <row r="14" spans="1:29" ht="85.5">
      <c r="A14" s="2863" t="s">
        <v>2748</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f>'不动产比较法-车位'!K14</f>
        <v>2</v>
      </c>
      <c r="L14" s="2125"/>
      <c r="M14" s="2117"/>
      <c r="N14" s="2117"/>
      <c r="O14" s="2124"/>
      <c r="P14" s="3427" t="s">
        <v>540</v>
      </c>
      <c r="Q14" s="1556" t="str">
        <f t="shared" si="6"/>
        <v>交通便捷度</v>
      </c>
      <c r="R14" s="1557" t="s">
        <v>8</v>
      </c>
      <c r="S14" s="1558">
        <f t="shared" si="0"/>
        <v>100</v>
      </c>
      <c r="T14" s="1557" t="s">
        <v>8</v>
      </c>
      <c r="U14" s="1558">
        <f t="shared" si="1"/>
        <v>100</v>
      </c>
      <c r="V14" s="1557" t="s">
        <v>8</v>
      </c>
      <c r="W14" s="1558">
        <f t="shared" si="2"/>
        <v>100</v>
      </c>
      <c r="X14" s="1551"/>
      <c r="Y14" s="3427" t="s">
        <v>540</v>
      </c>
      <c r="Z14" s="1559" t="str">
        <f t="shared" si="7"/>
        <v>交通便捷度</v>
      </c>
      <c r="AA14" s="1560">
        <f t="shared" si="3"/>
        <v>1</v>
      </c>
      <c r="AB14" s="1560">
        <f t="shared" si="4"/>
        <v>1</v>
      </c>
      <c r="AC14" s="1560">
        <f t="shared" si="5"/>
        <v>1</v>
      </c>
    </row>
    <row r="15" spans="1:29" ht="15">
      <c r="A15" s="531"/>
      <c r="B15" s="868"/>
      <c r="C15" s="575" t="s">
        <v>3123</v>
      </c>
      <c r="D15" s="554"/>
      <c r="E15" s="3197" t="s">
        <v>3123</v>
      </c>
      <c r="F15" s="556"/>
      <c r="G15" s="3197" t="s">
        <v>3123</v>
      </c>
      <c r="H15" s="558"/>
      <c r="I15" s="3197" t="s">
        <v>3123</v>
      </c>
      <c r="J15" s="554"/>
      <c r="K15" s="897"/>
      <c r="L15" s="2125"/>
      <c r="M15" s="2117"/>
      <c r="N15" s="2117"/>
      <c r="O15" s="2124"/>
      <c r="P15" s="3428"/>
      <c r="Q15" s="1556"/>
      <c r="R15" s="1557"/>
      <c r="S15" s="1558"/>
      <c r="T15" s="1557"/>
      <c r="U15" s="1558"/>
      <c r="V15" s="1557"/>
      <c r="W15" s="1558"/>
      <c r="X15" s="1551"/>
      <c r="Y15" s="3428"/>
      <c r="Z15" s="1559"/>
      <c r="AA15" s="1560">
        <v>1</v>
      </c>
      <c r="AB15" s="1560">
        <v>1</v>
      </c>
      <c r="AC15" s="1560">
        <v>1</v>
      </c>
    </row>
    <row r="16" spans="1:29" ht="42.75">
      <c r="A16" s="531"/>
      <c r="B16" s="2565" t="s">
        <v>2542</v>
      </c>
      <c r="C16" s="871" t="str">
        <f>IF(B1="工业",估价对象房地状况!G5,估价对象房地状况!C7)</f>
        <v>估价对象所在区域公共配套设施齐备情况</v>
      </c>
      <c r="D16" s="564">
        <v>100</v>
      </c>
      <c r="E16" s="569"/>
      <c r="F16" s="570">
        <f>SUMIF(63:63,E17,64:64)-SUMIF(63:63,C17,64:64)+100</f>
        <v>100</v>
      </c>
      <c r="G16" s="569"/>
      <c r="H16" s="564">
        <f>SUMIF(63:63,G17,64:64)-SUMIF(63:63,C17,64:64)+100</f>
        <v>100</v>
      </c>
      <c r="I16" s="569"/>
      <c r="J16" s="564">
        <f>SUMIF(63:63,I17,64:64)-SUMIF(63:63,C17,64:64)+100</f>
        <v>100</v>
      </c>
      <c r="K16" s="896">
        <f>'不动产比较法-车位'!K16</f>
        <v>3</v>
      </c>
      <c r="L16" s="2125"/>
      <c r="M16" s="2117"/>
      <c r="N16" s="2117"/>
      <c r="O16" s="2124"/>
      <c r="P16" s="3428"/>
      <c r="Q16" s="1556" t="str">
        <f>B16</f>
        <v>公共配套设施</v>
      </c>
      <c r="R16" s="1557" t="s">
        <v>8</v>
      </c>
      <c r="S16" s="1558">
        <f>F16</f>
        <v>100</v>
      </c>
      <c r="T16" s="1557" t="s">
        <v>8</v>
      </c>
      <c r="U16" s="1558">
        <f>H16</f>
        <v>100</v>
      </c>
      <c r="V16" s="1557" t="s">
        <v>8</v>
      </c>
      <c r="W16" s="1558">
        <f>J16</f>
        <v>100</v>
      </c>
      <c r="X16" s="1551"/>
      <c r="Y16" s="3428"/>
      <c r="Z16" s="1559" t="str">
        <f>Q16</f>
        <v>公共配套设施</v>
      </c>
      <c r="AA16" s="1560">
        <f t="shared" si="3"/>
        <v>1</v>
      </c>
      <c r="AB16" s="1560">
        <f t="shared" si="4"/>
        <v>1</v>
      </c>
      <c r="AC16" s="1560">
        <f t="shared" si="5"/>
        <v>1</v>
      </c>
    </row>
    <row r="17" spans="1:29" ht="15">
      <c r="A17" s="531"/>
      <c r="B17" s="565"/>
      <c r="C17" s="872" t="s">
        <v>3125</v>
      </c>
      <c r="D17" s="554"/>
      <c r="E17" s="3197" t="s">
        <v>3204</v>
      </c>
      <c r="F17" s="556"/>
      <c r="G17" s="3197" t="s">
        <v>3204</v>
      </c>
      <c r="H17" s="554"/>
      <c r="I17" s="3197" t="s">
        <v>3204</v>
      </c>
      <c r="J17" s="554"/>
      <c r="K17" s="897"/>
      <c r="L17" s="2125"/>
      <c r="M17" s="2117"/>
      <c r="N17" s="2117"/>
      <c r="O17" s="2124"/>
      <c r="P17" s="3428"/>
      <c r="Q17" s="1556"/>
      <c r="R17" s="1557"/>
      <c r="S17" s="1558"/>
      <c r="T17" s="1557"/>
      <c r="U17" s="1558"/>
      <c r="V17" s="1557"/>
      <c r="W17" s="1558"/>
      <c r="X17" s="1551"/>
      <c r="Y17" s="3428"/>
      <c r="Z17" s="1559"/>
      <c r="AA17" s="1560">
        <v>1</v>
      </c>
      <c r="AB17" s="1560">
        <v>1</v>
      </c>
      <c r="AC17" s="1560">
        <v>1</v>
      </c>
    </row>
    <row r="18" spans="1:29" ht="28.5">
      <c r="A18" s="531"/>
      <c r="B18" s="2553" t="s">
        <v>2554</v>
      </c>
      <c r="C18" s="871" t="str">
        <f>IF(B1="工业",估价对象房地状况!G6,估价对象房地状况!C8)</f>
        <v>估价对象所在区域基础设施水平</v>
      </c>
      <c r="D18" s="558">
        <v>100</v>
      </c>
      <c r="E18" s="561"/>
      <c r="F18" s="562">
        <f>SUMIF(65:65,E19,66:66)-SUMIF(65:65,C19,66:66)+100</f>
        <v>100</v>
      </c>
      <c r="G18" s="561"/>
      <c r="H18" s="564">
        <f>SUMIF(65:65,G19,66:66)-SUMIF(65:65,C19,66:66)+100</f>
        <v>100</v>
      </c>
      <c r="I18" s="561"/>
      <c r="J18" s="564">
        <f>SUMIF(65:65,I19,66:66)-SUMIF(65:65,C19,66:66)+100</f>
        <v>100</v>
      </c>
      <c r="K18" s="896">
        <f>'不动产比较法-车位'!K18</f>
        <v>2</v>
      </c>
      <c r="L18" s="2125"/>
      <c r="M18" s="2117"/>
      <c r="N18" s="2117"/>
      <c r="O18" s="2124"/>
      <c r="P18" s="3428"/>
      <c r="Q18" s="2541" t="str">
        <f>B18</f>
        <v>基础设施水平</v>
      </c>
      <c r="R18" s="1557" t="s">
        <v>8</v>
      </c>
      <c r="S18" s="1558">
        <f>F18</f>
        <v>100</v>
      </c>
      <c r="T18" s="1557" t="s">
        <v>8</v>
      </c>
      <c r="U18" s="1558">
        <f>H18</f>
        <v>100</v>
      </c>
      <c r="V18" s="1557" t="s">
        <v>8</v>
      </c>
      <c r="W18" s="1558">
        <f>J18</f>
        <v>100</v>
      </c>
      <c r="X18" s="2543"/>
      <c r="Y18" s="3428"/>
      <c r="Z18" s="2542" t="str">
        <f>Q18</f>
        <v>基础设施水平</v>
      </c>
      <c r="AA18" s="1560">
        <f t="shared" ref="AA18" si="8">D18/F18</f>
        <v>1</v>
      </c>
      <c r="AB18" s="1560">
        <f t="shared" ref="AB18" si="9">D18/H18</f>
        <v>1</v>
      </c>
      <c r="AC18" s="1560">
        <f t="shared" ref="AC18" si="10">D18/J18</f>
        <v>1</v>
      </c>
    </row>
    <row r="19" spans="1:29" ht="15">
      <c r="A19" s="531"/>
      <c r="B19" s="577"/>
      <c r="C19" s="872" t="s">
        <v>3126</v>
      </c>
      <c r="D19" s="558"/>
      <c r="E19" s="3198" t="s">
        <v>3205</v>
      </c>
      <c r="F19" s="562"/>
      <c r="G19" s="3198" t="s">
        <v>3205</v>
      </c>
      <c r="H19" s="554"/>
      <c r="I19" s="3198" t="s">
        <v>3205</v>
      </c>
      <c r="J19" s="554"/>
      <c r="K19" s="2564"/>
      <c r="L19" s="2125"/>
      <c r="M19" s="2117"/>
      <c r="N19" s="2117"/>
      <c r="O19" s="2124"/>
      <c r="P19" s="3428"/>
      <c r="Q19" s="2541"/>
      <c r="R19" s="1557"/>
      <c r="S19" s="1558"/>
      <c r="T19" s="1557"/>
      <c r="U19" s="1558"/>
      <c r="V19" s="1557"/>
      <c r="W19" s="1558"/>
      <c r="X19" s="2543"/>
      <c r="Y19" s="3428"/>
      <c r="Z19" s="2542"/>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105</v>
      </c>
      <c r="G20" s="569"/>
      <c r="H20" s="558">
        <f>SUMIF(67:67,G21,68:68)-SUMIF(67:67,C21,68:68)+100</f>
        <v>105</v>
      </c>
      <c r="I20" s="569"/>
      <c r="J20" s="558">
        <f>SUMIF(67:67,I21,68:68)-SUMIF(67:67,C21,68:68)+100</f>
        <v>105</v>
      </c>
      <c r="K20" s="896">
        <f>'不动产比较法-车位'!K20</f>
        <v>5</v>
      </c>
      <c r="L20" s="2125"/>
      <c r="M20" s="2117"/>
      <c r="N20" s="2117"/>
      <c r="O20" s="2124"/>
      <c r="P20" s="3428"/>
      <c r="Q20" s="1556" t="str">
        <f>B20</f>
        <v>自然及人文环境</v>
      </c>
      <c r="R20" s="1557" t="s">
        <v>8</v>
      </c>
      <c r="S20" s="1558">
        <f>F20</f>
        <v>105</v>
      </c>
      <c r="T20" s="1557" t="s">
        <v>8</v>
      </c>
      <c r="U20" s="1558">
        <f>H20</f>
        <v>105</v>
      </c>
      <c r="V20" s="1557" t="s">
        <v>8</v>
      </c>
      <c r="W20" s="1558">
        <f>J20</f>
        <v>105</v>
      </c>
      <c r="X20" s="1551"/>
      <c r="Y20" s="3428"/>
      <c r="Z20" s="1559" t="str">
        <f>Q20</f>
        <v>自然及人文环境</v>
      </c>
      <c r="AA20" s="1560">
        <f t="shared" si="3"/>
        <v>0.95238095238095233</v>
      </c>
      <c r="AB20" s="1560">
        <f t="shared" si="4"/>
        <v>0.95238095238095233</v>
      </c>
      <c r="AC20" s="1560">
        <f t="shared" si="5"/>
        <v>0.95238095238095233</v>
      </c>
    </row>
    <row r="21" spans="1:29" ht="15.75" thickBot="1">
      <c r="A21" s="531"/>
      <c r="B21" s="594"/>
      <c r="C21" s="575" t="s">
        <v>3125</v>
      </c>
      <c r="D21" s="554"/>
      <c r="E21" s="3197" t="s">
        <v>3206</v>
      </c>
      <c r="F21" s="556"/>
      <c r="G21" s="3197" t="s">
        <v>3206</v>
      </c>
      <c r="H21" s="554"/>
      <c r="I21" s="3197" t="s">
        <v>3206</v>
      </c>
      <c r="J21" s="554"/>
      <c r="K21" s="897"/>
      <c r="L21" s="2125"/>
      <c r="M21" s="2117"/>
      <c r="N21" s="2117"/>
      <c r="O21" s="2124"/>
      <c r="P21" s="3428"/>
      <c r="Q21" s="1556"/>
      <c r="R21" s="1557"/>
      <c r="S21" s="1558"/>
      <c r="T21" s="1557"/>
      <c r="U21" s="1558"/>
      <c r="V21" s="1557"/>
      <c r="W21" s="1558"/>
      <c r="X21" s="1551"/>
      <c r="Y21" s="3428"/>
      <c r="Z21" s="1559"/>
      <c r="AA21" s="1560">
        <v>1</v>
      </c>
      <c r="AB21" s="1560">
        <v>1</v>
      </c>
      <c r="AC21" s="1560">
        <v>1</v>
      </c>
    </row>
    <row r="22" spans="1:29" ht="15" hidden="1">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28"/>
      <c r="Q22" s="1556" t="str">
        <f>B22</f>
        <v>楼层</v>
      </c>
      <c r="R22" s="1557" t="s">
        <v>8</v>
      </c>
      <c r="S22" s="1558">
        <f>F22</f>
        <v>100</v>
      </c>
      <c r="T22" s="1557" t="s">
        <v>8</v>
      </c>
      <c r="U22" s="1558">
        <f>H22</f>
        <v>100</v>
      </c>
      <c r="V22" s="1557" t="s">
        <v>8</v>
      </c>
      <c r="W22" s="1558">
        <f>J22</f>
        <v>100</v>
      </c>
      <c r="X22" s="1551"/>
      <c r="Y22" s="3428"/>
      <c r="Z22" s="1559" t="str">
        <f>Q22</f>
        <v>楼层</v>
      </c>
      <c r="AA22" s="1560">
        <f t="shared" si="3"/>
        <v>1</v>
      </c>
      <c r="AB22" s="1560">
        <f t="shared" si="4"/>
        <v>1</v>
      </c>
      <c r="AC22" s="1560">
        <f t="shared" si="5"/>
        <v>1</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28"/>
      <c r="Q23" s="1556">
        <f>B23</f>
        <v>111</v>
      </c>
      <c r="R23" s="1557" t="s">
        <v>8</v>
      </c>
      <c r="S23" s="1558">
        <f>F23</f>
        <v>100</v>
      </c>
      <c r="T23" s="1557" t="s">
        <v>8</v>
      </c>
      <c r="U23" s="1558">
        <f>H23</f>
        <v>100</v>
      </c>
      <c r="V23" s="1557" t="s">
        <v>8</v>
      </c>
      <c r="W23" s="1558">
        <f>J23</f>
        <v>100</v>
      </c>
      <c r="X23" s="1551"/>
      <c r="Y23" s="3428"/>
      <c r="Z23" s="1559">
        <f>Q23</f>
        <v>111</v>
      </c>
      <c r="AA23" s="1560">
        <f t="shared" si="3"/>
        <v>1</v>
      </c>
      <c r="AB23" s="1560">
        <f t="shared" si="4"/>
        <v>1</v>
      </c>
      <c r="AC23" s="1560">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28"/>
      <c r="Q24" s="1556">
        <f t="shared" ref="Q24:Q34" si="11">B24</f>
        <v>111</v>
      </c>
      <c r="R24" s="1557" t="s">
        <v>8</v>
      </c>
      <c r="S24" s="1558">
        <f>F24</f>
        <v>100</v>
      </c>
      <c r="T24" s="1557" t="s">
        <v>8</v>
      </c>
      <c r="U24" s="1558">
        <f>H24</f>
        <v>100</v>
      </c>
      <c r="V24" s="1557" t="s">
        <v>8</v>
      </c>
      <c r="W24" s="1558">
        <f>J24</f>
        <v>100</v>
      </c>
      <c r="X24" s="1551"/>
      <c r="Y24" s="3428"/>
      <c r="Z24" s="1559">
        <f>Q24</f>
        <v>111</v>
      </c>
      <c r="AA24" s="1560">
        <f t="shared" si="3"/>
        <v>1</v>
      </c>
      <c r="AB24" s="1560">
        <f t="shared" si="4"/>
        <v>1</v>
      </c>
      <c r="AC24" s="1560">
        <f t="shared" si="5"/>
        <v>1</v>
      </c>
    </row>
    <row r="25" spans="1:29" s="1214" customFormat="1" ht="15.75" hidden="1"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428"/>
      <c r="Q25" s="1145">
        <f t="shared" si="11"/>
        <v>111</v>
      </c>
      <c r="R25" s="1552" t="s">
        <v>8</v>
      </c>
      <c r="S25" s="1553">
        <f>F25</f>
        <v>100</v>
      </c>
      <c r="T25" s="1552" t="s">
        <v>8</v>
      </c>
      <c r="U25" s="1553">
        <f>H25</f>
        <v>100</v>
      </c>
      <c r="V25" s="1552" t="s">
        <v>8</v>
      </c>
      <c r="W25" s="1553">
        <f>J25</f>
        <v>100</v>
      </c>
      <c r="X25" s="1554"/>
      <c r="Y25" s="3428"/>
      <c r="Z25" s="1144">
        <f>Q25</f>
        <v>111</v>
      </c>
      <c r="AA25" s="1560">
        <f>D25/F25</f>
        <v>1</v>
      </c>
      <c r="AB25" s="1560">
        <f>D25/H25</f>
        <v>1</v>
      </c>
      <c r="AC25" s="1560">
        <f>D25/J25</f>
        <v>1</v>
      </c>
    </row>
    <row r="26" spans="1:29" ht="15">
      <c r="A26" s="2860" t="s">
        <v>2749</v>
      </c>
      <c r="B26" s="172" t="s">
        <v>808</v>
      </c>
      <c r="C26" s="914" t="s">
        <v>3207</v>
      </c>
      <c r="D26" s="596">
        <v>100</v>
      </c>
      <c r="E26" s="914" t="s">
        <v>3207</v>
      </c>
      <c r="F26" s="941">
        <f>SUMIF(77:77,E26,78:78)-SUMIF(77:77,C26,78:78)+100</f>
        <v>100</v>
      </c>
      <c r="G26" s="914" t="s">
        <v>3207</v>
      </c>
      <c r="H26" s="596">
        <f>SUMIF(77:77,G26,78:78)-SUMIF(77:77,C26,78:78)+100</f>
        <v>100</v>
      </c>
      <c r="I26" s="914" t="s">
        <v>3207</v>
      </c>
      <c r="J26" s="596">
        <f>SUMIF(77:77,I26,78:78)-SUMIF(77:77,C26,78:78)+100</f>
        <v>100</v>
      </c>
      <c r="K26" s="583">
        <v>2</v>
      </c>
      <c r="L26" s="2125"/>
      <c r="M26" s="2117"/>
      <c r="N26" s="2117"/>
      <c r="O26" s="2124"/>
      <c r="P26" s="3429"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30" t="s">
        <v>821</v>
      </c>
      <c r="Z26" s="1559" t="str">
        <f t="shared" ref="Z26:Z34" si="15">Q26</f>
        <v>公共部分装修</v>
      </c>
      <c r="AA26" s="1560">
        <f t="shared" si="3"/>
        <v>1</v>
      </c>
      <c r="AB26" s="1560">
        <f t="shared" si="4"/>
        <v>1</v>
      </c>
      <c r="AC26" s="1560">
        <f t="shared" si="5"/>
        <v>1</v>
      </c>
    </row>
    <row r="27" spans="1:29" s="1333" customFormat="1" ht="15">
      <c r="A27" s="602"/>
      <c r="B27" s="526" t="s">
        <v>809</v>
      </c>
      <c r="C27" s="881">
        <v>1</v>
      </c>
      <c r="D27" s="254">
        <v>100</v>
      </c>
      <c r="E27" s="881">
        <v>1</v>
      </c>
      <c r="F27" s="574">
        <f>LOOKUP(E27,80:80,81:81)-LOOKUP(C27,80:80,81:81)+100</f>
        <v>100</v>
      </c>
      <c r="G27" s="881">
        <v>1</v>
      </c>
      <c r="H27" s="539">
        <f>LOOKUP(G27,80:80,81:81)-LOOKUP(C27,80:80,81:81)+100</f>
        <v>100</v>
      </c>
      <c r="I27" s="881">
        <v>1</v>
      </c>
      <c r="J27" s="539">
        <f>LOOKUP(I27,80:80,81:81)-LOOKUP(C27,80:80,81:81)+100</f>
        <v>100</v>
      </c>
      <c r="K27" s="583">
        <v>1</v>
      </c>
      <c r="L27" s="2123"/>
      <c r="M27" s="2154"/>
      <c r="N27" s="2154"/>
      <c r="O27" s="2126"/>
      <c r="P27" s="3430"/>
      <c r="Q27" s="1588" t="str">
        <f t="shared" si="11"/>
        <v>成新率</v>
      </c>
      <c r="R27" s="1561" t="s">
        <v>8</v>
      </c>
      <c r="S27" s="1562">
        <f t="shared" si="12"/>
        <v>100</v>
      </c>
      <c r="T27" s="1561" t="s">
        <v>8</v>
      </c>
      <c r="U27" s="1562">
        <f t="shared" si="13"/>
        <v>100</v>
      </c>
      <c r="V27" s="1561" t="s">
        <v>8</v>
      </c>
      <c r="W27" s="1562">
        <f t="shared" si="14"/>
        <v>100</v>
      </c>
      <c r="X27" s="1563"/>
      <c r="Y27" s="3430"/>
      <c r="Z27" s="1564" t="str">
        <f t="shared" si="15"/>
        <v>成新率</v>
      </c>
      <c r="AA27" s="1560">
        <f t="shared" si="3"/>
        <v>1</v>
      </c>
      <c r="AB27" s="1560">
        <f t="shared" si="4"/>
        <v>1</v>
      </c>
      <c r="AC27" s="1560">
        <f t="shared" si="5"/>
        <v>1</v>
      </c>
    </row>
    <row r="28" spans="1:29" ht="17.25" customHeight="1" thickBot="1">
      <c r="A28" s="593"/>
      <c r="B28" s="526" t="s">
        <v>810</v>
      </c>
      <c r="C28" s="573" t="s">
        <v>3208</v>
      </c>
      <c r="D28" s="539">
        <v>100</v>
      </c>
      <c r="E28" s="573" t="s">
        <v>3208</v>
      </c>
      <c r="F28" s="574">
        <f>SUMIF(82:82,E28,83:83)-SUMIF(82:82,C28,83:83)+100</f>
        <v>100</v>
      </c>
      <c r="G28" s="573" t="s">
        <v>3208</v>
      </c>
      <c r="H28" s="539">
        <f>SUMIF(82:82,G28,83:83)-SUMIF(82:82,C28,83:83)+100</f>
        <v>100</v>
      </c>
      <c r="I28" s="573" t="s">
        <v>3208</v>
      </c>
      <c r="J28" s="539">
        <f>SUMIF(82:82,I28,83:83)-SUMIF(82:82,C28,83:83)+100</f>
        <v>100</v>
      </c>
      <c r="K28" s="583">
        <v>2</v>
      </c>
      <c r="L28" s="2125"/>
      <c r="M28" s="2117"/>
      <c r="N28" s="2117"/>
      <c r="O28" s="2124"/>
      <c r="P28" s="3430"/>
      <c r="Q28" s="1556" t="str">
        <f t="shared" si="11"/>
        <v>物业等级</v>
      </c>
      <c r="R28" s="1557" t="s">
        <v>8</v>
      </c>
      <c r="S28" s="1558">
        <f t="shared" si="12"/>
        <v>100</v>
      </c>
      <c r="T28" s="1557" t="s">
        <v>8</v>
      </c>
      <c r="U28" s="1558">
        <f t="shared" si="13"/>
        <v>100</v>
      </c>
      <c r="V28" s="1557" t="s">
        <v>8</v>
      </c>
      <c r="W28" s="1558">
        <f t="shared" si="14"/>
        <v>100</v>
      </c>
      <c r="X28" s="1551"/>
      <c r="Y28" s="3430"/>
      <c r="Z28" s="1559" t="str">
        <f t="shared" si="15"/>
        <v>物业等级</v>
      </c>
      <c r="AA28" s="1560">
        <f t="shared" si="3"/>
        <v>1</v>
      </c>
      <c r="AB28" s="1560">
        <f t="shared" si="4"/>
        <v>1</v>
      </c>
      <c r="AC28" s="1560">
        <f t="shared" si="5"/>
        <v>1</v>
      </c>
    </row>
    <row r="29" spans="1:29" ht="15.75" hidden="1" customHeight="1">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430"/>
      <c r="Q29" s="1556" t="str">
        <f t="shared" si="11"/>
        <v>有无电梯</v>
      </c>
      <c r="R29" s="1557" t="s">
        <v>8</v>
      </c>
      <c r="S29" s="1558">
        <f t="shared" si="12"/>
        <v>100</v>
      </c>
      <c r="T29" s="1557" t="s">
        <v>8</v>
      </c>
      <c r="U29" s="1558">
        <f t="shared" si="13"/>
        <v>100</v>
      </c>
      <c r="V29" s="1557" t="s">
        <v>8</v>
      </c>
      <c r="W29" s="1558">
        <f t="shared" si="14"/>
        <v>100</v>
      </c>
      <c r="X29" s="1551"/>
      <c r="Y29" s="3430"/>
      <c r="Z29" s="1559" t="str">
        <f t="shared" si="15"/>
        <v>有无电梯</v>
      </c>
      <c r="AA29" s="1560">
        <f t="shared" si="3"/>
        <v>1</v>
      </c>
      <c r="AB29" s="1560">
        <f t="shared" si="4"/>
        <v>1</v>
      </c>
      <c r="AC29" s="1560">
        <f t="shared" si="5"/>
        <v>1</v>
      </c>
    </row>
    <row r="30" spans="1:29" ht="15" hidden="1">
      <c r="A30" s="593"/>
      <c r="B30" s="526" t="s">
        <v>823</v>
      </c>
      <c r="C30" s="878"/>
      <c r="D30" s="539">
        <v>100</v>
      </c>
      <c r="E30" s="878"/>
      <c r="F30" s="574">
        <f>LOOKUP(E30,87:87,88:88)-LOOKUP(C30,87:87,88:88)+100</f>
        <v>100</v>
      </c>
      <c r="G30" s="878"/>
      <c r="H30" s="539">
        <f>LOOKUP(G30,87:87,88:88)-LOOKUP(C30,87:87,88:88)+100</f>
        <v>100</v>
      </c>
      <c r="I30" s="878"/>
      <c r="J30" s="539">
        <f>LOOKUP(I30,87:87,88:88)-LOOKUP(C30,87:87,88:88)+100</f>
        <v>100</v>
      </c>
      <c r="K30" s="580"/>
      <c r="L30" s="2125"/>
      <c r="M30" s="2117"/>
      <c r="N30" s="2117"/>
      <c r="O30" s="2124"/>
      <c r="P30" s="3430"/>
      <c r="Q30" s="1556" t="str">
        <f t="shared" si="11"/>
        <v>建筑面积</v>
      </c>
      <c r="R30" s="1557" t="s">
        <v>8</v>
      </c>
      <c r="S30" s="1558">
        <f t="shared" si="12"/>
        <v>100</v>
      </c>
      <c r="T30" s="1557" t="s">
        <v>8</v>
      </c>
      <c r="U30" s="1558">
        <f t="shared" si="13"/>
        <v>100</v>
      </c>
      <c r="V30" s="1557" t="s">
        <v>8</v>
      </c>
      <c r="W30" s="1558">
        <f t="shared" si="14"/>
        <v>100</v>
      </c>
      <c r="X30" s="1551"/>
      <c r="Y30" s="3430"/>
      <c r="Z30" s="1559" t="str">
        <f t="shared" si="15"/>
        <v>建筑面积</v>
      </c>
      <c r="AA30" s="1560">
        <f t="shared" si="3"/>
        <v>1</v>
      </c>
      <c r="AB30" s="1560">
        <f t="shared" si="4"/>
        <v>1</v>
      </c>
      <c r="AC30" s="1560">
        <f t="shared" si="5"/>
        <v>1</v>
      </c>
    </row>
    <row r="31" spans="1:29" s="1214" customFormat="1" ht="15" hidden="1">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430"/>
      <c r="Q31" s="1145" t="str">
        <f t="shared" si="11"/>
        <v>是否封闭</v>
      </c>
      <c r="R31" s="1552" t="s">
        <v>8</v>
      </c>
      <c r="S31" s="1553">
        <f t="shared" si="12"/>
        <v>100</v>
      </c>
      <c r="T31" s="1552" t="s">
        <v>8</v>
      </c>
      <c r="U31" s="1553">
        <f t="shared" si="13"/>
        <v>100</v>
      </c>
      <c r="V31" s="1552" t="s">
        <v>8</v>
      </c>
      <c r="W31" s="1553">
        <f t="shared" si="14"/>
        <v>100</v>
      </c>
      <c r="X31" s="1554"/>
      <c r="Y31" s="3430"/>
      <c r="Z31" s="1144" t="str">
        <f t="shared" si="15"/>
        <v>是否封闭</v>
      </c>
      <c r="AA31" s="1555">
        <f t="shared" si="3"/>
        <v>1</v>
      </c>
      <c r="AB31" s="1555">
        <f t="shared" si="4"/>
        <v>1</v>
      </c>
      <c r="AC31" s="1555">
        <f t="shared" si="5"/>
        <v>1</v>
      </c>
    </row>
    <row r="32" spans="1:29" ht="15" hidden="1">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430" t="s">
        <v>550</v>
      </c>
      <c r="Q32" s="1556">
        <f t="shared" si="11"/>
        <v>111</v>
      </c>
      <c r="R32" s="1557" t="s">
        <v>8</v>
      </c>
      <c r="S32" s="1558">
        <f t="shared" si="12"/>
        <v>100</v>
      </c>
      <c r="T32" s="1557" t="s">
        <v>8</v>
      </c>
      <c r="U32" s="1558">
        <f t="shared" si="13"/>
        <v>100</v>
      </c>
      <c r="V32" s="1557" t="s">
        <v>8</v>
      </c>
      <c r="W32" s="1558">
        <f t="shared" si="14"/>
        <v>100</v>
      </c>
      <c r="X32" s="1551"/>
      <c r="Y32" s="3430" t="s">
        <v>550</v>
      </c>
      <c r="Z32" s="1559">
        <f t="shared" si="15"/>
        <v>111</v>
      </c>
      <c r="AA32" s="1560">
        <f t="shared" si="3"/>
        <v>1</v>
      </c>
      <c r="AB32" s="1560">
        <f t="shared" si="4"/>
        <v>1</v>
      </c>
      <c r="AC32" s="1560">
        <f t="shared" si="5"/>
        <v>1</v>
      </c>
    </row>
    <row r="33" spans="1:29" ht="15" hidden="1">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430"/>
      <c r="Q33" s="1556">
        <f t="shared" si="11"/>
        <v>111</v>
      </c>
      <c r="R33" s="1557" t="s">
        <v>8</v>
      </c>
      <c r="S33" s="1558">
        <f t="shared" si="12"/>
        <v>100</v>
      </c>
      <c r="T33" s="1557" t="s">
        <v>8</v>
      </c>
      <c r="U33" s="1558">
        <f t="shared" si="13"/>
        <v>100</v>
      </c>
      <c r="V33" s="1557" t="s">
        <v>8</v>
      </c>
      <c r="W33" s="1558">
        <f t="shared" si="14"/>
        <v>100</v>
      </c>
      <c r="X33" s="1551"/>
      <c r="Y33" s="3430"/>
      <c r="Z33" s="1559">
        <f t="shared" si="15"/>
        <v>111</v>
      </c>
      <c r="AA33" s="1560">
        <f t="shared" si="3"/>
        <v>1</v>
      </c>
      <c r="AB33" s="1560">
        <f t="shared" si="4"/>
        <v>1</v>
      </c>
      <c r="AC33" s="1560">
        <f t="shared" si="5"/>
        <v>1</v>
      </c>
    </row>
    <row r="34" spans="1:29" ht="15.75" hidden="1"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430"/>
      <c r="Q34" s="1556">
        <f t="shared" si="11"/>
        <v>111</v>
      </c>
      <c r="R34" s="1557" t="s">
        <v>8</v>
      </c>
      <c r="S34" s="1558">
        <f t="shared" si="12"/>
        <v>100</v>
      </c>
      <c r="T34" s="1557" t="s">
        <v>8</v>
      </c>
      <c r="U34" s="1558">
        <f t="shared" si="13"/>
        <v>100</v>
      </c>
      <c r="V34" s="1557" t="s">
        <v>8</v>
      </c>
      <c r="W34" s="1558">
        <f t="shared" si="14"/>
        <v>100</v>
      </c>
      <c r="X34" s="1551"/>
      <c r="Y34" s="3430"/>
      <c r="Z34" s="1559">
        <f t="shared" si="15"/>
        <v>111</v>
      </c>
      <c r="AA34" s="1560">
        <f t="shared" si="3"/>
        <v>1</v>
      </c>
      <c r="AB34" s="1560">
        <f t="shared" si="4"/>
        <v>1</v>
      </c>
      <c r="AC34" s="1560">
        <f t="shared" si="5"/>
        <v>1</v>
      </c>
    </row>
    <row r="35" spans="1:29" ht="15">
      <c r="A35" s="606" t="s">
        <v>736</v>
      </c>
      <c r="B35" s="885"/>
      <c r="C35" s="2589" t="s">
        <v>1</v>
      </c>
      <c r="D35" s="2590"/>
      <c r="E35" s="2591">
        <v>22784</v>
      </c>
      <c r="F35" s="2592"/>
      <c r="G35" s="2591">
        <v>23181</v>
      </c>
      <c r="H35" s="2594"/>
      <c r="I35" s="2591">
        <v>19771</v>
      </c>
      <c r="J35" s="2594"/>
      <c r="K35" s="1594"/>
      <c r="L35" s="2127"/>
      <c r="M35" s="2128"/>
      <c r="N35" s="2117"/>
      <c r="O35" s="2128"/>
      <c r="P35" s="3393" t="str">
        <f>A35</f>
        <v>成交单价（元/平方米）</v>
      </c>
      <c r="Q35" s="3393"/>
      <c r="R35" s="3510">
        <f>E35</f>
        <v>22784</v>
      </c>
      <c r="S35" s="3510"/>
      <c r="T35" s="3510">
        <f>G35</f>
        <v>23181</v>
      </c>
      <c r="U35" s="3510"/>
      <c r="V35" s="3510">
        <f>I35</f>
        <v>19771</v>
      </c>
      <c r="W35" s="3510"/>
      <c r="X35" s="1543"/>
      <c r="Y35" s="1565"/>
      <c r="Z35" s="1543"/>
      <c r="AA35" s="1543"/>
      <c r="AB35" s="1543"/>
      <c r="AC35" s="1543"/>
    </row>
    <row r="36" spans="1:29" ht="15.75" thickBot="1">
      <c r="A36" s="614" t="s">
        <v>2754</v>
      </c>
      <c r="B36" s="886"/>
      <c r="C36" s="2595">
        <f>R37</f>
        <v>20869</v>
      </c>
      <c r="D36" s="2596"/>
      <c r="E36" s="2597">
        <f>R36</f>
        <v>21699</v>
      </c>
      <c r="F36" s="2597"/>
      <c r="G36" s="2595">
        <f>T36</f>
        <v>22077</v>
      </c>
      <c r="H36" s="2596"/>
      <c r="I36" s="2597">
        <f>V36</f>
        <v>18830</v>
      </c>
      <c r="J36" s="2596"/>
      <c r="K36" s="1595"/>
      <c r="L36" s="2127"/>
      <c r="M36" s="2128"/>
      <c r="N36" s="2117"/>
      <c r="O36" s="2128"/>
      <c r="P36" s="3393" t="str">
        <f>A36</f>
        <v>比较价格（元/平方米）</v>
      </c>
      <c r="Q36" s="3393"/>
      <c r="R36" s="3510">
        <f>IF(F1="售价",ROUND(PRODUCT(R35,AA7:AA34),0),ROUND(PRODUCT(R35,AA7:AA34),1))</f>
        <v>21699</v>
      </c>
      <c r="S36" s="3510"/>
      <c r="T36" s="3510">
        <f>IF(F1="售价",ROUND(PRODUCT(T35,AB7:AB34),0),ROUND(PRODUCT(T35,AB7:AB34),1))</f>
        <v>22077</v>
      </c>
      <c r="U36" s="3510"/>
      <c r="V36" s="3510">
        <f>IF(F1="售价",ROUND(PRODUCT(V35,AC7:AC34),0),ROUND(PRODUCT(V35,AC7:AC34),1))</f>
        <v>18830</v>
      </c>
      <c r="W36" s="3510"/>
      <c r="X36" s="1543"/>
      <c r="Y36" s="1543"/>
      <c r="Z36" s="1543"/>
      <c r="AA36" s="1543"/>
      <c r="AB36" s="1543"/>
      <c r="AC36" s="1543"/>
    </row>
    <row r="37" spans="1:29" ht="15.75" thickBot="1">
      <c r="A37" s="620" t="s">
        <v>2928</v>
      </c>
      <c r="B37" s="621"/>
      <c r="C37" s="2598">
        <f>R37</f>
        <v>20869</v>
      </c>
      <c r="D37" s="2598"/>
      <c r="E37" s="2598"/>
      <c r="F37" s="2598"/>
      <c r="G37" s="2598"/>
      <c r="H37" s="2598"/>
      <c r="I37" s="2598"/>
      <c r="J37" s="2598"/>
      <c r="K37" s="1596"/>
      <c r="L37" s="2127"/>
      <c r="M37" s="2128"/>
      <c r="N37" s="2128"/>
      <c r="O37" s="2128"/>
      <c r="P37" s="3390" t="str">
        <f>A37</f>
        <v>估价对象XX用房的比较价格（楼面单价，元/平方米）</v>
      </c>
      <c r="Q37" s="3391"/>
      <c r="R37" s="3509">
        <f>IF(F1="售价",ROUND(AVERAGE(R36:V36),0),ROUND(AVERAGE(R36:V36),1))</f>
        <v>20869</v>
      </c>
      <c r="S37" s="3509"/>
      <c r="T37" s="3509"/>
      <c r="U37" s="3509"/>
      <c r="V37" s="3509"/>
      <c r="W37" s="3509"/>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f>IF(E35&lt;E36,E36/E35-1,E35/E36-1)</f>
        <v>5.0002304253652152E-2</v>
      </c>
      <c r="F40" s="626" t="str">
        <f>IF(OR(E40&gt;=0.3,E40&lt;=-0.3),"超过30%","")</f>
        <v/>
      </c>
      <c r="G40" s="625">
        <f>IF(G35&lt;G36,G36/G35-1,G35/G36-1)</f>
        <v>5.0006794401413313E-2</v>
      </c>
      <c r="H40" s="626" t="str">
        <f>IF(OR(G40&gt;=0.3,G40&lt;=-0.3),"超过30%","")</f>
        <v/>
      </c>
      <c r="I40" s="625">
        <f>IF(I35&lt;I36,I36/I35-1,I35/I36-1)</f>
        <v>4.997344662772174E-2</v>
      </c>
      <c r="J40" s="626" t="str">
        <f>IF(OR(I40&gt;=0.3,I40&lt;=-0.3),"超过30%","")</f>
        <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f>IF(E36&lt;G36,G36/E36-1,E36/G36-1)</f>
        <v>1.7420157610949838E-2</v>
      </c>
      <c r="F41" s="626" t="str">
        <f>IF(OR(E41&gt;=0.2,E41&lt;=-0.2),"超过20%","")</f>
        <v/>
      </c>
      <c r="G41" s="625">
        <f>IF(G36&lt;I36,I36/G36-1,G36/I36-1)</f>
        <v>0.17243759957514615</v>
      </c>
      <c r="H41" s="626" t="str">
        <f>IF(OR(G41&gt;=0.2,G41&lt;=-0.2),"超过20%","")</f>
        <v/>
      </c>
      <c r="I41" s="625">
        <f>IF(I36&lt;E36,E36/I36-1,I36/E36-1)</f>
        <v>0.15236325013276697</v>
      </c>
      <c r="J41" s="626" t="str">
        <f>IF(OR(I41&gt;=0.2,I41&lt;=-0.2),"超过20%","")</f>
        <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3" t="s">
        <v>559</v>
      </c>
      <c r="D42" s="627"/>
      <c r="E42" s="625">
        <f>IF(E35&lt;G35,G35/E35-1,E35/G35-1)</f>
        <v>1.742450842696619E-2</v>
      </c>
      <c r="F42" s="626" t="str">
        <f>IF(OR(E42&gt;=0.3,E42&lt;=-0.3),"超过30%","")</f>
        <v/>
      </c>
      <c r="G42" s="625">
        <f>IF(G35&lt;I35,I35/G35-1,G35/I35-1)</f>
        <v>0.17247483688230236</v>
      </c>
      <c r="H42" s="626" t="str">
        <f>IF(OR(G42&gt;=0.3,G42&lt;=-0.3),"超过30%","")</f>
        <v/>
      </c>
      <c r="I42" s="625">
        <f>IF(I35&lt;E35,E35/I35-1,I35/E35-1)</f>
        <v>0.1523949218552425</v>
      </c>
      <c r="J42" s="626" t="str">
        <f>IF(OR(I42&gt;=0.3,I42&lt;=-0.3),"超过30%","")</f>
        <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4" t="s">
        <v>529</v>
      </c>
      <c r="B46" s="645"/>
      <c r="C46" s="2755" t="str">
        <f>YEAR(C7)&amp;"-"&amp;MONTH(C7)</f>
        <v>2020-4</v>
      </c>
      <c r="D46" s="2757">
        <f>EDATE(C46,-1)</f>
        <v>43891</v>
      </c>
      <c r="E46" s="2757">
        <f t="shared" ref="E46:O46" si="16">EDATE(D46,-1)</f>
        <v>43862</v>
      </c>
      <c r="F46" s="2757">
        <f t="shared" si="16"/>
        <v>43831</v>
      </c>
      <c r="G46" s="2757">
        <f t="shared" si="16"/>
        <v>43800</v>
      </c>
      <c r="H46" s="2757">
        <f t="shared" si="16"/>
        <v>43770</v>
      </c>
      <c r="I46" s="2757">
        <f t="shared" si="16"/>
        <v>43739</v>
      </c>
      <c r="J46" s="2757">
        <f t="shared" si="16"/>
        <v>43709</v>
      </c>
      <c r="K46" s="2757">
        <f t="shared" si="16"/>
        <v>43678</v>
      </c>
      <c r="L46" s="2757">
        <f t="shared" si="16"/>
        <v>43647</v>
      </c>
      <c r="M46" s="2757">
        <f t="shared" si="16"/>
        <v>43617</v>
      </c>
      <c r="N46" s="2757">
        <f t="shared" si="16"/>
        <v>43586</v>
      </c>
      <c r="O46" s="2757">
        <f t="shared" si="16"/>
        <v>43556</v>
      </c>
      <c r="P46" s="2143"/>
      <c r="Q46" s="2144"/>
      <c r="R46" s="2144"/>
      <c r="S46" s="2144"/>
      <c r="T46" s="2144"/>
      <c r="U46" s="2144"/>
      <c r="V46" s="2144"/>
      <c r="W46" s="2144"/>
      <c r="X46" s="2144"/>
      <c r="Y46" s="2144"/>
      <c r="Z46" s="2144"/>
      <c r="AA46" s="2144"/>
      <c r="AB46" s="2144"/>
      <c r="AC46" s="2144"/>
    </row>
    <row r="47" spans="1:29" s="1214" customFormat="1" ht="15">
      <c r="A47" s="646"/>
      <c r="B47" s="647"/>
      <c r="C47" s="648">
        <v>100</v>
      </c>
      <c r="D47" s="649">
        <v>99.5</v>
      </c>
      <c r="E47" s="649">
        <v>99</v>
      </c>
      <c r="F47" s="649">
        <v>98.5</v>
      </c>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4"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4"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t="str">
        <f>C9</f>
        <v>地下仓储</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98</v>
      </c>
      <c r="E62" s="678">
        <f>D62-$K14</f>
        <v>96</v>
      </c>
      <c r="F62" s="678">
        <f>E62-$K14</f>
        <v>94</v>
      </c>
      <c r="G62" s="678">
        <f>F62-$K14</f>
        <v>92</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2553</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97</v>
      </c>
      <c r="E64" s="678">
        <f>D64-$K16</f>
        <v>94</v>
      </c>
      <c r="F64" s="678">
        <f>E64-$K16</f>
        <v>91</v>
      </c>
      <c r="G64" s="678">
        <f>F64-$K16</f>
        <v>88</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2554</v>
      </c>
      <c r="C65" s="2560" t="s">
        <v>2555</v>
      </c>
      <c r="D65" s="2560" t="s">
        <v>2556</v>
      </c>
      <c r="E65" s="2560" t="s">
        <v>2557</v>
      </c>
      <c r="F65" s="2560" t="s">
        <v>2558</v>
      </c>
      <c r="G65" s="2560" t="s">
        <v>2559</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98</v>
      </c>
      <c r="E66" s="678">
        <f>D66-$K18</f>
        <v>96</v>
      </c>
      <c r="F66" s="678">
        <f>E66-$K18</f>
        <v>94</v>
      </c>
      <c r="G66" s="678">
        <f>F66-$K18</f>
        <v>92</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95</v>
      </c>
      <c r="E68" s="678">
        <f>D68-$K20</f>
        <v>90</v>
      </c>
      <c r="F68" s="678">
        <f>E68-$K20</f>
        <v>85</v>
      </c>
      <c r="G68" s="678">
        <f>F68-$K20</f>
        <v>80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3190" t="s">
        <v>3209</v>
      </c>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98</v>
      </c>
      <c r="E78" s="678">
        <f t="shared" si="17"/>
        <v>96</v>
      </c>
      <c r="F78" s="678">
        <f t="shared" si="17"/>
        <v>94</v>
      </c>
      <c r="G78" s="678">
        <f t="shared" si="17"/>
        <v>92</v>
      </c>
      <c r="H78" s="678">
        <f t="shared" si="17"/>
        <v>90</v>
      </c>
      <c r="I78" s="678">
        <f t="shared" si="17"/>
        <v>88</v>
      </c>
      <c r="J78" s="678">
        <f t="shared" si="17"/>
        <v>86</v>
      </c>
      <c r="K78" s="678">
        <f t="shared" si="17"/>
        <v>84</v>
      </c>
      <c r="L78" s="678">
        <f t="shared" si="17"/>
        <v>82</v>
      </c>
      <c r="M78" s="679">
        <f t="shared" si="17"/>
        <v>80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6"/>
      <c r="B81" s="677"/>
      <c r="C81" s="711">
        <v>100</v>
      </c>
      <c r="D81" s="678">
        <f t="shared" ref="D81:M81" si="18">C81+$K27</f>
        <v>101</v>
      </c>
      <c r="E81" s="678">
        <f t="shared" si="18"/>
        <v>102</v>
      </c>
      <c r="F81" s="678">
        <f t="shared" si="18"/>
        <v>103</v>
      </c>
      <c r="G81" s="678">
        <f t="shared" si="18"/>
        <v>104</v>
      </c>
      <c r="H81" s="678">
        <f t="shared" si="18"/>
        <v>105</v>
      </c>
      <c r="I81" s="678">
        <f t="shared" si="18"/>
        <v>106</v>
      </c>
      <c r="J81" s="678">
        <f t="shared" si="18"/>
        <v>107</v>
      </c>
      <c r="K81" s="678">
        <f t="shared" si="18"/>
        <v>108</v>
      </c>
      <c r="L81" s="678">
        <f t="shared" si="18"/>
        <v>109</v>
      </c>
      <c r="M81" s="678">
        <f t="shared" si="18"/>
        <v>110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3190" t="s">
        <v>3211</v>
      </c>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98</v>
      </c>
      <c r="E83" s="678">
        <f t="shared" si="19"/>
        <v>96</v>
      </c>
      <c r="F83" s="678">
        <f t="shared" si="19"/>
        <v>94</v>
      </c>
      <c r="G83" s="678">
        <f t="shared" si="19"/>
        <v>92</v>
      </c>
      <c r="H83" s="678">
        <f t="shared" si="19"/>
        <v>90</v>
      </c>
      <c r="I83" s="678">
        <f t="shared" si="19"/>
        <v>88</v>
      </c>
      <c r="J83" s="678">
        <f t="shared" si="19"/>
        <v>86</v>
      </c>
      <c r="K83" s="678">
        <f t="shared" si="19"/>
        <v>84</v>
      </c>
      <c r="L83" s="678">
        <f t="shared" si="19"/>
        <v>82</v>
      </c>
      <c r="M83" s="679">
        <f t="shared" si="19"/>
        <v>80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0(含)-50</v>
      </c>
      <c r="D86" s="707" t="str">
        <f t="shared" si="21"/>
        <v>50(含)-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v>0</v>
      </c>
      <c r="D87" s="729">
        <v>50</v>
      </c>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3"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北京融泰房地产开发有限公司：</v>
      </c>
    </row>
    <row r="4" spans="1:4" ht="56.25">
      <c r="A4" s="1774" t="str">
        <f>"受贵公司委托，我公司对"&amp;项目基本情况!K2&amp;项目基本情况!B9&amp;"进行了预评估。"</f>
        <v>受贵公司委托，我公司对北京市通州区马驹桥镇国家环保产业园区YZ00-073-6004、6006地块R2二类居住用地出让国有建设用地使用权抵押价格进行了预评估。</v>
      </c>
    </row>
    <row r="5" spans="1:4" ht="18.75">
      <c r="A5" s="1777" t="s">
        <v>1905</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融泰房地产开发有限公司使用的、位于北京市通州区马驹桥镇国家环保产业园区YZ00-073-6004、6006地块R2二类居住用地出让国有建设用地使用权。根据《建设工程规划许可证》[2020规自（通）建字0025、0028号]及附件附图，估价对象（分摊）出让国有建设用地使用权面积为35973.68平方米，规划建筑面积为133190.67平方米。</v>
      </c>
    </row>
    <row r="7" spans="1:4" ht="93.75">
      <c r="A7" s="2826" t="s">
        <v>2742</v>
      </c>
    </row>
    <row r="8" spans="1:4" ht="18.75">
      <c r="A8" s="1777" t="s">
        <v>1906</v>
      </c>
    </row>
    <row r="9" spans="1:4" ht="56.25">
      <c r="A9" s="1779" t="str">
        <f>IF(项目基本情况!B8="抵押",IF(项目基本情况!B5=项目基本情况!B6,定义!C51,定义!B51),定义!D51)</f>
        <v>委托估价方在向金融机构（建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2020年4月21日（评估专业人员勘察现场之日）</v>
      </c>
    </row>
    <row r="12" spans="1:4" ht="18.75">
      <c r="A12" s="1780" t="s">
        <v>2022</v>
      </c>
    </row>
    <row r="13" spans="1:4" ht="18.75">
      <c r="A13" s="1774" t="s">
        <v>2068</v>
      </c>
    </row>
    <row r="14" spans="1:4" ht="56.25">
      <c r="A14" s="1774" t="str">
        <f>"根据"&amp;项目基本情况!F12&amp;"，本次评估估价对象证载（地类）用途为"&amp;项目基本情况!B12&amp;"。"</f>
        <v>根据《国有建设用地使用权出让合同》[电子监管号：1101002019B02949]及附件、《建设工程规划许可证》[2020规自（通）建字0025、0028号]及附件附图，本次评估估价对象证载（地类）用途为城镇住宅用地。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本次评估设定用途即为证载用途住宅、地下仓储、地下车库。</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根据委托估价方介绍及评估专业人员现场勘查，本次评估估价对象实际土地开发程度为红线外市政基础设施达“七通”（即通路、通电、通上水、燃气、、、）、宗地红线内场地平整。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根据《建设工程规划许可证》[2020规自（通）建字0025、0028号]及附件附图，估价对象（分摊）出让国有建设用地使用权面积为35973.68平方米，规划建筑面积为133190.67平方米。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8" t="s">
        <v>2743</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2020年4月21日，在规划利用条件下、设定土地开发程度为红线外“七通”、宗地内场地未平整，设定用途为住宅、地下仓储、地下车库，剩余土地使用年限为住宅69.5年、地下仓储及地下车库49.5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6"/>
    <col min="36" max="16384" width="9" style="1244"/>
  </cols>
  <sheetData>
    <row r="1" spans="1:45" s="256" customFormat="1" ht="14.25" customHeight="1" thickBot="1">
      <c r="A1" s="364"/>
      <c r="B1" s="2217" t="s">
        <v>2300</v>
      </c>
      <c r="C1" s="3524" t="s">
        <v>2301</v>
      </c>
      <c r="D1" s="3525"/>
      <c r="E1" s="3525"/>
      <c r="F1" s="3525"/>
      <c r="G1" s="3525"/>
      <c r="H1" s="3525"/>
      <c r="I1" s="3525"/>
      <c r="J1" s="3525"/>
      <c r="K1" s="3525"/>
      <c r="L1" s="3525"/>
      <c r="M1" s="3525"/>
      <c r="N1" s="3525"/>
      <c r="O1" s="3525"/>
      <c r="P1" s="3525"/>
      <c r="Q1" s="3525"/>
      <c r="R1" s="3525"/>
      <c r="S1" s="3526"/>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2303</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7" t="s">
        <v>2921</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9" t="s">
        <v>2920</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9" t="s">
        <v>2919</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8"/>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7" t="s">
        <v>2932</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7" t="s">
        <v>2918</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7" t="s">
        <v>2917</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4">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4" t="e">
        <f>R22</f>
        <v>#DIV/0!</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0</v>
      </c>
      <c r="C22" s="3521" t="s">
        <v>20</v>
      </c>
      <c r="D22" s="3522"/>
      <c r="E22" s="3522"/>
      <c r="F22" s="3522"/>
      <c r="G22" s="3522"/>
      <c r="H22" s="3522"/>
      <c r="I22" s="3522"/>
      <c r="J22" s="3522"/>
      <c r="K22" s="3522"/>
      <c r="L22" s="3522"/>
      <c r="M22" s="3522"/>
      <c r="N22" s="3522"/>
      <c r="O22" s="3522"/>
      <c r="P22" s="3522"/>
      <c r="Q22" s="3523"/>
      <c r="R22" s="489"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2782</v>
      </c>
      <c r="C1" s="2957">
        <f>项目基本情况!D3</f>
        <v>43942</v>
      </c>
      <c r="H1" s="2891">
        <f>IF(C1&gt;C13,0,MATCH(C1,C$13:C$100,-1))+IF(SUMIF(C13:C100,C1,D13:D100)=0,13,12)</f>
        <v>13</v>
      </c>
      <c r="I1" s="2891">
        <f ca="1">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2813</v>
      </c>
      <c r="C2" s="2958">
        <f>'数据-取费表'!B22</f>
        <v>3</v>
      </c>
      <c r="D2" s="2953" t="s">
        <v>2783</v>
      </c>
      <c r="E2" s="2956">
        <f ca="1">INDIRECT("I"&amp;$I$1)/100</f>
        <v>4.7500000000000001E-2</v>
      </c>
      <c r="G2" s="2893"/>
      <c r="H2" s="2893"/>
      <c r="I2" s="2893" t="s">
        <v>2784</v>
      </c>
      <c r="K2" s="2893"/>
      <c r="L2" s="2893"/>
      <c r="M2" s="2893"/>
      <c r="N2" s="2893" t="s">
        <v>2785</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2815</v>
      </c>
      <c r="C3" s="2955">
        <f>'数据-取费表'!B19</f>
        <v>0</v>
      </c>
      <c r="D3" s="2953" t="s">
        <v>2783</v>
      </c>
      <c r="E3" s="2956">
        <f ca="1">INDIRECT("J"&amp;$J$1)/100</f>
        <v>0</v>
      </c>
      <c r="G3" s="2895" t="s">
        <v>2786</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2814</v>
      </c>
      <c r="C4" s="2956">
        <f ca="1">N4/100</f>
        <v>1.4999999999999999E-2</v>
      </c>
      <c r="G4" s="2901" t="s">
        <v>2787</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2788</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2789</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2790</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2791</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2792</v>
      </c>
      <c r="C10" s="2920"/>
      <c r="D10" s="2920"/>
      <c r="E10" s="2920"/>
      <c r="F10" s="2920"/>
      <c r="G10" s="2920"/>
      <c r="H10" s="2920"/>
      <c r="I10" s="2894"/>
      <c r="J10" s="2894"/>
      <c r="K10" s="2920"/>
      <c r="L10" s="2921" t="s">
        <v>2793</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2794</v>
      </c>
      <c r="C11" s="2925" t="s">
        <v>2795</v>
      </c>
      <c r="D11" s="2926" t="s">
        <v>2796</v>
      </c>
      <c r="E11" s="2927"/>
      <c r="F11" s="2926" t="s">
        <v>2797</v>
      </c>
      <c r="G11" s="2928"/>
      <c r="H11" s="2927"/>
      <c r="I11" s="2926" t="s">
        <v>2798</v>
      </c>
      <c r="J11" s="2927"/>
      <c r="K11" s="2923"/>
      <c r="L11" s="2924" t="s">
        <v>2794</v>
      </c>
      <c r="M11" s="2925" t="s">
        <v>2795</v>
      </c>
      <c r="N11" s="2924" t="s">
        <v>2799</v>
      </c>
      <c r="O11" s="2926" t="s">
        <v>2800</v>
      </c>
      <c r="P11" s="2928"/>
      <c r="Q11" s="2928"/>
      <c r="R11" s="2928"/>
      <c r="S11" s="2928"/>
      <c r="T11" s="2927"/>
      <c r="U11" s="2926" t="s">
        <v>2801</v>
      </c>
      <c r="V11" s="2928"/>
      <c r="W11" s="2927"/>
      <c r="X11" s="2924" t="s">
        <v>2802</v>
      </c>
      <c r="Y11" s="2924" t="s">
        <v>2803</v>
      </c>
      <c r="Z11" s="2924" t="s">
        <v>2804</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2805</v>
      </c>
      <c r="E12" s="2933" t="s">
        <v>2806</v>
      </c>
      <c r="F12" s="2933" t="s">
        <v>2807</v>
      </c>
      <c r="G12" s="2933" t="s">
        <v>2808</v>
      </c>
      <c r="H12" s="2933" t="s">
        <v>2790</v>
      </c>
      <c r="I12" s="2934" t="s">
        <v>2809</v>
      </c>
      <c r="J12" s="2934" t="s">
        <v>2809</v>
      </c>
      <c r="K12" s="2930"/>
      <c r="L12" s="2931"/>
      <c r="M12" s="2932"/>
      <c r="N12" s="2931"/>
      <c r="O12" s="2934" t="s">
        <v>2810</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2811</v>
      </c>
      <c r="C13" s="2938">
        <v>42301</v>
      </c>
      <c r="D13" s="2939">
        <v>4.3499999999999996</v>
      </c>
      <c r="E13" s="2939">
        <v>4.3499999999999996</v>
      </c>
      <c r="F13" s="2939">
        <v>4.75</v>
      </c>
      <c r="G13" s="2939">
        <v>4.75</v>
      </c>
      <c r="H13" s="2939">
        <v>4.9000000000000004</v>
      </c>
      <c r="I13" s="2939">
        <v>2.75</v>
      </c>
      <c r="J13" s="2939">
        <v>3.25</v>
      </c>
      <c r="K13" s="2936"/>
      <c r="L13" s="2937" t="s">
        <v>2811</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2812</v>
      </c>
      <c r="Y42" s="2943" t="s">
        <v>2812</v>
      </c>
      <c r="Z42" s="2943" t="s">
        <v>2812</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2812</v>
      </c>
      <c r="Y43" s="2943" t="s">
        <v>2812</v>
      </c>
      <c r="Z43" s="2943" t="s">
        <v>2812</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2812</v>
      </c>
      <c r="Y44" s="2943" t="s">
        <v>2812</v>
      </c>
      <c r="Z44" s="2943" t="s">
        <v>2812</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2812</v>
      </c>
      <c r="Y45" s="2943" t="s">
        <v>2812</v>
      </c>
      <c r="Z45" s="2943" t="s">
        <v>2812</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2812</v>
      </c>
      <c r="Y46" s="2943" t="s">
        <v>2812</v>
      </c>
      <c r="Z46" s="2943" t="s">
        <v>2812</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2812</v>
      </c>
      <c r="Y47" s="2943" t="s">
        <v>2812</v>
      </c>
      <c r="Z47" s="2943" t="s">
        <v>2812</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2812</v>
      </c>
      <c r="Y48" s="2943" t="s">
        <v>2812</v>
      </c>
      <c r="Z48" s="2943" t="s">
        <v>2812</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2812</v>
      </c>
      <c r="Y49" s="2943" t="s">
        <v>2812</v>
      </c>
      <c r="Z49" s="2943" t="s">
        <v>2812</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2812</v>
      </c>
      <c r="Y50" s="2943" t="s">
        <v>2812</v>
      </c>
      <c r="Z50" s="2943" t="s">
        <v>2812</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2812</v>
      </c>
      <c r="V51" s="2943" t="s">
        <v>2812</v>
      </c>
      <c r="W51" s="2943" t="s">
        <v>2812</v>
      </c>
      <c r="X51" s="2943" t="s">
        <v>2812</v>
      </c>
      <c r="Y51" s="2943" t="s">
        <v>2812</v>
      </c>
      <c r="Z51" s="2943" t="s">
        <v>2812</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2812</v>
      </c>
      <c r="J55" s="2943" t="s">
        <v>2812</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topLeftCell="A28" workbookViewId="0">
      <selection activeCell="L27" sqref="L27"/>
    </sheetView>
  </sheetViews>
  <sheetFormatPr defaultRowHeight="13.5"/>
  <cols>
    <col min="1" max="1" width="52.5" customWidth="1"/>
    <col min="6" max="6" width="10.375" customWidth="1"/>
    <col min="7" max="7" width="6" customWidth="1"/>
  </cols>
  <sheetData>
    <row r="1" spans="1:16" s="2892" customFormat="1">
      <c r="A1" s="2892" t="s">
        <v>3045</v>
      </c>
      <c r="B1" s="2892" t="s">
        <v>3046</v>
      </c>
      <c r="C1" s="2892" t="s">
        <v>3047</v>
      </c>
      <c r="D1" s="2892" t="s">
        <v>3048</v>
      </c>
      <c r="E1" s="2892" t="s">
        <v>3049</v>
      </c>
      <c r="F1" s="2892" t="s">
        <v>2029</v>
      </c>
      <c r="G1" s="2892" t="s">
        <v>3050</v>
      </c>
      <c r="H1" s="2892" t="s">
        <v>3051</v>
      </c>
      <c r="I1" s="2892" t="s">
        <v>3052</v>
      </c>
      <c r="J1" s="2892" t="s">
        <v>3053</v>
      </c>
      <c r="K1" s="2892" t="s">
        <v>3054</v>
      </c>
      <c r="L1" s="2892" t="s">
        <v>3055</v>
      </c>
      <c r="M1" s="2892" t="s">
        <v>3056</v>
      </c>
      <c r="N1" s="2892" t="s">
        <v>3057</v>
      </c>
      <c r="O1" s="3182" t="s">
        <v>3103</v>
      </c>
      <c r="P1" s="3182" t="s">
        <v>3105</v>
      </c>
    </row>
    <row r="2" spans="1:16" s="3184" customFormat="1">
      <c r="A2" s="3184" t="s">
        <v>3058</v>
      </c>
      <c r="B2" s="3184" t="s">
        <v>1943</v>
      </c>
      <c r="C2" s="3184" t="s">
        <v>3059</v>
      </c>
      <c r="D2" s="3184">
        <v>27525.64</v>
      </c>
      <c r="E2" s="3184">
        <v>50251</v>
      </c>
      <c r="F2" s="3184" t="s">
        <v>3060</v>
      </c>
      <c r="G2" s="3184" t="s">
        <v>3061</v>
      </c>
      <c r="H2" s="3184" t="s">
        <v>3062</v>
      </c>
      <c r="I2" s="3184">
        <v>90000</v>
      </c>
      <c r="J2" s="3184">
        <v>134800</v>
      </c>
      <c r="K2" s="3184">
        <v>26825.34</v>
      </c>
      <c r="L2" s="3184">
        <v>49.78</v>
      </c>
      <c r="M2" s="3184" t="s">
        <v>3063</v>
      </c>
      <c r="N2" s="3184" t="s">
        <v>3064</v>
      </c>
      <c r="O2" s="3185" t="s">
        <v>3104</v>
      </c>
      <c r="P2" s="3186">
        <v>7.0000000000000007E-2</v>
      </c>
    </row>
    <row r="3" spans="1:16" s="3184" customFormat="1">
      <c r="A3" s="3184" t="s">
        <v>3065</v>
      </c>
      <c r="B3" s="3184" t="s">
        <v>1943</v>
      </c>
      <c r="C3" s="3184" t="s">
        <v>3059</v>
      </c>
      <c r="D3" s="3184">
        <v>99023.27</v>
      </c>
      <c r="E3" s="3184">
        <v>220184.56</v>
      </c>
      <c r="F3" s="3184" t="s">
        <v>3066</v>
      </c>
      <c r="G3" s="3184" t="s">
        <v>3061</v>
      </c>
      <c r="H3" s="3184" t="s">
        <v>3067</v>
      </c>
      <c r="I3" s="3184">
        <v>380000</v>
      </c>
      <c r="J3" s="3184">
        <v>467000</v>
      </c>
      <c r="K3" s="3184">
        <v>21209.47</v>
      </c>
      <c r="L3" s="3184">
        <v>22.89</v>
      </c>
      <c r="M3" s="3184" t="s">
        <v>3068</v>
      </c>
      <c r="N3" s="3184" t="s">
        <v>3069</v>
      </c>
      <c r="O3" s="3185" t="s">
        <v>3104</v>
      </c>
      <c r="P3" s="3185" t="s">
        <v>3104</v>
      </c>
    </row>
    <row r="4" spans="1:16" s="3183" customFormat="1">
      <c r="A4" s="3183" t="s">
        <v>3070</v>
      </c>
      <c r="B4" s="3183" t="s">
        <v>1943</v>
      </c>
      <c r="C4" s="3183" t="s">
        <v>3059</v>
      </c>
      <c r="D4" s="3183">
        <v>73240.63</v>
      </c>
      <c r="E4" s="3183">
        <v>153989</v>
      </c>
      <c r="F4" s="3183" t="s">
        <v>3071</v>
      </c>
      <c r="G4" s="3183" t="s">
        <v>3061</v>
      </c>
      <c r="H4" s="3183" t="s">
        <v>3072</v>
      </c>
      <c r="I4" s="3183">
        <v>332000</v>
      </c>
      <c r="J4" s="3183">
        <v>332000</v>
      </c>
      <c r="K4" s="3183">
        <v>21559.97</v>
      </c>
      <c r="L4" s="3183">
        <v>0</v>
      </c>
      <c r="M4" s="3183" t="s">
        <v>3073</v>
      </c>
      <c r="N4" s="3183" t="s">
        <v>3069</v>
      </c>
      <c r="O4" s="3183">
        <v>45446</v>
      </c>
      <c r="P4" s="3183" t="s">
        <v>3104</v>
      </c>
    </row>
    <row r="5" spans="1:16" s="2892" customFormat="1">
      <c r="A5" s="2892" t="s">
        <v>3074</v>
      </c>
      <c r="B5" s="2892" t="s">
        <v>1943</v>
      </c>
      <c r="C5" s="2892" t="s">
        <v>3059</v>
      </c>
      <c r="D5" s="2892">
        <v>39084.339999999997</v>
      </c>
      <c r="E5" s="2892">
        <v>59071</v>
      </c>
      <c r="F5" s="2892" t="s">
        <v>3075</v>
      </c>
      <c r="G5" s="2892" t="s">
        <v>3061</v>
      </c>
      <c r="H5" s="2892" t="s">
        <v>3076</v>
      </c>
      <c r="I5" s="2892">
        <v>132000</v>
      </c>
      <c r="J5" s="2892">
        <v>188000</v>
      </c>
      <c r="K5" s="2892">
        <v>31826.11</v>
      </c>
      <c r="L5" s="2892">
        <v>42.42</v>
      </c>
      <c r="M5" s="2892" t="s">
        <v>3077</v>
      </c>
      <c r="N5" s="2892" t="s">
        <v>3078</v>
      </c>
    </row>
    <row r="6" spans="1:16" s="2892" customFormat="1">
      <c r="A6" s="2892" t="s">
        <v>3079</v>
      </c>
      <c r="B6" s="2892" t="s">
        <v>1943</v>
      </c>
      <c r="C6" s="2892" t="s">
        <v>3059</v>
      </c>
      <c r="D6" s="2892">
        <v>51248.95</v>
      </c>
      <c r="E6" s="2892">
        <v>78434</v>
      </c>
      <c r="F6" s="2892" t="s">
        <v>3080</v>
      </c>
      <c r="G6" s="2892" t="s">
        <v>3061</v>
      </c>
      <c r="H6" s="2892" t="s">
        <v>3076</v>
      </c>
      <c r="I6" s="2892">
        <v>153000</v>
      </c>
      <c r="J6" s="2892">
        <v>183000</v>
      </c>
      <c r="K6" s="2892">
        <v>23331.72</v>
      </c>
      <c r="L6" s="2892">
        <v>19.61</v>
      </c>
      <c r="M6" s="2892" t="s">
        <v>3081</v>
      </c>
      <c r="N6" s="2892" t="s">
        <v>3069</v>
      </c>
    </row>
    <row r="7" spans="1:16" s="2892" customFormat="1">
      <c r="A7" s="2892" t="s">
        <v>3082</v>
      </c>
      <c r="B7" s="2892" t="s">
        <v>1943</v>
      </c>
      <c r="C7" s="2892" t="s">
        <v>3059</v>
      </c>
      <c r="D7" s="2892">
        <v>29550.2</v>
      </c>
      <c r="E7" s="2892">
        <v>54407</v>
      </c>
      <c r="F7" s="2892">
        <v>1.84</v>
      </c>
      <c r="G7" s="2892" t="s">
        <v>3061</v>
      </c>
      <c r="H7" s="2892" t="s">
        <v>3083</v>
      </c>
      <c r="I7" s="2892">
        <v>60300</v>
      </c>
      <c r="J7" s="2892">
        <v>84000</v>
      </c>
      <c r="K7" s="2892">
        <v>15439.19</v>
      </c>
      <c r="L7" s="2892">
        <v>39.299999999999997</v>
      </c>
      <c r="M7" s="2892" t="s">
        <v>3084</v>
      </c>
      <c r="N7" s="2892" t="s">
        <v>3069</v>
      </c>
    </row>
    <row r="8" spans="1:16" s="3184" customFormat="1">
      <c r="A8" s="3184" t="s">
        <v>3085</v>
      </c>
      <c r="B8" s="3184" t="s">
        <v>1943</v>
      </c>
      <c r="C8" s="3184" t="s">
        <v>3059</v>
      </c>
      <c r="D8" s="3184">
        <v>115506.3</v>
      </c>
      <c r="E8" s="3184">
        <v>280243</v>
      </c>
      <c r="F8" s="3184">
        <v>2.4300000000000002</v>
      </c>
      <c r="G8" s="3184" t="s">
        <v>3061</v>
      </c>
      <c r="H8" s="3184" t="s">
        <v>3083</v>
      </c>
      <c r="I8" s="3184">
        <v>650000</v>
      </c>
      <c r="J8" s="3184">
        <v>666000</v>
      </c>
      <c r="K8" s="3184">
        <v>23765.09</v>
      </c>
      <c r="L8" s="3184">
        <v>2.46</v>
      </c>
      <c r="M8" s="3184" t="s">
        <v>3086</v>
      </c>
      <c r="N8" s="3184" t="s">
        <v>3064</v>
      </c>
      <c r="O8" s="3184">
        <v>51585</v>
      </c>
      <c r="P8" s="3185" t="s">
        <v>3104</v>
      </c>
    </row>
    <row r="9" spans="1:16" s="2892" customFormat="1">
      <c r="A9" s="2892" t="s">
        <v>3087</v>
      </c>
      <c r="B9" s="2892" t="s">
        <v>1943</v>
      </c>
      <c r="C9" s="2892" t="s">
        <v>3088</v>
      </c>
      <c r="D9" s="2892">
        <v>69229.279999999999</v>
      </c>
      <c r="E9" s="2892">
        <v>173073</v>
      </c>
      <c r="F9" s="2892">
        <v>2.5</v>
      </c>
      <c r="G9" s="2892" t="s">
        <v>3061</v>
      </c>
      <c r="H9" s="2892" t="s">
        <v>3083</v>
      </c>
      <c r="I9" s="2892">
        <v>181000</v>
      </c>
      <c r="J9" s="2892">
        <v>255000</v>
      </c>
      <c r="K9" s="2892">
        <v>14733.67</v>
      </c>
      <c r="L9" s="2892">
        <v>40.880000000000003</v>
      </c>
      <c r="M9" s="2892" t="s">
        <v>3089</v>
      </c>
      <c r="N9" s="2892" t="s">
        <v>3064</v>
      </c>
    </row>
    <row r="10" spans="1:16" s="2892" customFormat="1">
      <c r="A10" s="2892" t="s">
        <v>3090</v>
      </c>
      <c r="B10" s="2892" t="s">
        <v>1943</v>
      </c>
      <c r="C10" s="2892" t="s">
        <v>3059</v>
      </c>
      <c r="D10" s="2892">
        <v>65453.36</v>
      </c>
      <c r="E10" s="2892">
        <v>148992</v>
      </c>
      <c r="F10" s="2892">
        <v>2.2799999999999998</v>
      </c>
      <c r="G10" s="2892" t="s">
        <v>3061</v>
      </c>
      <c r="H10" s="2892" t="s">
        <v>3091</v>
      </c>
      <c r="I10" s="2892">
        <v>143500</v>
      </c>
      <c r="J10" s="2892">
        <v>143500</v>
      </c>
      <c r="K10" s="2892">
        <v>9631.3799999999992</v>
      </c>
      <c r="L10" s="2892">
        <v>0</v>
      </c>
      <c r="M10" s="2892" t="s">
        <v>3092</v>
      </c>
      <c r="N10" s="2892" t="s">
        <v>3093</v>
      </c>
    </row>
    <row r="11" spans="1:16" s="2892" customFormat="1">
      <c r="A11" s="2892" t="s">
        <v>3094</v>
      </c>
      <c r="B11" s="2892" t="s">
        <v>1943</v>
      </c>
      <c r="C11" s="2892" t="s">
        <v>3088</v>
      </c>
      <c r="D11" s="2892">
        <v>39199.449999999997</v>
      </c>
      <c r="E11" s="2892">
        <v>97998</v>
      </c>
      <c r="F11" s="2892">
        <v>2.5</v>
      </c>
      <c r="G11" s="2892" t="s">
        <v>3061</v>
      </c>
      <c r="H11" s="2892" t="s">
        <v>3095</v>
      </c>
      <c r="I11" s="2892">
        <v>117500</v>
      </c>
      <c r="J11" s="2892">
        <v>157000</v>
      </c>
      <c r="K11" s="2892">
        <v>16020.73</v>
      </c>
      <c r="L11" s="2892">
        <v>33.619999999999997</v>
      </c>
      <c r="M11" s="2892" t="s">
        <v>3096</v>
      </c>
      <c r="N11" s="2892" t="s">
        <v>3064</v>
      </c>
    </row>
    <row r="12" spans="1:16" s="2892" customFormat="1">
      <c r="A12" s="2892" t="s">
        <v>3097</v>
      </c>
      <c r="B12" s="2892" t="s">
        <v>1943</v>
      </c>
      <c r="C12" s="2892" t="s">
        <v>3059</v>
      </c>
      <c r="D12" s="2892">
        <v>81664.259999999995</v>
      </c>
      <c r="E12" s="2892">
        <v>97997</v>
      </c>
      <c r="F12" s="2892">
        <v>1.2</v>
      </c>
      <c r="G12" s="2892" t="s">
        <v>3061</v>
      </c>
      <c r="H12" s="2892" t="s">
        <v>3098</v>
      </c>
      <c r="I12" s="2892">
        <v>90000</v>
      </c>
      <c r="J12" s="2892">
        <v>125000</v>
      </c>
      <c r="K12" s="2892">
        <v>12755.48</v>
      </c>
      <c r="L12" s="2892">
        <v>38.89</v>
      </c>
      <c r="M12" s="2892" t="s">
        <v>3099</v>
      </c>
      <c r="N12" s="2892" t="s">
        <v>3093</v>
      </c>
    </row>
    <row r="13" spans="1:16" s="2892" customFormat="1">
      <c r="A13" s="2892" t="s">
        <v>3100</v>
      </c>
      <c r="B13" s="2892" t="s">
        <v>1943</v>
      </c>
      <c r="C13" s="2892" t="s">
        <v>3088</v>
      </c>
      <c r="D13" s="2892">
        <v>65516.160000000003</v>
      </c>
      <c r="E13" s="2892">
        <v>163790</v>
      </c>
      <c r="F13" s="2892">
        <v>2.5</v>
      </c>
      <c r="G13" s="2892" t="s">
        <v>3061</v>
      </c>
      <c r="H13" s="2892" t="s">
        <v>3101</v>
      </c>
      <c r="I13" s="2892">
        <v>190100</v>
      </c>
      <c r="J13" s="2892">
        <v>240000</v>
      </c>
      <c r="K13" s="2892">
        <v>14652.9</v>
      </c>
      <c r="L13" s="2892">
        <v>26.25</v>
      </c>
      <c r="M13" s="2892" t="s">
        <v>3102</v>
      </c>
      <c r="N13" s="2892" t="s">
        <v>3078</v>
      </c>
    </row>
  </sheetData>
  <phoneticPr fontId="229"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00:N120"/>
  <sheetViews>
    <sheetView topLeftCell="A88" zoomScale="70" zoomScaleNormal="70" workbookViewId="0">
      <selection activeCell="O125" sqref="O125"/>
    </sheetView>
  </sheetViews>
  <sheetFormatPr defaultRowHeight="13.5"/>
  <sheetData>
    <row r="100" spans="14:14">
      <c r="N100" s="3180" t="s">
        <v>3199</v>
      </c>
    </row>
    <row r="111" spans="14:14">
      <c r="N111" s="3180" t="s">
        <v>3200</v>
      </c>
    </row>
    <row r="120" spans="14:14">
      <c r="N120" s="3180" t="s">
        <v>3201</v>
      </c>
    </row>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8" t="s">
        <v>2035</v>
      </c>
      <c r="B1" s="3228"/>
      <c r="C1" s="3228"/>
      <c r="D1" s="3228"/>
      <c r="E1" s="3228"/>
      <c r="F1" s="3228"/>
      <c r="G1" s="3228"/>
      <c r="H1" s="3228"/>
      <c r="I1" s="3228"/>
      <c r="J1" s="3228"/>
      <c r="K1" s="3228"/>
      <c r="L1" s="3228"/>
      <c r="M1" s="3228"/>
      <c r="N1" s="3228"/>
      <c r="O1" s="3228"/>
      <c r="P1" s="3228"/>
      <c r="Q1" s="3228"/>
      <c r="R1" s="3228"/>
    </row>
    <row r="2" spans="1:18">
      <c r="A2" s="1790" t="s">
        <v>2037</v>
      </c>
      <c r="B2" s="1790"/>
      <c r="C2" s="1790"/>
      <c r="D2" s="1790"/>
      <c r="E2" s="1790"/>
      <c r="F2" s="1790"/>
      <c r="G2" s="1790"/>
      <c r="H2" s="1790"/>
      <c r="I2" s="1791"/>
      <c r="J2" s="1791"/>
      <c r="K2" s="1792" t="str">
        <f>"估价期日："&amp;TEXT(项目基本情况!D3,"yyyy年m月d日;;")</f>
        <v>估价期日：2020年4月21日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29" t="s">
        <v>2026</v>
      </c>
      <c r="B3" s="3229" t="s">
        <v>2725</v>
      </c>
      <c r="C3" s="3230" t="s">
        <v>2027</v>
      </c>
      <c r="D3" s="3229" t="s">
        <v>2729</v>
      </c>
      <c r="E3" s="3232" t="s">
        <v>2028</v>
      </c>
      <c r="F3" s="3232"/>
      <c r="G3" s="3232"/>
      <c r="H3" s="3232" t="s">
        <v>2029</v>
      </c>
      <c r="I3" s="3232"/>
      <c r="J3" s="3232"/>
      <c r="K3" s="3230" t="s">
        <v>2030</v>
      </c>
      <c r="L3" s="3230" t="s">
        <v>2031</v>
      </c>
      <c r="M3" s="3229" t="s">
        <v>2726</v>
      </c>
      <c r="N3" s="3231" t="str">
        <f>"（分摊）"&amp;项目基本情况!B16&amp;"国有建设用地使用权面积/㎡"</f>
        <v>（分摊）出让国有建设用地使用权面积/㎡</v>
      </c>
      <c r="O3" s="3229" t="s">
        <v>2060</v>
      </c>
      <c r="P3" s="3230" t="s">
        <v>2040</v>
      </c>
      <c r="Q3" s="3230" t="s">
        <v>2061</v>
      </c>
      <c r="R3" s="3230" t="s">
        <v>2032</v>
      </c>
    </row>
    <row r="4" spans="1:18" ht="36.75" customHeight="1">
      <c r="A4" s="3229"/>
      <c r="B4" s="3229"/>
      <c r="C4" s="3230"/>
      <c r="D4" s="3229"/>
      <c r="E4" s="2611" t="s">
        <v>2039</v>
      </c>
      <c r="F4" s="2611" t="s">
        <v>2738</v>
      </c>
      <c r="G4" s="2611" t="s">
        <v>2033</v>
      </c>
      <c r="H4" s="2611" t="s">
        <v>2034</v>
      </c>
      <c r="I4" s="2611" t="s">
        <v>2739</v>
      </c>
      <c r="J4" s="2611" t="s">
        <v>2033</v>
      </c>
      <c r="K4" s="3230"/>
      <c r="L4" s="3230"/>
      <c r="M4" s="3229"/>
      <c r="N4" s="3231"/>
      <c r="O4" s="3229"/>
      <c r="P4" s="3230"/>
      <c r="Q4" s="3230"/>
      <c r="R4" s="3230"/>
    </row>
    <row r="5" spans="1:18" ht="135" customHeight="1">
      <c r="A5" s="1926" t="s">
        <v>2649</v>
      </c>
      <c r="B5" s="2820" t="s">
        <v>2647</v>
      </c>
      <c r="C5" s="2610">
        <v>22</v>
      </c>
      <c r="D5" s="2609" t="s">
        <v>2648</v>
      </c>
      <c r="E5" s="1793" t="str">
        <f>项目基本情况!B12</f>
        <v>城镇住宅用地</v>
      </c>
      <c r="F5" s="2609">
        <v>258</v>
      </c>
      <c r="G5" s="1793" t="str">
        <f>项目基本情况!B13</f>
        <v>住宅、地下仓储、地下车库</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红线外七通、宗地红线内场地未平整</v>
      </c>
      <c r="M5" s="1793" t="str">
        <f>IF(项目基本情况!B16="出让",项目基本情况!D20,"——")</f>
        <v>住宅69.5年、地下仓储及地下车库49.5年</v>
      </c>
      <c r="N5" s="1793">
        <f>项目基本情况!C22</f>
        <v>35973.68</v>
      </c>
      <c r="O5" s="1793">
        <f>项目基本情况!C21</f>
        <v>133190.67000000001</v>
      </c>
      <c r="P5" s="1793">
        <f ca="1">结果表!E42</f>
        <v>55387</v>
      </c>
      <c r="Q5" s="1793">
        <f ca="1">结果表!D42</f>
        <v>14960</v>
      </c>
      <c r="R5" s="1794">
        <f ca="1">结果表!C42</f>
        <v>199248</v>
      </c>
    </row>
    <row r="6" spans="1:18">
      <c r="A6" s="3225" t="str">
        <f>IF(项目基本情况!B9="市场价格","——","抵押价格")</f>
        <v>抵押价格</v>
      </c>
      <c r="B6" s="3226"/>
      <c r="C6" s="3226"/>
      <c r="D6" s="3226"/>
      <c r="E6" s="3226"/>
      <c r="F6" s="3226"/>
      <c r="G6" s="3226"/>
      <c r="H6" s="3226"/>
      <c r="I6" s="3226"/>
      <c r="J6" s="3226"/>
      <c r="K6" s="3226"/>
      <c r="L6" s="3226"/>
      <c r="M6" s="3226"/>
      <c r="N6" s="3226"/>
      <c r="O6" s="3226"/>
      <c r="P6" s="3226"/>
      <c r="Q6" s="3227"/>
      <c r="R6" s="1795">
        <f ca="1">结果表!O39</f>
        <v>199248</v>
      </c>
    </row>
    <row r="7" spans="1:18">
      <c r="A7" s="3225" t="str">
        <f>IF(项目基本情况!B9="市场价格","——",IF(项目基本情况!E8="已注销及未注销","抵押担保权已注销时的抵押价格","——"))</f>
        <v>——</v>
      </c>
      <c r="B7" s="3226"/>
      <c r="C7" s="3226"/>
      <c r="D7" s="3226"/>
      <c r="E7" s="3226"/>
      <c r="F7" s="3226"/>
      <c r="G7" s="3226"/>
      <c r="H7" s="3226"/>
      <c r="I7" s="3226"/>
      <c r="J7" s="3226"/>
      <c r="K7" s="3226"/>
      <c r="L7" s="3226"/>
      <c r="M7" s="3226"/>
      <c r="N7" s="3226"/>
      <c r="O7" s="3226"/>
      <c r="P7" s="3226"/>
      <c r="Q7" s="3227"/>
      <c r="R7" s="1795" t="str">
        <f>结果表!O40</f>
        <v>——</v>
      </c>
    </row>
    <row r="8" spans="1:18">
      <c r="A8" s="3225" t="str">
        <f>IF(项目基本情况!B9="市场价格","——",项目基本情况!E9)</f>
        <v>——</v>
      </c>
      <c r="B8" s="3226"/>
      <c r="C8" s="3226"/>
      <c r="D8" s="3226"/>
      <c r="E8" s="3226"/>
      <c r="F8" s="3226"/>
      <c r="G8" s="3226"/>
      <c r="H8" s="3226"/>
      <c r="I8" s="3226"/>
      <c r="J8" s="3226"/>
      <c r="K8" s="3226"/>
      <c r="L8" s="3226"/>
      <c r="M8" s="3226"/>
      <c r="N8" s="3226"/>
      <c r="O8" s="3226"/>
      <c r="P8" s="3226"/>
      <c r="Q8" s="3227"/>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34" t="s">
        <v>2062</v>
      </c>
      <c r="B1" s="3234"/>
      <c r="C1" s="3234"/>
      <c r="D1" s="3234"/>
    </row>
    <row r="2" spans="1:4" ht="47.25" customHeight="1">
      <c r="A2" s="3235" t="str">
        <f>"1.权利限制："&amp;项目基本情况!L24&amp;"未设定租赁等其他他项权利。"</f>
        <v>1.权利限制：根据估价对象——原件、《国有土地使用权》复印件，截至估价期日，估价对象抵押权未见登记。未设定租赁等其他他项权利。</v>
      </c>
      <c r="B2" s="3235"/>
      <c r="C2" s="3235"/>
      <c r="D2" s="3235"/>
    </row>
    <row r="3" spans="1:4" ht="48" customHeight="1">
      <c r="A3" s="323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2.基础设施条件：估价对象实际开发程度为红线外七通、宗地红线内场地平整；本次评估设定开发程度为红线外七通、宗地红线内场地未平整。</v>
      </c>
      <c r="B3" s="3234"/>
      <c r="C3" s="3234"/>
      <c r="D3" s="3234"/>
    </row>
    <row r="4" spans="1:4" ht="36.75" customHeight="1">
      <c r="A4" s="3234" t="str">
        <f>"3.估价规划限制条件：详见"&amp;项目基本情况!E21&amp;"。"</f>
        <v>3.估价规划限制条件：详见《建设工程规划许可证》[2020规自（通）建字0025、0028号]及附件附图。</v>
      </c>
      <c r="B4" s="3234"/>
      <c r="C4" s="3234"/>
      <c r="D4" s="3234"/>
    </row>
    <row r="5" spans="1:4">
      <c r="A5" s="3233" t="s">
        <v>2063</v>
      </c>
      <c r="B5" s="3233"/>
      <c r="C5" s="3233"/>
      <c r="D5" s="3233"/>
    </row>
    <row r="6" spans="1:4">
      <c r="A6" s="3234" t="s">
        <v>2041</v>
      </c>
      <c r="B6" s="3234"/>
      <c r="C6" s="3234"/>
      <c r="D6" s="3234"/>
    </row>
    <row r="7" spans="1:4" ht="33" customHeight="1">
      <c r="A7" s="3234" t="s">
        <v>2570</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（1）根据估价对象——原件、《国有土地使用权》复印件，截至估价期日，估价对象抵押权未见登记。</v>
      </c>
      <c r="B11" s="3236"/>
      <c r="C11" s="3236"/>
      <c r="D11" s="3236"/>
    </row>
    <row r="12" spans="1:4" ht="168" customHeight="1">
      <c r="A12" s="3233" t="s">
        <v>2065</v>
      </c>
      <c r="B12" s="3233"/>
      <c r="C12" s="3233"/>
      <c r="D12" s="3233"/>
    </row>
    <row r="13" spans="1:4">
      <c r="A13" s="3237" t="s">
        <v>2740</v>
      </c>
      <c r="B13" s="3237"/>
      <c r="C13" s="3237"/>
      <c r="D13" s="3237"/>
    </row>
    <row r="14" spans="1:4">
      <c r="A14" s="3236" t="str">
        <f>IF(项目基本情况!B8="抵押","综上，"&amp;结果表!K47,"——")</f>
        <v>综上，本次评估不存在估价师知悉的法定优先受偿款</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2696</v>
      </c>
      <c r="B17" s="3234"/>
      <c r="C17" s="3234"/>
      <c r="D17" s="3234"/>
    </row>
    <row r="18" spans="1:4">
      <c r="A18" s="3234" t="s">
        <v>2688</v>
      </c>
      <c r="B18" s="3234"/>
      <c r="C18" s="3234"/>
      <c r="D18" s="3234"/>
    </row>
    <row r="19" spans="1:4">
      <c r="A19" s="2821" t="s">
        <v>2689</v>
      </c>
      <c r="B19" s="2821" t="s">
        <v>2690</v>
      </c>
      <c r="C19" s="2821" t="s">
        <v>2691</v>
      </c>
      <c r="D19" s="2821" t="s">
        <v>2692</v>
      </c>
    </row>
    <row r="20" spans="1:4">
      <c r="A20" s="2821" t="str">
        <f>项目基本情况!B4</f>
        <v>土地估价师</v>
      </c>
      <c r="B20" s="2821">
        <f>项目基本情况!C4</f>
        <v>0</v>
      </c>
      <c r="C20" s="2823"/>
      <c r="D20" s="1783" t="s">
        <v>2697</v>
      </c>
    </row>
    <row r="21" spans="1:4">
      <c r="A21" s="2821" t="str">
        <f>项目基本情况!D4</f>
        <v>土地估价师</v>
      </c>
      <c r="B21" s="2821">
        <f>项目基本情况!E4</f>
        <v>0</v>
      </c>
      <c r="C21" s="2823"/>
      <c r="D21" s="1783" t="s">
        <v>2698</v>
      </c>
    </row>
    <row r="23" spans="1:4">
      <c r="A23" s="3234" t="s">
        <v>2693</v>
      </c>
      <c r="B23" s="3234"/>
      <c r="C23" s="3234"/>
      <c r="D23" s="3234"/>
    </row>
    <row r="24" spans="1:4">
      <c r="A24" s="2821" t="s">
        <v>2689</v>
      </c>
      <c r="B24" s="2821" t="s">
        <v>2694</v>
      </c>
      <c r="C24" s="2821" t="s">
        <v>2691</v>
      </c>
      <c r="D24" s="2821" t="s">
        <v>2692</v>
      </c>
    </row>
    <row r="25" spans="1:4">
      <c r="A25" s="2824" t="s">
        <v>2695</v>
      </c>
      <c r="B25" s="2821" t="s">
        <v>952</v>
      </c>
      <c r="C25" s="2823"/>
      <c r="D25" s="1783" t="s">
        <v>2698</v>
      </c>
    </row>
    <row r="29" spans="1:4">
      <c r="D29" s="2822" t="s">
        <v>2036</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45" t="s">
        <v>53</v>
      </c>
      <c r="B15" s="3246" t="s">
        <v>846</v>
      </c>
      <c r="C15" s="3242"/>
    </row>
    <row r="16" spans="1:7" ht="14.25">
      <c r="A16" s="3245"/>
      <c r="B16" s="3243" t="s">
        <v>54</v>
      </c>
      <c r="C16" s="1166" t="s">
        <v>53</v>
      </c>
    </row>
    <row r="17" spans="1:3" ht="14.25">
      <c r="A17" s="3245"/>
      <c r="B17" s="3243"/>
      <c r="C17" s="1166" t="s">
        <v>55</v>
      </c>
    </row>
    <row r="18" spans="1:3" ht="14.25">
      <c r="A18" s="3245"/>
      <c r="B18" s="3243"/>
      <c r="C18" s="1166" t="s">
        <v>56</v>
      </c>
    </row>
    <row r="19" spans="1:3" ht="14.25">
      <c r="A19" s="3245"/>
      <c r="B19" s="3241" t="s">
        <v>57</v>
      </c>
      <c r="C19" s="3242"/>
    </row>
    <row r="20" spans="1:3" ht="14.25">
      <c r="A20" s="1167" t="s">
        <v>58</v>
      </c>
      <c r="B20" s="1168"/>
      <c r="C20" s="1169"/>
    </row>
    <row r="21" spans="1:3" ht="14.25">
      <c r="A21" s="3244" t="s">
        <v>59</v>
      </c>
      <c r="B21" s="3241" t="s">
        <v>60</v>
      </c>
      <c r="C21" s="3242"/>
    </row>
    <row r="22" spans="1:3" ht="14.25">
      <c r="A22" s="3244"/>
      <c r="B22" s="3241" t="s">
        <v>61</v>
      </c>
      <c r="C22" s="3242"/>
    </row>
    <row r="23" spans="1:3" ht="14.25">
      <c r="A23" s="3244"/>
      <c r="B23" s="3241" t="s">
        <v>62</v>
      </c>
      <c r="C23" s="3242"/>
    </row>
    <row r="24" spans="1:3" ht="14.25">
      <c r="A24" s="3244"/>
      <c r="B24" s="3247" t="s">
        <v>63</v>
      </c>
      <c r="C24" s="1170" t="s">
        <v>837</v>
      </c>
    </row>
    <row r="25" spans="1:3" ht="14.25">
      <c r="A25" s="3244"/>
      <c r="B25" s="3248"/>
      <c r="C25" s="1170" t="s">
        <v>838</v>
      </c>
    </row>
    <row r="26" spans="1:3" ht="14.25">
      <c r="A26" s="3244"/>
      <c r="B26" s="3248"/>
      <c r="C26" s="1170" t="s">
        <v>839</v>
      </c>
    </row>
    <row r="27" spans="1:3" ht="14.25">
      <c r="A27" s="3244"/>
      <c r="B27" s="3248"/>
      <c r="C27" s="1170" t="s">
        <v>840</v>
      </c>
    </row>
    <row r="28" spans="1:3" ht="14.25">
      <c r="A28" s="3244"/>
      <c r="B28" s="3248"/>
      <c r="C28" s="1170" t="s">
        <v>841</v>
      </c>
    </row>
    <row r="29" spans="1:3" ht="14.25">
      <c r="A29" s="3244"/>
      <c r="B29" s="3248"/>
      <c r="C29" s="1170" t="s">
        <v>842</v>
      </c>
    </row>
    <row r="30" spans="1:3" ht="14.25">
      <c r="A30" s="3244"/>
      <c r="B30" s="3248"/>
      <c r="C30" s="1170" t="s">
        <v>843</v>
      </c>
    </row>
    <row r="31" spans="1:3" ht="14.25">
      <c r="A31" s="3244"/>
      <c r="B31" s="3248"/>
      <c r="C31" s="1170" t="s">
        <v>844</v>
      </c>
    </row>
    <row r="32" spans="1:3" ht="14.25">
      <c r="A32" s="3244"/>
      <c r="B32" s="3248"/>
      <c r="C32" s="1170" t="s">
        <v>1646</v>
      </c>
    </row>
    <row r="33" spans="1:3" ht="14.25">
      <c r="A33" s="3244"/>
      <c r="B33" s="3238" t="s">
        <v>1652</v>
      </c>
      <c r="C33" s="1170" t="s">
        <v>1647</v>
      </c>
    </row>
    <row r="34" spans="1:3" ht="14.25">
      <c r="A34" s="3244"/>
      <c r="B34" s="3239"/>
      <c r="C34" s="1175" t="s">
        <v>1648</v>
      </c>
    </row>
    <row r="35" spans="1:3" ht="14.25">
      <c r="A35" s="3244"/>
      <c r="B35" s="3239"/>
      <c r="C35" s="1176" t="s">
        <v>1649</v>
      </c>
    </row>
    <row r="36" spans="1:3" ht="14.25">
      <c r="A36" s="3244"/>
      <c r="B36" s="3239"/>
      <c r="C36" s="1176" t="s">
        <v>1650</v>
      </c>
    </row>
    <row r="37" spans="1:3" ht="14.25">
      <c r="A37" s="3244"/>
      <c r="B37" s="3240"/>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43996</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44876</v>
      </c>
      <c r="D4" s="3127" t="s">
        <v>1914</v>
      </c>
      <c r="E4" s="3127">
        <f ca="1">IF(F4&lt;B2,"已过期",96010014)</f>
        <v>96010014</v>
      </c>
      <c r="F4" s="3130">
        <v>47118</v>
      </c>
    </row>
    <row r="5" spans="1:6" ht="20.25" customHeight="1">
      <c r="A5" s="3127"/>
      <c r="B5" s="3127"/>
      <c r="C5" s="3129"/>
      <c r="D5" s="3127"/>
      <c r="E5" s="3127"/>
      <c r="F5" s="3130"/>
    </row>
    <row r="6" spans="1:6" ht="20.25" customHeight="1">
      <c r="A6" s="3127" t="s">
        <v>1915</v>
      </c>
      <c r="B6" s="3127">
        <f ca="1">IF(C6&lt;B2,"已过期",1119970111)</f>
        <v>1119970111</v>
      </c>
      <c r="C6" s="3129">
        <v>44876</v>
      </c>
      <c r="D6" s="3127" t="s">
        <v>1915</v>
      </c>
      <c r="E6" s="3127">
        <f ca="1">IF(F6&lt;B2,"已过期",94010078)</f>
        <v>94010078</v>
      </c>
      <c r="F6" s="3130">
        <v>46387</v>
      </c>
    </row>
    <row r="7" spans="1:6" ht="20.25" customHeight="1">
      <c r="A7" s="3127" t="s">
        <v>1916</v>
      </c>
      <c r="B7" s="3127">
        <f ca="1">IF(C7&lt;B2,"已过期",1120050019)</f>
        <v>1120050019</v>
      </c>
      <c r="C7" s="3129">
        <v>44395</v>
      </c>
      <c r="D7" s="3127" t="s">
        <v>1916</v>
      </c>
      <c r="E7" s="3127">
        <f ca="1">IF(F7&lt;B2,"已过期",2002110030)</f>
        <v>2002110030</v>
      </c>
      <c r="F7" s="3130">
        <v>46387</v>
      </c>
    </row>
    <row r="8" spans="1:6" ht="20.25" customHeight="1">
      <c r="A8" s="3127" t="s">
        <v>1917</v>
      </c>
      <c r="B8" s="3127">
        <f ca="1">IF(C8&lt;B2,"已过期",1120000080)</f>
        <v>1120000080</v>
      </c>
      <c r="C8" s="3129">
        <v>44876</v>
      </c>
      <c r="D8" s="3127" t="s">
        <v>1917</v>
      </c>
      <c r="E8" s="3127">
        <f ca="1">IF(F8&lt;B2,"已过期",2000110082)</f>
        <v>2000110082</v>
      </c>
      <c r="F8" s="3130">
        <v>46387</v>
      </c>
    </row>
    <row r="9" spans="1:6" ht="20.25" customHeight="1">
      <c r="A9" s="3127" t="s">
        <v>1918</v>
      </c>
      <c r="B9" s="3127">
        <f ca="1">IF(C9&lt;B2,"已过期",1419970001)</f>
        <v>1419970001</v>
      </c>
      <c r="C9" s="3129">
        <v>44899</v>
      </c>
      <c r="D9" s="3127" t="s">
        <v>1918</v>
      </c>
      <c r="E9" s="3127">
        <f ca="1">IF(F9&lt;B2,"已过期",2002110125)</f>
        <v>2002110125</v>
      </c>
      <c r="F9" s="3130">
        <v>47118</v>
      </c>
    </row>
    <row r="10" spans="1:6" ht="20.25" customHeight="1">
      <c r="A10" s="3127" t="s">
        <v>1919</v>
      </c>
      <c r="B10" s="3127">
        <f ca="1">IF(C10&lt;B2,"已过期",1120060040)</f>
        <v>1120060040</v>
      </c>
      <c r="C10" s="3129">
        <v>44554</v>
      </c>
      <c r="D10" s="3127" t="s">
        <v>1919</v>
      </c>
      <c r="E10" s="3127">
        <f ca="1">IF(F10&lt;B2,"已过期",2004110096)</f>
        <v>2004110096</v>
      </c>
      <c r="F10" s="3130">
        <v>47118</v>
      </c>
    </row>
    <row r="11" spans="1:6" ht="20.25" customHeight="1">
      <c r="A11" s="3127" t="s">
        <v>1920</v>
      </c>
      <c r="B11" s="3127">
        <f ca="1">IF(C11&lt;B2,"已过期",1120100036)</f>
        <v>1120100036</v>
      </c>
      <c r="C11" s="3129">
        <v>44675</v>
      </c>
      <c r="D11" s="3127" t="s">
        <v>1920</v>
      </c>
      <c r="E11" s="3127">
        <f ca="1">IF(F11&lt;B2,"已过期",2010110070)</f>
        <v>2010110070</v>
      </c>
      <c r="F11" s="3130">
        <v>47907</v>
      </c>
    </row>
    <row r="12" spans="1:6" ht="20.25" customHeight="1">
      <c r="A12" s="3127"/>
      <c r="B12" s="3127"/>
      <c r="C12" s="3129"/>
      <c r="D12" s="3127"/>
      <c r="E12" s="3127"/>
      <c r="F12" s="3130"/>
    </row>
    <row r="13" spans="1:6" ht="20.25" customHeight="1">
      <c r="A13" s="3127" t="s">
        <v>1921</v>
      </c>
      <c r="B13" s="3127">
        <f ca="1">IF(C13&lt;B2,"已过期",1120070131)</f>
        <v>1120070131</v>
      </c>
      <c r="C13" s="3129">
        <v>44849</v>
      </c>
      <c r="D13" s="3127" t="s">
        <v>1921</v>
      </c>
      <c r="E13" s="3127">
        <f ca="1">IF(F13&lt;B2,"已过期",2014110011)</f>
        <v>2014110011</v>
      </c>
      <c r="F13" s="3130">
        <v>49302</v>
      </c>
    </row>
    <row r="14" spans="1:6" ht="20.25" customHeight="1">
      <c r="A14" s="3127" t="s">
        <v>2973</v>
      </c>
      <c r="B14" s="3127">
        <f ca="1">IF(C14&lt;B2,"已过期",1120040230)</f>
        <v>1120040230</v>
      </c>
      <c r="C14" s="3131">
        <v>44864</v>
      </c>
      <c r="D14" s="3132" t="s">
        <v>2974</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2987</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1922</v>
      </c>
      <c r="E21" s="3127">
        <f ca="1">IF(F21&lt;B2,"已过期",2011110090)</f>
        <v>2011110090</v>
      </c>
      <c r="F21" s="3130">
        <v>48302</v>
      </c>
    </row>
    <row r="22" spans="1:7" ht="20.25" customHeight="1">
      <c r="A22" s="3127" t="s">
        <v>1923</v>
      </c>
      <c r="B22" s="3127">
        <f ca="1">IF(C22&lt;B2,"已过期",1120020033)</f>
        <v>1120020033</v>
      </c>
      <c r="C22" s="3129">
        <v>44339</v>
      </c>
      <c r="D22" s="3127" t="s">
        <v>1923</v>
      </c>
      <c r="E22" s="3127">
        <f ca="1">IF(F22&lt;B2,"已过期",2000110137)</f>
        <v>2000110137</v>
      </c>
      <c r="F22" s="3130">
        <v>46387</v>
      </c>
    </row>
    <row r="23" spans="1:7" ht="20.25" customHeight="1">
      <c r="A23" s="3127" t="s">
        <v>2989</v>
      </c>
      <c r="B23" s="3127">
        <v>1119980106</v>
      </c>
      <c r="C23" s="3129">
        <v>44969</v>
      </c>
      <c r="D23" s="3127"/>
      <c r="E23" s="3127"/>
      <c r="F23" s="3127"/>
    </row>
    <row r="24" spans="1:7" s="3135" customFormat="1" ht="20.25" customHeight="1">
      <c r="A24" s="3126" t="s">
        <v>2050</v>
      </c>
      <c r="B24" s="3126" t="s">
        <v>2050</v>
      </c>
      <c r="C24" s="3129"/>
      <c r="D24" s="3134" t="s">
        <v>2050</v>
      </c>
      <c r="E24" s="3126" t="s">
        <v>2050</v>
      </c>
      <c r="F24" s="3133"/>
    </row>
    <row r="25" spans="1:7" ht="20.25" customHeight="1">
      <c r="A25" s="3249" t="s">
        <v>1924</v>
      </c>
      <c r="B25" s="3249"/>
      <c r="C25" s="3249"/>
      <c r="D25" s="3249"/>
      <c r="E25" s="3249"/>
      <c r="F25" s="3249"/>
      <c r="G25" s="3249"/>
    </row>
    <row r="26" spans="1:7" ht="20.25" customHeight="1">
      <c r="A26" s="3250" t="s">
        <v>1925</v>
      </c>
      <c r="B26" s="3250"/>
      <c r="C26" s="3250"/>
      <c r="D26" s="3250" t="s">
        <v>1926</v>
      </c>
      <c r="E26" s="3250"/>
      <c r="F26" s="3250"/>
    </row>
    <row r="27" spans="1:7" s="3122" customFormat="1" ht="20.25" customHeight="1">
      <c r="A27" s="3136" t="s">
        <v>1927</v>
      </c>
      <c r="B27" s="3137" t="s">
        <v>1928</v>
      </c>
      <c r="C27" s="3137" t="s">
        <v>1929</v>
      </c>
      <c r="D27" s="3127" t="s">
        <v>1927</v>
      </c>
      <c r="E27" s="3137" t="s">
        <v>1928</v>
      </c>
      <c r="F27" s="3137" t="s">
        <v>1929</v>
      </c>
    </row>
    <row r="28" spans="1:7" s="3122" customFormat="1" ht="20.25" customHeight="1">
      <c r="A28" s="3138" t="s">
        <v>1930</v>
      </c>
      <c r="B28" s="3138" t="s">
        <v>1931</v>
      </c>
      <c r="C28" s="3130">
        <v>44820</v>
      </c>
      <c r="D28" s="3138" t="s">
        <v>1932</v>
      </c>
      <c r="E28" s="3138" t="s">
        <v>1933</v>
      </c>
      <c r="F28" s="3139">
        <v>44377</v>
      </c>
    </row>
    <row r="29" spans="1:7" s="3122" customFormat="1" ht="20.25" customHeight="1">
      <c r="A29" s="3138"/>
      <c r="B29" s="3138"/>
      <c r="C29" s="3140"/>
      <c r="D29" s="3138" t="s">
        <v>1934</v>
      </c>
      <c r="E29" s="3138" t="s">
        <v>2988</v>
      </c>
      <c r="F29" s="3139">
        <v>44012</v>
      </c>
    </row>
    <row r="30" spans="1:7" ht="20.25" customHeight="1">
      <c r="C30" s="3141"/>
      <c r="D30" s="3141"/>
    </row>
  </sheetData>
  <sheetProtection sheet="1" objects="1" scenarios="1"/>
  <mergeCells count="3">
    <mergeCell ref="A25:G25"/>
    <mergeCell ref="A26:C26"/>
    <mergeCell ref="D26:F26"/>
  </mergeCells>
  <phoneticPr fontId="4"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2541</v>
      </c>
      <c r="R1" s="2544" t="s">
        <v>2535</v>
      </c>
      <c r="S1" s="6" t="s">
        <v>146</v>
      </c>
      <c r="T1" s="7" t="s">
        <v>147</v>
      </c>
      <c r="U1" s="6" t="s">
        <v>148</v>
      </c>
      <c r="V1" s="6" t="s">
        <v>149</v>
      </c>
      <c r="W1" s="1002"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2536</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2537</v>
      </c>
      <c r="S3" s="9" t="s">
        <v>84</v>
      </c>
      <c r="T3" s="9" t="s">
        <v>85</v>
      </c>
      <c r="U3" s="9" t="s">
        <v>84</v>
      </c>
      <c r="V3" s="9" t="s">
        <v>86</v>
      </c>
      <c r="W3" s="9" t="s">
        <v>876</v>
      </c>
    </row>
    <row r="4" spans="1:23">
      <c r="A4" s="8" t="s">
        <v>87</v>
      </c>
      <c r="B4" s="8" t="s">
        <v>152</v>
      </c>
      <c r="C4" s="1535" t="s">
        <v>1711</v>
      </c>
      <c r="D4" s="9" t="s">
        <v>1992</v>
      </c>
      <c r="E4" s="9" t="s">
        <v>88</v>
      </c>
      <c r="F4" s="9" t="s">
        <v>89</v>
      </c>
      <c r="G4" s="9">
        <v>70</v>
      </c>
      <c r="H4" s="9" t="s">
        <v>90</v>
      </c>
      <c r="I4" s="9" t="s">
        <v>91</v>
      </c>
      <c r="K4" s="9" t="s">
        <v>92</v>
      </c>
      <c r="L4" s="9" t="s">
        <v>92</v>
      </c>
      <c r="M4" s="9" t="s">
        <v>92</v>
      </c>
      <c r="N4" s="9" t="s">
        <v>92</v>
      </c>
      <c r="O4" s="9" t="s">
        <v>92</v>
      </c>
      <c r="P4" s="1004" t="s">
        <v>760</v>
      </c>
      <c r="Q4" s="9" t="s">
        <v>92</v>
      </c>
      <c r="R4" s="1004" t="s">
        <v>2538</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4" t="s">
        <v>546</v>
      </c>
      <c r="Q5" s="9" t="s">
        <v>97</v>
      </c>
      <c r="R5" s="1004" t="s">
        <v>2539</v>
      </c>
      <c r="S5" s="9" t="s">
        <v>97</v>
      </c>
      <c r="T5" s="9" t="s">
        <v>98</v>
      </c>
      <c r="U5" s="9" t="s">
        <v>97</v>
      </c>
      <c r="W5" s="9" t="s">
        <v>878</v>
      </c>
    </row>
    <row r="6" spans="1:23">
      <c r="A6" s="8" t="s">
        <v>99</v>
      </c>
      <c r="B6" s="1143" t="s">
        <v>1640</v>
      </c>
      <c r="C6" s="1537" t="s">
        <v>1713</v>
      </c>
      <c r="F6" s="9" t="s">
        <v>71</v>
      </c>
      <c r="H6" s="9" t="s">
        <v>72</v>
      </c>
      <c r="I6" s="9" t="s">
        <v>100</v>
      </c>
      <c r="K6" s="9" t="s">
        <v>101</v>
      </c>
      <c r="L6" s="9" t="s">
        <v>101</v>
      </c>
      <c r="M6" s="9" t="s">
        <v>101</v>
      </c>
      <c r="N6" s="9" t="s">
        <v>101</v>
      </c>
      <c r="O6" s="9" t="s">
        <v>101</v>
      </c>
      <c r="P6" s="1004" t="s">
        <v>881</v>
      </c>
      <c r="Q6" s="9" t="s">
        <v>101</v>
      </c>
      <c r="R6" s="1004" t="s">
        <v>2540</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60" t="s">
        <v>2947</v>
      </c>
      <c r="C18" s="1538"/>
    </row>
    <row r="19" spans="1:3">
      <c r="A19" s="8" t="s">
        <v>120</v>
      </c>
      <c r="B19" s="3060" t="s">
        <v>2955</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通州区马驹桥镇国家环保产业园区YZ00-073-6004、6006地块R2二类居住用地出让国有建设用地使用权作为抵押担保物，向建行办理贷款手续。建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51"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21日，在规划利用条件下、设定土地开发程度为红线外“七通”、宗地内场地未平整，设定用途为住宅、地下仓储、地下车库，剩余土地使用年限为住宅69.5年、地下仓储及地下车库49.5年的出让国有建设用地使用权价格。</v>
      </c>
      <c r="D53" s="1750"/>
      <c r="E53" s="1750"/>
    </row>
    <row r="54" spans="1:5">
      <c r="A54" s="3251"/>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51"/>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51"/>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51"/>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3" t="s">
        <v>2049</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2020-06-14T09:51:12Z</dcterms:modified>
</cp:coreProperties>
</file>