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225" windowWidth="7575" windowHeight="9405" tabRatio="899" firstSheet="15"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抵押物汇总表" sheetId="79" r:id="rId14"/>
    <sheet name="数据-汇总表" sheetId="6" r:id="rId15"/>
    <sheet name="数据-取费表" sheetId="1" r:id="rId16"/>
    <sheet name="估价对象房地状况" sheetId="20" state="hidden" r:id="rId17"/>
    <sheet name="系统读取表" sheetId="74" state="hidden" r:id="rId18"/>
    <sheet name="结果表" sheetId="9" r:id="rId19"/>
    <sheet name="成本法" sheetId="68" r:id="rId20"/>
    <sheet name="成本法 (元)" sheetId="69" state="hidden" r:id="rId21"/>
    <sheet name="土地比较法-住宅" sheetId="39" r:id="rId22"/>
    <sheet name="住宅土地案例" sheetId="83" r:id="rId23"/>
    <sheet name="土地比较法-商业" sheetId="84" state="hidden" r:id="rId24"/>
    <sheet name="商业土地案例" sheetId="85" state="hidden" r:id="rId25"/>
    <sheet name="土地比较法-商业 (2017)" sheetId="90" r:id="rId26"/>
    <sheet name="2017年所用商业案例" sheetId="89" r:id="rId27"/>
    <sheet name="案例位置" sheetId="81" r:id="rId28"/>
    <sheet name="假设开发法" sheetId="12" r:id="rId29"/>
    <sheet name="比较法-住宅" sheetId="21" r:id="rId30"/>
    <sheet name="比较法-公寓" sheetId="88" state="hidden" r:id="rId31"/>
    <sheet name="比较法-商业" sheetId="33" r:id="rId32"/>
    <sheet name="收益法（商业）" sheetId="77" r:id="rId33"/>
    <sheet name="收益法（公寓）" sheetId="15" state="hidden" r:id="rId34"/>
    <sheet name="收益法（地下车库）" sheetId="78" r:id="rId35"/>
    <sheet name="收益法 (元)" sheetId="67" state="hidden" r:id="rId36"/>
    <sheet name="收益法（汇总）" sheetId="70" state="hidden" r:id="rId37"/>
    <sheet name="酒店收入计算" sheetId="66" state="hidden" r:id="rId38"/>
    <sheet name="比较法-办公" sheetId="34" state="hidden" r:id="rId39"/>
    <sheet name="比较法-工业" sheetId="37" state="hidden" r:id="rId40"/>
    <sheet name="比较法-车位" sheetId="35" state="hidden"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Sheet10" sheetId="86" r:id="rId55"/>
  </sheet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0" hidden="1">'比较法-公寓'!$A$1:$L$49</definedName>
    <definedName name="_xlnm._FilterDatabase" localSheetId="31" hidden="1">'比较法-商业'!$A$1:$L$49</definedName>
    <definedName name="_xlnm._FilterDatabase" localSheetId="29"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23" hidden="1">'土地比较法-商业'!$A$1:$L$48</definedName>
    <definedName name="_xlnm._FilterDatabase" localSheetId="25" hidden="1">'土地比较法-商业 (2017)'!$A$1:$L$48</definedName>
    <definedName name="_xlnm._FilterDatabase" localSheetId="21" hidden="1">'土地比较法-住宅'!$A$1:$L$48</definedName>
    <definedName name="_xlnm._FilterDatabase" localSheetId="10" hidden="1">项目基本情况!$A$42:$N$42</definedName>
    <definedName name="_xlnm.Print_Area" localSheetId="8">估价师及机构信息!$A$1:$F$29</definedName>
    <definedName name="_xlnm.Print_Area" localSheetId="35">'收益法 (元)'!$A$1:$AK$69</definedName>
    <definedName name="_xlnm.Print_Area" localSheetId="34">'收益法（地下车库）'!$A$1:$AK$69</definedName>
    <definedName name="_xlnm.Print_Area" localSheetId="33">'收益法（公寓）'!$A$1:$AK$69</definedName>
    <definedName name="_xlnm.Print_Area" localSheetId="32">'收益法（商业）'!$A$1:$AK$69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23">'土地比较法-商业'!$A$73:$M$73</definedName>
    <definedName name="套工交易情况" localSheetId="25">'土地比较法-商业 (2017)'!$A$73:$M$73</definedName>
    <definedName name="套工交易情况">'土地比较法-住宅'!$A$73:$M$73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23">'土地比较法-商业'!$B$106:$M$106</definedName>
    <definedName name="套综道路等级" localSheetId="25">'土地比较法-商业 (2017)'!$B$106:$M$106</definedName>
    <definedName name="套综道路等级">'土地比较法-住宅'!$B$106:$M$106</definedName>
    <definedName name="套综工程地质条件" localSheetId="23">'土地比较法-商业'!$B$125:$M$125</definedName>
    <definedName name="套综工程地质条件" localSheetId="25">'土地比较法-商业 (2017)'!$B$125:$M$125</definedName>
    <definedName name="套综工程地质条件">'土地比较法-住宅'!$B$125:$M$125</definedName>
    <definedName name="套综交易情况" localSheetId="23">'土地比较法-商业'!$A$73:$M$73</definedName>
    <definedName name="套综交易情况" localSheetId="25">'土地比较法-商业 (2017)'!$A$73:$M$73</definedName>
    <definedName name="套综交易情况">'土地比较法-住宅'!$A$73:$M$73</definedName>
    <definedName name="套综临街宽度及深度" localSheetId="23">'土地比较法-商业'!$B$121:$M$121</definedName>
    <definedName name="套综临街宽度及深度" localSheetId="25">'土地比较法-商业 (2017)'!$B$121:$M$121</definedName>
    <definedName name="套综临街宽度及深度">'土地比较法-住宅'!$B$121:$M$121</definedName>
    <definedName name="套综土地级别" localSheetId="23">'土地比较法-商业'!$B$108:$M$108</definedName>
    <definedName name="套综土地级别" localSheetId="25">'土地比较法-商业 (2017)'!$B$108:$M$108</definedName>
    <definedName name="套综土地级别">'土地比较法-住宅'!$B$108:$M$108</definedName>
    <definedName name="套综用途" localSheetId="23">'土地比较法-商业'!$B$75:$M$75</definedName>
    <definedName name="套综用途" localSheetId="25">'土地比较法-商业 (2017)'!$B$75:$M$75</definedName>
    <definedName name="套综用途">'土地比较法-住宅'!$B$75:$M$75</definedName>
    <definedName name="套综宗地内开发程度" localSheetId="23">'土地比较法-商业'!$B$123:$M$123</definedName>
    <definedName name="套综宗地内开发程度" localSheetId="25">'土地比较法-商业 (2017)'!$B$123:$M$123</definedName>
    <definedName name="套综宗地内开发程度">'土地比较法-住宅'!$B$123:$M$123</definedName>
    <definedName name="套综宗地形状" localSheetId="23">'土地比较法-商业'!$B$119:$M$119</definedName>
    <definedName name="套综宗地形状" localSheetId="25">'土地比较法-商业 (2017)'!$B$119:$M$119</definedName>
    <definedName name="套综宗地形状">'土地比较法-住宅'!$B$119:$M$119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0">'比较法-公寓'!$B$88:$M$88</definedName>
    <definedName name="住宅朝向">'比较法-住宅'!$B$88:$M$88</definedName>
    <definedName name="住宅房型" localSheetId="30">'比较法-公寓'!$B$118:$M$118</definedName>
    <definedName name="住宅房型">'比较法-住宅'!$B$118:$M$118</definedName>
    <definedName name="住宅公共部分装修" localSheetId="30">'比较法-公寓'!$B$109:$M$109</definedName>
    <definedName name="住宅公共部分装修">'比较法-住宅'!$B$109:$M$109</definedName>
    <definedName name="住宅基础设施水平" localSheetId="30">'比较法-公寓'!$B$116:$M$116</definedName>
    <definedName name="住宅基础设施水平">'比较法-住宅'!$B$116:$M$116</definedName>
    <definedName name="住宅建筑结构" localSheetId="30">'比较法-公寓'!$B$105:$M$105</definedName>
    <definedName name="住宅建筑结构">'比较法-住宅'!$B$105:$M$105</definedName>
    <definedName name="住宅建筑类型" localSheetId="30">'比较法-公寓'!$B$100:$M$100</definedName>
    <definedName name="住宅建筑类型">'比较法-住宅'!$B$100:$M$100</definedName>
    <definedName name="住宅建筑品质" localSheetId="30">'比较法-公寓'!$B$107:$M$107</definedName>
    <definedName name="住宅建筑品质">'比较法-住宅'!$B$107:$M$107</definedName>
    <definedName name="住宅交易情况" localSheetId="30">'比较法-公寓'!$A$61:$M$61</definedName>
    <definedName name="住宅交易情况">'比较法-住宅'!$A$61:$M$61</definedName>
    <definedName name="住宅楼层" localSheetId="30">'比较法-公寓'!$B$86:$M$86</definedName>
    <definedName name="住宅楼层">'比较法-住宅'!$B$86:$M$86</definedName>
    <definedName name="住宅内部装修" localSheetId="30">'比较法-公寓'!$B$122:$M$122</definedName>
    <definedName name="住宅内部装修">'比较法-住宅'!$B$122:$M$122</definedName>
    <definedName name="住宅物业管理" localSheetId="30">'比较法-公寓'!$B$114:$M$114</definedName>
    <definedName name="住宅物业管理">'比较法-住宅'!$B$114:$M$114</definedName>
    <definedName name="住宅用途" localSheetId="30">'比较法-公寓'!$B$63:$M$63</definedName>
    <definedName name="住宅用途">'比较法-住宅'!$B$63:$M$63</definedName>
    <definedName name="住宅主力户型面积" localSheetId="30">'比较法-公寓'!$B$120:$M$120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T14" i="3" l="1"/>
  <c r="AN13" i="3"/>
  <c r="AL13" i="3"/>
  <c r="Q13" i="3"/>
  <c r="O13" i="3"/>
  <c r="M13" i="3"/>
  <c r="K13" i="3"/>
  <c r="E58" i="90"/>
  <c r="E57" i="90"/>
  <c r="G51" i="79"/>
  <c r="G55" i="79"/>
  <c r="G58" i="79" l="1"/>
  <c r="K49" i="79" l="1"/>
  <c r="H49" i="79"/>
  <c r="I48" i="79"/>
  <c r="H48" i="79"/>
  <c r="K48" i="79" s="1"/>
  <c r="G48" i="79"/>
  <c r="J47" i="79"/>
  <c r="I47" i="79"/>
  <c r="K47" i="79" s="1"/>
  <c r="G47" i="79"/>
  <c r="J46" i="79"/>
  <c r="I46" i="79"/>
  <c r="K46" i="79" s="1"/>
  <c r="G46" i="79"/>
  <c r="J45" i="79"/>
  <c r="I45" i="79"/>
  <c r="K45" i="79" s="1"/>
  <c r="G45" i="79"/>
  <c r="F34" i="6" l="1"/>
  <c r="K15" i="79"/>
  <c r="K14" i="79"/>
  <c r="K13" i="79"/>
  <c r="K12" i="79"/>
  <c r="K11" i="79"/>
  <c r="K10" i="79"/>
  <c r="K9" i="79"/>
  <c r="I41" i="79"/>
  <c r="K30" i="79"/>
  <c r="K29" i="79"/>
  <c r="K28" i="79"/>
  <c r="K27" i="79"/>
  <c r="K26" i="79"/>
  <c r="K25" i="79"/>
  <c r="K24" i="79"/>
  <c r="K23" i="79"/>
  <c r="K22" i="79"/>
  <c r="L14" i="1" l="1"/>
  <c r="N14" i="1" l="1"/>
  <c r="N9" i="1"/>
  <c r="N8" i="1"/>
  <c r="G7" i="90" l="1"/>
  <c r="I7" i="90"/>
  <c r="E7" i="90"/>
  <c r="I38" i="90"/>
  <c r="G38" i="90"/>
  <c r="E38" i="90"/>
  <c r="F75" i="90"/>
  <c r="E75" i="90"/>
  <c r="D75" i="90"/>
  <c r="I6" i="90"/>
  <c r="I5" i="90"/>
  <c r="G6" i="90"/>
  <c r="G5" i="90"/>
  <c r="E6" i="90"/>
  <c r="E5" i="90"/>
  <c r="B131" i="90"/>
  <c r="B129" i="90"/>
  <c r="B127" i="90"/>
  <c r="D126" i="90"/>
  <c r="E126" i="90" s="1"/>
  <c r="F126" i="90" s="1"/>
  <c r="G126" i="90" s="1"/>
  <c r="H126" i="90" s="1"/>
  <c r="I126" i="90" s="1"/>
  <c r="J126" i="90" s="1"/>
  <c r="K126" i="90" s="1"/>
  <c r="L126" i="90" s="1"/>
  <c r="M126" i="90" s="1"/>
  <c r="D124" i="90"/>
  <c r="E124" i="90" s="1"/>
  <c r="F124" i="90" s="1"/>
  <c r="G124" i="90" s="1"/>
  <c r="H124" i="90" s="1"/>
  <c r="I124" i="90" s="1"/>
  <c r="J124" i="90" s="1"/>
  <c r="K124" i="90" s="1"/>
  <c r="L124" i="90" s="1"/>
  <c r="M124" i="90" s="1"/>
  <c r="D122" i="90"/>
  <c r="E122" i="90" s="1"/>
  <c r="F122" i="90" s="1"/>
  <c r="G122" i="90" s="1"/>
  <c r="H122" i="90" s="1"/>
  <c r="I122" i="90" s="1"/>
  <c r="J122" i="90" s="1"/>
  <c r="K122" i="90" s="1"/>
  <c r="L122" i="90" s="1"/>
  <c r="M122" i="90" s="1"/>
  <c r="D120" i="90"/>
  <c r="E120" i="90" s="1"/>
  <c r="F120" i="90" s="1"/>
  <c r="G120" i="90" s="1"/>
  <c r="H120" i="90" s="1"/>
  <c r="I120" i="90" s="1"/>
  <c r="J120" i="90" s="1"/>
  <c r="K120" i="90" s="1"/>
  <c r="L120" i="90" s="1"/>
  <c r="M120" i="90" s="1"/>
  <c r="M116" i="90"/>
  <c r="L116" i="90"/>
  <c r="K116" i="90"/>
  <c r="J116" i="90"/>
  <c r="I116" i="90"/>
  <c r="H116" i="90"/>
  <c r="G116" i="90"/>
  <c r="F116" i="90"/>
  <c r="E116" i="90"/>
  <c r="D116" i="90"/>
  <c r="C116" i="90"/>
  <c r="B114" i="90"/>
  <c r="B112" i="90"/>
  <c r="B110" i="90"/>
  <c r="D109" i="90"/>
  <c r="E109" i="90" s="1"/>
  <c r="F109" i="90" s="1"/>
  <c r="G109" i="90" s="1"/>
  <c r="H109" i="90" s="1"/>
  <c r="I109" i="90" s="1"/>
  <c r="J109" i="90" s="1"/>
  <c r="K109" i="90" s="1"/>
  <c r="L109" i="90" s="1"/>
  <c r="M109" i="90" s="1"/>
  <c r="D107" i="90"/>
  <c r="E107" i="90" s="1"/>
  <c r="F107" i="90" s="1"/>
  <c r="G107" i="90" s="1"/>
  <c r="H107" i="90" s="1"/>
  <c r="I107" i="90" s="1"/>
  <c r="J107" i="90" s="1"/>
  <c r="K107" i="90" s="1"/>
  <c r="L107" i="90" s="1"/>
  <c r="M107" i="90" s="1"/>
  <c r="D105" i="90"/>
  <c r="E105" i="90" s="1"/>
  <c r="F105" i="90" s="1"/>
  <c r="G105" i="90" s="1"/>
  <c r="H105" i="90" s="1"/>
  <c r="I105" i="90" s="1"/>
  <c r="J105" i="90" s="1"/>
  <c r="K105" i="90" s="1"/>
  <c r="L105" i="90" s="1"/>
  <c r="M105" i="90" s="1"/>
  <c r="B104" i="90"/>
  <c r="E103" i="90"/>
  <c r="F103" i="90" s="1"/>
  <c r="G103" i="90" s="1"/>
  <c r="D103" i="90"/>
  <c r="E101" i="90"/>
  <c r="F101" i="90" s="1"/>
  <c r="G101" i="90" s="1"/>
  <c r="D101" i="90"/>
  <c r="E99" i="90"/>
  <c r="F99" i="90" s="1"/>
  <c r="G99" i="90" s="1"/>
  <c r="D99" i="90"/>
  <c r="E97" i="90"/>
  <c r="F97" i="90" s="1"/>
  <c r="G97" i="90" s="1"/>
  <c r="D97" i="90"/>
  <c r="D95" i="90"/>
  <c r="E95" i="90" s="1"/>
  <c r="F95" i="90" s="1"/>
  <c r="G95" i="90" s="1"/>
  <c r="D93" i="90"/>
  <c r="E93" i="90" s="1"/>
  <c r="F93" i="90" s="1"/>
  <c r="G93" i="90" s="1"/>
  <c r="E91" i="90"/>
  <c r="F91" i="90" s="1"/>
  <c r="G91" i="90" s="1"/>
  <c r="D91" i="90"/>
  <c r="D89" i="90"/>
  <c r="E89" i="90" s="1"/>
  <c r="F89" i="90" s="1"/>
  <c r="G89" i="90" s="1"/>
  <c r="B86" i="90"/>
  <c r="B84" i="90"/>
  <c r="B82" i="90"/>
  <c r="D81" i="90"/>
  <c r="E81" i="90" s="1"/>
  <c r="F81" i="90" s="1"/>
  <c r="G81" i="90" s="1"/>
  <c r="H81" i="90" s="1"/>
  <c r="I81" i="90" s="1"/>
  <c r="J81" i="90" s="1"/>
  <c r="K81" i="90" s="1"/>
  <c r="L81" i="90" s="1"/>
  <c r="M81" i="90" s="1"/>
  <c r="M79" i="90"/>
  <c r="L79" i="90"/>
  <c r="K79" i="90"/>
  <c r="J79" i="90"/>
  <c r="I79" i="90"/>
  <c r="H79" i="90"/>
  <c r="G79" i="90"/>
  <c r="F79" i="90"/>
  <c r="E79" i="90"/>
  <c r="D79" i="90"/>
  <c r="C79" i="90"/>
  <c r="D71" i="90"/>
  <c r="E71" i="90" s="1"/>
  <c r="F71" i="90" s="1"/>
  <c r="G71" i="90" s="1"/>
  <c r="H71" i="90" s="1"/>
  <c r="I71" i="90" s="1"/>
  <c r="J71" i="90" s="1"/>
  <c r="K71" i="90" s="1"/>
  <c r="L71" i="90" s="1"/>
  <c r="M71" i="90" s="1"/>
  <c r="N71" i="90" s="1"/>
  <c r="O71" i="90" s="1"/>
  <c r="P71" i="90" s="1"/>
  <c r="Q71" i="90" s="1"/>
  <c r="R71" i="90" s="1"/>
  <c r="S71" i="90" s="1"/>
  <c r="T71" i="90" s="1"/>
  <c r="U71" i="90" s="1"/>
  <c r="V71" i="90" s="1"/>
  <c r="H65" i="90"/>
  <c r="I65" i="90" s="1"/>
  <c r="C65" i="90"/>
  <c r="H64" i="90"/>
  <c r="I64" i="90" s="1"/>
  <c r="C64" i="90"/>
  <c r="H63" i="90"/>
  <c r="I63" i="90" s="1"/>
  <c r="C63" i="90"/>
  <c r="H62" i="90"/>
  <c r="I62" i="90" s="1"/>
  <c r="C62" i="90"/>
  <c r="H61" i="90"/>
  <c r="I61" i="90" s="1"/>
  <c r="C61" i="90"/>
  <c r="H60" i="90"/>
  <c r="I60" i="90" s="1"/>
  <c r="C60" i="90"/>
  <c r="I59" i="90"/>
  <c r="H59" i="90"/>
  <c r="C59" i="90"/>
  <c r="H58" i="90"/>
  <c r="I58" i="90" s="1"/>
  <c r="C58" i="90"/>
  <c r="I57" i="90"/>
  <c r="H57" i="90"/>
  <c r="C57" i="90"/>
  <c r="J55" i="90"/>
  <c r="I53" i="90"/>
  <c r="J53" i="90" s="1"/>
  <c r="H53" i="90"/>
  <c r="G53" i="90"/>
  <c r="E53" i="90"/>
  <c r="F53" i="90" s="1"/>
  <c r="P48" i="90"/>
  <c r="P47" i="90"/>
  <c r="V46" i="90"/>
  <c r="T46" i="90"/>
  <c r="R46" i="90"/>
  <c r="P46" i="90"/>
  <c r="Q45" i="90"/>
  <c r="Z45" i="90" s="1"/>
  <c r="J45" i="90"/>
  <c r="AC45" i="90" s="1"/>
  <c r="H45" i="90"/>
  <c r="AB45" i="90" s="1"/>
  <c r="F45" i="90"/>
  <c r="AA45" i="90" s="1"/>
  <c r="Q44" i="90"/>
  <c r="Z44" i="90" s="1"/>
  <c r="J44" i="90"/>
  <c r="AC44" i="90" s="1"/>
  <c r="H44" i="90"/>
  <c r="AB44" i="90" s="1"/>
  <c r="F44" i="90"/>
  <c r="AA44" i="90" s="1"/>
  <c r="Q43" i="90"/>
  <c r="Z43" i="90" s="1"/>
  <c r="J43" i="90"/>
  <c r="AC43" i="90" s="1"/>
  <c r="H43" i="90"/>
  <c r="AB43" i="90" s="1"/>
  <c r="F43" i="90"/>
  <c r="AA43" i="90" s="1"/>
  <c r="Q42" i="90"/>
  <c r="Z42" i="90" s="1"/>
  <c r="J42" i="90"/>
  <c r="AC42" i="90" s="1"/>
  <c r="H42" i="90"/>
  <c r="AB42" i="90" s="1"/>
  <c r="F42" i="90"/>
  <c r="AA42" i="90" s="1"/>
  <c r="Q41" i="90"/>
  <c r="Z41" i="90" s="1"/>
  <c r="J41" i="90"/>
  <c r="AC41" i="90" s="1"/>
  <c r="H41" i="90"/>
  <c r="AB41" i="90" s="1"/>
  <c r="F41" i="90"/>
  <c r="AA41" i="90" s="1"/>
  <c r="Q40" i="90"/>
  <c r="Z40" i="90" s="1"/>
  <c r="J40" i="90"/>
  <c r="AC40" i="90" s="1"/>
  <c r="H40" i="90"/>
  <c r="AB40" i="90" s="1"/>
  <c r="F40" i="90"/>
  <c r="AA40" i="90" s="1"/>
  <c r="Q39" i="90"/>
  <c r="Z39" i="90" s="1"/>
  <c r="J39" i="90"/>
  <c r="AC39" i="90" s="1"/>
  <c r="H39" i="90"/>
  <c r="AB39" i="90" s="1"/>
  <c r="F39" i="90"/>
  <c r="AA39" i="90" s="1"/>
  <c r="Q38" i="90"/>
  <c r="Z38" i="90" s="1"/>
  <c r="Q37" i="90"/>
  <c r="Z37" i="90" s="1"/>
  <c r="J37" i="90"/>
  <c r="AC37" i="90" s="1"/>
  <c r="H37" i="90"/>
  <c r="AB37" i="90" s="1"/>
  <c r="F37" i="90"/>
  <c r="AA37" i="90" s="1"/>
  <c r="Q36" i="90"/>
  <c r="Z36" i="90" s="1"/>
  <c r="J36" i="90"/>
  <c r="AC36" i="90" s="1"/>
  <c r="H36" i="90"/>
  <c r="AB36" i="90" s="1"/>
  <c r="F36" i="90"/>
  <c r="AA36" i="90" s="1"/>
  <c r="Q35" i="90"/>
  <c r="Z35" i="90" s="1"/>
  <c r="J35" i="90"/>
  <c r="AC35" i="90" s="1"/>
  <c r="H35" i="90"/>
  <c r="AB35" i="90" s="1"/>
  <c r="F35" i="90"/>
  <c r="AA35" i="90" s="1"/>
  <c r="Q34" i="90"/>
  <c r="Z34" i="90" s="1"/>
  <c r="J34" i="90"/>
  <c r="AC34" i="90" s="1"/>
  <c r="H34" i="90"/>
  <c r="AB34" i="90" s="1"/>
  <c r="F34" i="90"/>
  <c r="AA34" i="90" s="1"/>
  <c r="Q32" i="90"/>
  <c r="Z32" i="90" s="1"/>
  <c r="J32" i="90"/>
  <c r="AC32" i="90" s="1"/>
  <c r="H32" i="90"/>
  <c r="AB32" i="90" s="1"/>
  <c r="F32" i="90"/>
  <c r="AA32" i="90" s="1"/>
  <c r="Q31" i="90"/>
  <c r="Z31" i="90" s="1"/>
  <c r="J31" i="90"/>
  <c r="AC31" i="90" s="1"/>
  <c r="H31" i="90"/>
  <c r="AB31" i="90" s="1"/>
  <c r="F31" i="90"/>
  <c r="AA31" i="90" s="1"/>
  <c r="Q29" i="90"/>
  <c r="Z29" i="90" s="1"/>
  <c r="J29" i="90"/>
  <c r="AC29" i="90" s="1"/>
  <c r="H29" i="90"/>
  <c r="AB29" i="90" s="1"/>
  <c r="F29" i="90"/>
  <c r="AA29" i="90" s="1"/>
  <c r="C29" i="90"/>
  <c r="Q27" i="90"/>
  <c r="Z27" i="90" s="1"/>
  <c r="J27" i="90"/>
  <c r="AC27" i="90" s="1"/>
  <c r="H27" i="90"/>
  <c r="AB27" i="90" s="1"/>
  <c r="F27" i="90"/>
  <c r="AA27" i="90" s="1"/>
  <c r="C27" i="90"/>
  <c r="Q25" i="90"/>
  <c r="Z25" i="90" s="1"/>
  <c r="J25" i="90"/>
  <c r="AC25" i="90" s="1"/>
  <c r="H25" i="90"/>
  <c r="AB25" i="90" s="1"/>
  <c r="F25" i="90"/>
  <c r="AA25" i="90" s="1"/>
  <c r="C25" i="90"/>
  <c r="Q23" i="90"/>
  <c r="Z23" i="90" s="1"/>
  <c r="J23" i="90"/>
  <c r="AC23" i="90" s="1"/>
  <c r="H23" i="90"/>
  <c r="AB23" i="90" s="1"/>
  <c r="F23" i="90"/>
  <c r="AA23" i="90" s="1"/>
  <c r="C23" i="90"/>
  <c r="Q21" i="90"/>
  <c r="Z21" i="90" s="1"/>
  <c r="J21" i="90"/>
  <c r="AC21" i="90" s="1"/>
  <c r="H21" i="90"/>
  <c r="AB21" i="90" s="1"/>
  <c r="F21" i="90"/>
  <c r="AA21" i="90" s="1"/>
  <c r="C21" i="90"/>
  <c r="Q19" i="90"/>
  <c r="Z19" i="90" s="1"/>
  <c r="J19" i="90"/>
  <c r="AC19" i="90" s="1"/>
  <c r="H19" i="90"/>
  <c r="AB19" i="90" s="1"/>
  <c r="F19" i="90"/>
  <c r="AA19" i="90" s="1"/>
  <c r="C19" i="90"/>
  <c r="Q17" i="90"/>
  <c r="Z17" i="90" s="1"/>
  <c r="J17" i="90"/>
  <c r="AC17" i="90" s="1"/>
  <c r="H17" i="90"/>
  <c r="AB17" i="90" s="1"/>
  <c r="F17" i="90"/>
  <c r="AA17" i="90" s="1"/>
  <c r="C17" i="90"/>
  <c r="Q15" i="90"/>
  <c r="Z15" i="90" s="1"/>
  <c r="J15" i="90"/>
  <c r="AC15" i="90" s="1"/>
  <c r="H15" i="90"/>
  <c r="AB15" i="90" s="1"/>
  <c r="F15" i="90"/>
  <c r="S15" i="90" s="1"/>
  <c r="C15" i="90"/>
  <c r="Q14" i="90"/>
  <c r="Z14" i="90" s="1"/>
  <c r="J14" i="90"/>
  <c r="AC14" i="90" s="1"/>
  <c r="H14" i="90"/>
  <c r="AB14" i="90" s="1"/>
  <c r="F14" i="90"/>
  <c r="AA14" i="90" s="1"/>
  <c r="Q13" i="90"/>
  <c r="Z13" i="90" s="1"/>
  <c r="J13" i="90"/>
  <c r="AC13" i="90" s="1"/>
  <c r="H13" i="90"/>
  <c r="U13" i="90" s="1"/>
  <c r="F13" i="90"/>
  <c r="AA13" i="90" s="1"/>
  <c r="Q12" i="90"/>
  <c r="Z12" i="90" s="1"/>
  <c r="J12" i="90"/>
  <c r="AC12" i="90" s="1"/>
  <c r="H12" i="90"/>
  <c r="AB12" i="90" s="1"/>
  <c r="F12" i="90"/>
  <c r="AA12" i="90" s="1"/>
  <c r="Q11" i="90"/>
  <c r="Z11" i="90" s="1"/>
  <c r="Q10" i="90"/>
  <c r="Z10" i="90" s="1"/>
  <c r="Q9" i="90"/>
  <c r="Z9" i="90" s="1"/>
  <c r="J9" i="90"/>
  <c r="AC9" i="90" s="1"/>
  <c r="H9" i="90"/>
  <c r="AB9" i="90" s="1"/>
  <c r="F9" i="90"/>
  <c r="AA9" i="90" s="1"/>
  <c r="W8" i="90"/>
  <c r="S8" i="90"/>
  <c r="J8" i="90"/>
  <c r="AC8" i="90" s="1"/>
  <c r="H8" i="90"/>
  <c r="U8" i="90" s="1"/>
  <c r="F8" i="90"/>
  <c r="AA8" i="90" s="1"/>
  <c r="C7" i="90"/>
  <c r="C68" i="90" s="1"/>
  <c r="AB8" i="90" l="1"/>
  <c r="W9" i="90"/>
  <c r="C70" i="90"/>
  <c r="D68" i="90"/>
  <c r="S9" i="90"/>
  <c r="S12" i="90"/>
  <c r="W12" i="90"/>
  <c r="AB13" i="90"/>
  <c r="S14" i="90"/>
  <c r="W14" i="90"/>
  <c r="W15" i="90"/>
  <c r="AA15" i="90"/>
  <c r="W17" i="90"/>
  <c r="S19" i="90"/>
  <c r="W19" i="90"/>
  <c r="S21" i="90"/>
  <c r="W21" i="90"/>
  <c r="S23" i="90"/>
  <c r="W23" i="90"/>
  <c r="S25" i="90"/>
  <c r="W25" i="90"/>
  <c r="U9" i="90"/>
  <c r="U12" i="90"/>
  <c r="S13" i="90"/>
  <c r="W13" i="90"/>
  <c r="U14" i="90"/>
  <c r="U15" i="90"/>
  <c r="U17" i="90"/>
  <c r="U19" i="90"/>
  <c r="U21" i="90"/>
  <c r="U23" i="90"/>
  <c r="U25" i="90"/>
  <c r="U27" i="90"/>
  <c r="U29" i="90"/>
  <c r="S31" i="90"/>
  <c r="W31" i="90"/>
  <c r="U32" i="90"/>
  <c r="S34" i="90"/>
  <c r="W34" i="90"/>
  <c r="U35" i="90"/>
  <c r="S36" i="90"/>
  <c r="W36" i="90"/>
  <c r="U37" i="90"/>
  <c r="S39" i="90"/>
  <c r="W39" i="90"/>
  <c r="U40" i="90"/>
  <c r="S41" i="90"/>
  <c r="W41" i="90"/>
  <c r="U42" i="90"/>
  <c r="S43" i="90"/>
  <c r="W43" i="90"/>
  <c r="U44" i="90"/>
  <c r="S45" i="90"/>
  <c r="W45" i="90"/>
  <c r="S17" i="90"/>
  <c r="S27" i="90"/>
  <c r="W27" i="90"/>
  <c r="S29" i="90"/>
  <c r="W29" i="90"/>
  <c r="U31" i="90"/>
  <c r="S32" i="90"/>
  <c r="W32" i="90"/>
  <c r="U34" i="90"/>
  <c r="S35" i="90"/>
  <c r="W35" i="90"/>
  <c r="U36" i="90"/>
  <c r="S37" i="90"/>
  <c r="W37" i="90"/>
  <c r="U39" i="90"/>
  <c r="S40" i="90"/>
  <c r="W40" i="90"/>
  <c r="U41" i="90"/>
  <c r="S42" i="90"/>
  <c r="W42" i="90"/>
  <c r="U43" i="90"/>
  <c r="S44" i="90"/>
  <c r="W44" i="90"/>
  <c r="U45" i="90"/>
  <c r="D70" i="90" l="1"/>
  <c r="E68" i="90"/>
  <c r="E70" i="90" l="1"/>
  <c r="F68" i="90"/>
  <c r="F70" i="90" l="1"/>
  <c r="G68" i="90"/>
  <c r="G70" i="90" l="1"/>
  <c r="H68" i="90"/>
  <c r="H70" i="90" l="1"/>
  <c r="I68" i="90"/>
  <c r="I70" i="90" l="1"/>
  <c r="J68" i="90"/>
  <c r="J70" i="90" l="1"/>
  <c r="K68" i="90"/>
  <c r="K70" i="90" l="1"/>
  <c r="L68" i="90"/>
  <c r="L70" i="90" l="1"/>
  <c r="M68" i="90"/>
  <c r="M70" i="90" l="1"/>
  <c r="N68" i="90"/>
  <c r="N70" i="90" l="1"/>
  <c r="O68" i="90"/>
  <c r="O70" i="90" s="1"/>
  <c r="F7" i="90" l="1"/>
  <c r="J7" i="90"/>
  <c r="H7" i="90"/>
  <c r="AB7" i="90" l="1"/>
  <c r="U7" i="90"/>
  <c r="W7" i="90"/>
  <c r="AC7" i="90"/>
  <c r="S7" i="90"/>
  <c r="AA7" i="90"/>
  <c r="Q10" i="12" l="1"/>
  <c r="I7" i="33" l="1"/>
  <c r="G7" i="33"/>
  <c r="C145" i="88"/>
  <c r="J142" i="88"/>
  <c r="J140" i="88"/>
  <c r="K145" i="88" s="1"/>
  <c r="K139" i="88"/>
  <c r="K143" i="88" s="1"/>
  <c r="B130" i="88"/>
  <c r="B128" i="88"/>
  <c r="B126" i="88"/>
  <c r="E125" i="88"/>
  <c r="F125" i="88" s="1"/>
  <c r="G125" i="88" s="1"/>
  <c r="D125" i="88"/>
  <c r="E123" i="88"/>
  <c r="F123" i="88" s="1"/>
  <c r="G123" i="88" s="1"/>
  <c r="H123" i="88" s="1"/>
  <c r="I123" i="88" s="1"/>
  <c r="J123" i="88" s="1"/>
  <c r="K123" i="88" s="1"/>
  <c r="L123" i="88" s="1"/>
  <c r="M123" i="88" s="1"/>
  <c r="D123" i="88"/>
  <c r="E119" i="88"/>
  <c r="F119" i="88" s="1"/>
  <c r="G119" i="88" s="1"/>
  <c r="H119" i="88" s="1"/>
  <c r="I119" i="88" s="1"/>
  <c r="J119" i="88" s="1"/>
  <c r="K119" i="88" s="1"/>
  <c r="L119" i="88" s="1"/>
  <c r="M119" i="88" s="1"/>
  <c r="D119" i="88"/>
  <c r="E117" i="88"/>
  <c r="F117" i="88" s="1"/>
  <c r="G117" i="88" s="1"/>
  <c r="D117" i="88"/>
  <c r="E115" i="88"/>
  <c r="F115" i="88" s="1"/>
  <c r="G115" i="88" s="1"/>
  <c r="H115" i="88" s="1"/>
  <c r="I115" i="88" s="1"/>
  <c r="J115" i="88" s="1"/>
  <c r="K115" i="88" s="1"/>
  <c r="L115" i="88" s="1"/>
  <c r="M115" i="88" s="1"/>
  <c r="D115" i="88"/>
  <c r="D113" i="88"/>
  <c r="E113" i="88" s="1"/>
  <c r="F113" i="88" s="1"/>
  <c r="G113" i="88" s="1"/>
  <c r="H113" i="88" s="1"/>
  <c r="H111" i="88"/>
  <c r="G111" i="88"/>
  <c r="F111" i="88"/>
  <c r="E111" i="88"/>
  <c r="D111" i="88"/>
  <c r="C111" i="88"/>
  <c r="E110" i="88"/>
  <c r="F110" i="88" s="1"/>
  <c r="G110" i="88" s="1"/>
  <c r="H110" i="88" s="1"/>
  <c r="I110" i="88" s="1"/>
  <c r="J110" i="88" s="1"/>
  <c r="K110" i="88" s="1"/>
  <c r="L110" i="88" s="1"/>
  <c r="M110" i="88" s="1"/>
  <c r="D110" i="88"/>
  <c r="E108" i="88"/>
  <c r="F108" i="88" s="1"/>
  <c r="G108" i="88" s="1"/>
  <c r="H108" i="88" s="1"/>
  <c r="I108" i="88" s="1"/>
  <c r="J108" i="88" s="1"/>
  <c r="K108" i="88" s="1"/>
  <c r="L108" i="88" s="1"/>
  <c r="M108" i="88" s="1"/>
  <c r="D108" i="88"/>
  <c r="E106" i="88"/>
  <c r="F106" i="88" s="1"/>
  <c r="G106" i="88" s="1"/>
  <c r="H106" i="88" s="1"/>
  <c r="I106" i="88" s="1"/>
  <c r="J106" i="88" s="1"/>
  <c r="K106" i="88" s="1"/>
  <c r="L106" i="88" s="1"/>
  <c r="M106" i="88" s="1"/>
  <c r="D106" i="88"/>
  <c r="M102" i="88"/>
  <c r="L102" i="88"/>
  <c r="K102" i="88"/>
  <c r="J102" i="88"/>
  <c r="I102" i="88"/>
  <c r="H102" i="88"/>
  <c r="G102" i="88"/>
  <c r="F102" i="88"/>
  <c r="E102" i="88"/>
  <c r="D102" i="88"/>
  <c r="C102" i="88"/>
  <c r="D101" i="88"/>
  <c r="E101" i="88" s="1"/>
  <c r="F101" i="88" s="1"/>
  <c r="G101" i="88" s="1"/>
  <c r="H101" i="88" s="1"/>
  <c r="I101" i="88" s="1"/>
  <c r="J101" i="88" s="1"/>
  <c r="K101" i="88" s="1"/>
  <c r="L101" i="88" s="1"/>
  <c r="M101" i="88" s="1"/>
  <c r="B98" i="88"/>
  <c r="B96" i="88"/>
  <c r="B94" i="88"/>
  <c r="B92" i="88"/>
  <c r="B90" i="88"/>
  <c r="E89" i="88"/>
  <c r="F89" i="88" s="1"/>
  <c r="G89" i="88" s="1"/>
  <c r="H89" i="88" s="1"/>
  <c r="I89" i="88" s="1"/>
  <c r="J89" i="88" s="1"/>
  <c r="K89" i="88" s="1"/>
  <c r="L89" i="88" s="1"/>
  <c r="M89" i="88" s="1"/>
  <c r="D89" i="88"/>
  <c r="M87" i="88"/>
  <c r="L87" i="88"/>
  <c r="K87" i="88"/>
  <c r="J87" i="88"/>
  <c r="I87" i="88"/>
  <c r="H87" i="88"/>
  <c r="G87" i="88"/>
  <c r="F87" i="88"/>
  <c r="E87" i="88"/>
  <c r="D87" i="88"/>
  <c r="E85" i="88"/>
  <c r="F85" i="88" s="1"/>
  <c r="G85" i="88" s="1"/>
  <c r="D85" i="88"/>
  <c r="E83" i="88"/>
  <c r="F83" i="88" s="1"/>
  <c r="G83" i="88" s="1"/>
  <c r="D83" i="88"/>
  <c r="D81" i="88"/>
  <c r="E81" i="88" s="1"/>
  <c r="F81" i="88" s="1"/>
  <c r="G81" i="88" s="1"/>
  <c r="D79" i="88"/>
  <c r="E79" i="88" s="1"/>
  <c r="F79" i="88" s="1"/>
  <c r="G79" i="88" s="1"/>
  <c r="D77" i="88"/>
  <c r="E77" i="88" s="1"/>
  <c r="F77" i="88" s="1"/>
  <c r="G77" i="88" s="1"/>
  <c r="B74" i="88"/>
  <c r="B72" i="88"/>
  <c r="B70" i="88"/>
  <c r="D69" i="88"/>
  <c r="E69" i="88" s="1"/>
  <c r="F69" i="88" s="1"/>
  <c r="G69" i="88" s="1"/>
  <c r="H69" i="88" s="1"/>
  <c r="I69" i="88" s="1"/>
  <c r="J69" i="88" s="1"/>
  <c r="K69" i="88" s="1"/>
  <c r="L69" i="88" s="1"/>
  <c r="M69" i="88" s="1"/>
  <c r="M67" i="88"/>
  <c r="L67" i="88"/>
  <c r="K67" i="88"/>
  <c r="J67" i="88"/>
  <c r="I67" i="88"/>
  <c r="H67" i="88"/>
  <c r="G67" i="88"/>
  <c r="F67" i="88"/>
  <c r="E67" i="88"/>
  <c r="D67" i="88"/>
  <c r="C67" i="88"/>
  <c r="D66" i="88"/>
  <c r="E66" i="88" s="1"/>
  <c r="F66" i="88" s="1"/>
  <c r="G66" i="88" s="1"/>
  <c r="H66" i="88" s="1"/>
  <c r="I66" i="88" s="1"/>
  <c r="C63" i="88"/>
  <c r="I54" i="88"/>
  <c r="J54" i="88" s="1"/>
  <c r="G54" i="88"/>
  <c r="H54" i="88" s="1"/>
  <c r="E54" i="88"/>
  <c r="F54" i="88" s="1"/>
  <c r="P49" i="88"/>
  <c r="P48" i="88"/>
  <c r="V47" i="88"/>
  <c r="T47" i="88"/>
  <c r="R47" i="88"/>
  <c r="P47" i="88"/>
  <c r="Q46" i="88"/>
  <c r="Z46" i="88" s="1"/>
  <c r="J46" i="88"/>
  <c r="AC46" i="88" s="1"/>
  <c r="H46" i="88"/>
  <c r="AB46" i="88" s="1"/>
  <c r="F46" i="88"/>
  <c r="AA46" i="88" s="1"/>
  <c r="Q45" i="88"/>
  <c r="Z45" i="88" s="1"/>
  <c r="J45" i="88"/>
  <c r="AC45" i="88" s="1"/>
  <c r="H45" i="88"/>
  <c r="AB45" i="88" s="1"/>
  <c r="F45" i="88"/>
  <c r="AA45" i="88" s="1"/>
  <c r="Q44" i="88"/>
  <c r="Z44" i="88" s="1"/>
  <c r="J44" i="88"/>
  <c r="AC44" i="88" s="1"/>
  <c r="H44" i="88"/>
  <c r="AB44" i="88" s="1"/>
  <c r="F44" i="88"/>
  <c r="Q43" i="88"/>
  <c r="Z43" i="88" s="1"/>
  <c r="J43" i="88"/>
  <c r="AC43" i="88" s="1"/>
  <c r="H43" i="88"/>
  <c r="AB43" i="88" s="1"/>
  <c r="F43" i="88"/>
  <c r="AA43" i="88" s="1"/>
  <c r="Q42" i="88"/>
  <c r="Z42" i="88" s="1"/>
  <c r="J42" i="88"/>
  <c r="AC42" i="88" s="1"/>
  <c r="H42" i="88"/>
  <c r="AB42" i="88" s="1"/>
  <c r="F42" i="88"/>
  <c r="AA42" i="88" s="1"/>
  <c r="Q41" i="88"/>
  <c r="Z41" i="88" s="1"/>
  <c r="J41" i="88"/>
  <c r="AC41" i="88" s="1"/>
  <c r="H41" i="88"/>
  <c r="AB41" i="88" s="1"/>
  <c r="F41" i="88"/>
  <c r="AA41" i="88" s="1"/>
  <c r="Q40" i="88"/>
  <c r="Z40" i="88" s="1"/>
  <c r="J40" i="88"/>
  <c r="AC40" i="88" s="1"/>
  <c r="H40" i="88"/>
  <c r="AB40" i="88" s="1"/>
  <c r="F40" i="88"/>
  <c r="AA40" i="88" s="1"/>
  <c r="Q39" i="88"/>
  <c r="Z39" i="88" s="1"/>
  <c r="J39" i="88"/>
  <c r="AC39" i="88" s="1"/>
  <c r="H39" i="88"/>
  <c r="AB39" i="88" s="1"/>
  <c r="F39" i="88"/>
  <c r="AA39" i="88" s="1"/>
  <c r="Q38" i="88"/>
  <c r="Z38" i="88" s="1"/>
  <c r="J38" i="88"/>
  <c r="AC38" i="88" s="1"/>
  <c r="H38" i="88"/>
  <c r="AB38" i="88" s="1"/>
  <c r="F38" i="88"/>
  <c r="AA38" i="88" s="1"/>
  <c r="Q37" i="88"/>
  <c r="Z37" i="88" s="1"/>
  <c r="J37" i="88"/>
  <c r="AC37" i="88" s="1"/>
  <c r="H37" i="88"/>
  <c r="AB37" i="88" s="1"/>
  <c r="F37" i="88"/>
  <c r="AA37" i="88" s="1"/>
  <c r="Q36" i="88"/>
  <c r="Z36" i="88" s="1"/>
  <c r="J36" i="88"/>
  <c r="AC36" i="88" s="1"/>
  <c r="H36" i="88"/>
  <c r="AB36" i="88" s="1"/>
  <c r="F36" i="88"/>
  <c r="AA36" i="88" s="1"/>
  <c r="Q35" i="88"/>
  <c r="Z35" i="88" s="1"/>
  <c r="J35" i="88"/>
  <c r="AC35" i="88" s="1"/>
  <c r="H35" i="88"/>
  <c r="AB35" i="88" s="1"/>
  <c r="F35" i="88"/>
  <c r="AA35" i="88" s="1"/>
  <c r="Q34" i="88"/>
  <c r="Z34" i="88" s="1"/>
  <c r="J34" i="88"/>
  <c r="AC34" i="88" s="1"/>
  <c r="H34" i="88"/>
  <c r="AB34" i="88" s="1"/>
  <c r="F34" i="88"/>
  <c r="AA34" i="88" s="1"/>
  <c r="Q33" i="88"/>
  <c r="Z33" i="88" s="1"/>
  <c r="J33" i="88"/>
  <c r="AC33" i="88" s="1"/>
  <c r="H33" i="88"/>
  <c r="AB33" i="88" s="1"/>
  <c r="F33" i="88"/>
  <c r="AA33" i="88" s="1"/>
  <c r="Q32" i="88"/>
  <c r="Z32" i="88" s="1"/>
  <c r="J32" i="88"/>
  <c r="AC32" i="88" s="1"/>
  <c r="H32" i="88"/>
  <c r="AB32" i="88" s="1"/>
  <c r="F32" i="88"/>
  <c r="AA32" i="88" s="1"/>
  <c r="Q31" i="88"/>
  <c r="Z31" i="88" s="1"/>
  <c r="J31" i="88"/>
  <c r="AC31" i="88" s="1"/>
  <c r="H31" i="88"/>
  <c r="AB31" i="88" s="1"/>
  <c r="F31" i="88"/>
  <c r="AA31" i="88" s="1"/>
  <c r="Q30" i="88"/>
  <c r="Z30" i="88" s="1"/>
  <c r="J30" i="88"/>
  <c r="AC30" i="88" s="1"/>
  <c r="H30" i="88"/>
  <c r="AB30" i="88" s="1"/>
  <c r="F30" i="88"/>
  <c r="AA30" i="88" s="1"/>
  <c r="Q29" i="88"/>
  <c r="Z29" i="88" s="1"/>
  <c r="J29" i="88"/>
  <c r="AC29" i="88" s="1"/>
  <c r="H29" i="88"/>
  <c r="AB29" i="88" s="1"/>
  <c r="F29" i="88"/>
  <c r="AA29" i="88" s="1"/>
  <c r="Q28" i="88"/>
  <c r="Z28" i="88" s="1"/>
  <c r="J28" i="88"/>
  <c r="AC28" i="88" s="1"/>
  <c r="H28" i="88"/>
  <c r="AB28" i="88" s="1"/>
  <c r="F28" i="88"/>
  <c r="AA28" i="88" s="1"/>
  <c r="Q27" i="88"/>
  <c r="Z27" i="88" s="1"/>
  <c r="J27" i="88"/>
  <c r="AC27" i="88" s="1"/>
  <c r="H27" i="88"/>
  <c r="AB27" i="88" s="1"/>
  <c r="F27" i="88"/>
  <c r="AA27" i="88" s="1"/>
  <c r="Q26" i="88"/>
  <c r="Z26" i="88" s="1"/>
  <c r="J26" i="88"/>
  <c r="AC26" i="88" s="1"/>
  <c r="H26" i="88"/>
  <c r="AB26" i="88" s="1"/>
  <c r="F26" i="88"/>
  <c r="AA26" i="88" s="1"/>
  <c r="Q25" i="88"/>
  <c r="Z25" i="88" s="1"/>
  <c r="J25" i="88"/>
  <c r="AC25" i="88" s="1"/>
  <c r="H25" i="88"/>
  <c r="AB25" i="88" s="1"/>
  <c r="F25" i="88"/>
  <c r="AA25" i="88" s="1"/>
  <c r="Q23" i="88"/>
  <c r="Z23" i="88" s="1"/>
  <c r="J23" i="88"/>
  <c r="AC23" i="88" s="1"/>
  <c r="H23" i="88"/>
  <c r="AB23" i="88" s="1"/>
  <c r="F23" i="88"/>
  <c r="AA23" i="88" s="1"/>
  <c r="C23" i="88"/>
  <c r="Q21" i="88"/>
  <c r="Z21" i="88" s="1"/>
  <c r="J21" i="88"/>
  <c r="AC21" i="88" s="1"/>
  <c r="H21" i="88"/>
  <c r="AB21" i="88" s="1"/>
  <c r="F21" i="88"/>
  <c r="AA21" i="88" s="1"/>
  <c r="C21" i="88"/>
  <c r="Q19" i="88"/>
  <c r="Z19" i="88" s="1"/>
  <c r="J19" i="88"/>
  <c r="AC19" i="88" s="1"/>
  <c r="H19" i="88"/>
  <c r="AB19" i="88" s="1"/>
  <c r="F19" i="88"/>
  <c r="AA19" i="88" s="1"/>
  <c r="C19" i="88"/>
  <c r="Q17" i="88"/>
  <c r="Z17" i="88" s="1"/>
  <c r="J17" i="88"/>
  <c r="AC17" i="88" s="1"/>
  <c r="H17" i="88"/>
  <c r="AB17" i="88" s="1"/>
  <c r="F17" i="88"/>
  <c r="AA17" i="88" s="1"/>
  <c r="C17" i="88"/>
  <c r="Q15" i="88"/>
  <c r="Z15" i="88" s="1"/>
  <c r="J15" i="88"/>
  <c r="H15" i="88"/>
  <c r="AB15" i="88" s="1"/>
  <c r="F15" i="88"/>
  <c r="AA15" i="88" s="1"/>
  <c r="C15" i="88"/>
  <c r="Q14" i="88"/>
  <c r="Z14" i="88" s="1"/>
  <c r="J14" i="88"/>
  <c r="AC14" i="88" s="1"/>
  <c r="H14" i="88"/>
  <c r="AB14" i="88" s="1"/>
  <c r="F14" i="88"/>
  <c r="AA14" i="88" s="1"/>
  <c r="Q13" i="88"/>
  <c r="Z13" i="88" s="1"/>
  <c r="J13" i="88"/>
  <c r="AC13" i="88" s="1"/>
  <c r="H13" i="88"/>
  <c r="AB13" i="88" s="1"/>
  <c r="F13" i="88"/>
  <c r="AA13" i="88" s="1"/>
  <c r="AC12" i="88"/>
  <c r="W12" i="88"/>
  <c r="Q12" i="88"/>
  <c r="Z12" i="88" s="1"/>
  <c r="J12" i="88"/>
  <c r="H12" i="88"/>
  <c r="AB12" i="88" s="1"/>
  <c r="F12" i="88"/>
  <c r="AA12" i="88" s="1"/>
  <c r="Q11" i="88"/>
  <c r="Z11" i="88" s="1"/>
  <c r="Q10" i="88"/>
  <c r="Z10" i="88" s="1"/>
  <c r="J10" i="88"/>
  <c r="AC10" i="88" s="1"/>
  <c r="H10" i="88"/>
  <c r="AB10" i="88" s="1"/>
  <c r="F10" i="88"/>
  <c r="AA10" i="88" s="1"/>
  <c r="Q9" i="88"/>
  <c r="Z9" i="88" s="1"/>
  <c r="J9" i="88"/>
  <c r="AC9" i="88" s="1"/>
  <c r="H9" i="88"/>
  <c r="AB9" i="88" s="1"/>
  <c r="F9" i="88"/>
  <c r="AA9" i="88" s="1"/>
  <c r="U8" i="88"/>
  <c r="J8" i="88"/>
  <c r="W8" i="88" s="1"/>
  <c r="H8" i="88"/>
  <c r="AB8" i="88" s="1"/>
  <c r="F8" i="88"/>
  <c r="S8" i="88" s="1"/>
  <c r="I7" i="88"/>
  <c r="G7" i="88"/>
  <c r="C7" i="88"/>
  <c r="C58" i="88" s="1"/>
  <c r="D58" i="88" s="1"/>
  <c r="E58" i="88" s="1"/>
  <c r="F58" i="88" s="1"/>
  <c r="G58" i="88" s="1"/>
  <c r="H58" i="88" s="1"/>
  <c r="I58" i="88" s="1"/>
  <c r="J58" i="88" s="1"/>
  <c r="K58" i="88" s="1"/>
  <c r="L58" i="88" s="1"/>
  <c r="M58" i="88" s="1"/>
  <c r="N58" i="88" s="1"/>
  <c r="O58" i="88" s="1"/>
  <c r="I7" i="21"/>
  <c r="G7" i="21"/>
  <c r="D2" i="88"/>
  <c r="H7" i="88" l="1"/>
  <c r="U7" i="88" s="1"/>
  <c r="J7" i="88"/>
  <c r="AC7" i="88" s="1"/>
  <c r="U10" i="88"/>
  <c r="AB7" i="88"/>
  <c r="W7" i="88"/>
  <c r="AA8" i="88"/>
  <c r="AC8" i="88"/>
  <c r="U9" i="88"/>
  <c r="S14" i="88"/>
  <c r="F7" i="88"/>
  <c r="S9" i="88"/>
  <c r="W9" i="88"/>
  <c r="S12" i="88"/>
  <c r="U13" i="88"/>
  <c r="W14" i="88"/>
  <c r="AC15" i="88"/>
  <c r="W15" i="88"/>
  <c r="S15" i="88"/>
  <c r="S17" i="88"/>
  <c r="W17" i="88"/>
  <c r="S19" i="88"/>
  <c r="W19" i="88"/>
  <c r="S21" i="88"/>
  <c r="W21" i="88"/>
  <c r="S23" i="88"/>
  <c r="W23" i="88"/>
  <c r="U25" i="88"/>
  <c r="S26" i="88"/>
  <c r="W26" i="88"/>
  <c r="U27" i="88"/>
  <c r="S28" i="88"/>
  <c r="W28" i="88"/>
  <c r="U29" i="88"/>
  <c r="S30" i="88"/>
  <c r="W30" i="88"/>
  <c r="U31" i="88"/>
  <c r="S32" i="88"/>
  <c r="W32" i="88"/>
  <c r="U33" i="88"/>
  <c r="S34" i="88"/>
  <c r="W34" i="88"/>
  <c r="U35" i="88"/>
  <c r="S36" i="88"/>
  <c r="W36" i="88"/>
  <c r="U37" i="88"/>
  <c r="S38" i="88"/>
  <c r="W38" i="88"/>
  <c r="U39" i="88"/>
  <c r="S40" i="88"/>
  <c r="W40" i="88"/>
  <c r="U41" i="88"/>
  <c r="S42" i="88"/>
  <c r="W42" i="88"/>
  <c r="U43" i="88"/>
  <c r="AA44" i="88"/>
  <c r="S44" i="88"/>
  <c r="S10" i="88"/>
  <c r="W10" i="88"/>
  <c r="U12" i="88"/>
  <c r="S13" i="88"/>
  <c r="W13" i="88"/>
  <c r="U14" i="88"/>
  <c r="U15" i="88"/>
  <c r="U17" i="88"/>
  <c r="U19" i="88"/>
  <c r="U21" i="88"/>
  <c r="U23" i="88"/>
  <c r="S25" i="88"/>
  <c r="W25" i="88"/>
  <c r="U26" i="88"/>
  <c r="S27" i="88"/>
  <c r="W27" i="88"/>
  <c r="U28" i="88"/>
  <c r="S29" i="88"/>
  <c r="W29" i="88"/>
  <c r="U30" i="88"/>
  <c r="S31" i="88"/>
  <c r="W31" i="88"/>
  <c r="U32" i="88"/>
  <c r="S33" i="88"/>
  <c r="W33" i="88"/>
  <c r="U34" i="88"/>
  <c r="S35" i="88"/>
  <c r="W35" i="88"/>
  <c r="U36" i="88"/>
  <c r="S37" i="88"/>
  <c r="W37" i="88"/>
  <c r="U38" i="88"/>
  <c r="S39" i="88"/>
  <c r="W39" i="88"/>
  <c r="U40" i="88"/>
  <c r="S41" i="88"/>
  <c r="W41" i="88"/>
  <c r="U42" i="88"/>
  <c r="S43" i="88"/>
  <c r="W43" i="88"/>
  <c r="W44" i="88"/>
  <c r="U45" i="88"/>
  <c r="S46" i="88"/>
  <c r="W46" i="88"/>
  <c r="K141" i="88"/>
  <c r="U44" i="88"/>
  <c r="S45" i="88"/>
  <c r="W45" i="88"/>
  <c r="U46" i="88"/>
  <c r="K144" i="88"/>
  <c r="D41" i="9"/>
  <c r="D40" i="9"/>
  <c r="B41" i="9"/>
  <c r="B40" i="9"/>
  <c r="AA7" i="88" l="1"/>
  <c r="S7" i="88"/>
  <c r="W21" i="1" l="1"/>
  <c r="W22" i="1"/>
  <c r="W23" i="1"/>
  <c r="W24" i="1"/>
  <c r="W25" i="1"/>
  <c r="W20" i="1"/>
  <c r="W26" i="1" l="1"/>
  <c r="U8" i="1" s="1"/>
  <c r="I38" i="84" l="1"/>
  <c r="G38" i="84"/>
  <c r="E38" i="84"/>
  <c r="E71" i="84"/>
  <c r="F71" i="84" s="1"/>
  <c r="G71" i="84" s="1"/>
  <c r="H71" i="84" s="1"/>
  <c r="I71" i="84" s="1"/>
  <c r="J71" i="84" s="1"/>
  <c r="K71" i="84" s="1"/>
  <c r="L71" i="84" s="1"/>
  <c r="M71" i="84" s="1"/>
  <c r="N71" i="84" s="1"/>
  <c r="O71" i="84" s="1"/>
  <c r="D71" i="84"/>
  <c r="I7" i="84"/>
  <c r="G7" i="84"/>
  <c r="E7" i="84"/>
  <c r="E75" i="84"/>
  <c r="D75" i="84"/>
  <c r="I6" i="84"/>
  <c r="I5" i="84"/>
  <c r="G6" i="84"/>
  <c r="G5" i="84"/>
  <c r="E6" i="84"/>
  <c r="E5" i="84"/>
  <c r="I38" i="39" l="1"/>
  <c r="G38" i="39"/>
  <c r="E38" i="39"/>
  <c r="I46" i="39"/>
  <c r="G46" i="39"/>
  <c r="E46" i="39"/>
  <c r="E71" i="39"/>
  <c r="F71" i="39" s="1"/>
  <c r="G71" i="39" s="1"/>
  <c r="H71" i="39" s="1"/>
  <c r="I71" i="39" s="1"/>
  <c r="J71" i="39" s="1"/>
  <c r="K71" i="39" s="1"/>
  <c r="L71" i="39" s="1"/>
  <c r="M71" i="39" s="1"/>
  <c r="N71" i="39" s="1"/>
  <c r="O71" i="39" s="1"/>
  <c r="D71" i="39"/>
  <c r="E75" i="39"/>
  <c r="D75" i="39"/>
  <c r="I7" i="39"/>
  <c r="G7" i="39"/>
  <c r="E7" i="39"/>
  <c r="I6" i="39"/>
  <c r="I5" i="39"/>
  <c r="G6" i="39"/>
  <c r="G5" i="39"/>
  <c r="E6" i="39"/>
  <c r="E5" i="39"/>
  <c r="B131" i="84"/>
  <c r="B129" i="84"/>
  <c r="J44" i="84" s="1"/>
  <c r="AC44" i="84" s="1"/>
  <c r="B127" i="84"/>
  <c r="D126" i="84"/>
  <c r="E126" i="84" s="1"/>
  <c r="F126" i="84" s="1"/>
  <c r="G126" i="84" s="1"/>
  <c r="H126" i="84" s="1"/>
  <c r="I126" i="84" s="1"/>
  <c r="J126" i="84" s="1"/>
  <c r="K126" i="84" s="1"/>
  <c r="L126" i="84" s="1"/>
  <c r="M126" i="84" s="1"/>
  <c r="D124" i="84"/>
  <c r="E124" i="84" s="1"/>
  <c r="F124" i="84" s="1"/>
  <c r="G124" i="84" s="1"/>
  <c r="H124" i="84" s="1"/>
  <c r="I124" i="84" s="1"/>
  <c r="J124" i="84" s="1"/>
  <c r="K124" i="84" s="1"/>
  <c r="L124" i="84" s="1"/>
  <c r="M124" i="84" s="1"/>
  <c r="D122" i="84"/>
  <c r="E122" i="84" s="1"/>
  <c r="F122" i="84" s="1"/>
  <c r="G122" i="84" s="1"/>
  <c r="H122" i="84" s="1"/>
  <c r="I122" i="84" s="1"/>
  <c r="J122" i="84" s="1"/>
  <c r="K122" i="84" s="1"/>
  <c r="L122" i="84" s="1"/>
  <c r="M122" i="84" s="1"/>
  <c r="D120" i="84"/>
  <c r="E120" i="84" s="1"/>
  <c r="F120" i="84" s="1"/>
  <c r="G120" i="84" s="1"/>
  <c r="H120" i="84" s="1"/>
  <c r="I120" i="84" s="1"/>
  <c r="J120" i="84" s="1"/>
  <c r="K120" i="84" s="1"/>
  <c r="L120" i="84" s="1"/>
  <c r="M120" i="84" s="1"/>
  <c r="M116" i="84"/>
  <c r="L116" i="84"/>
  <c r="K116" i="84"/>
  <c r="J116" i="84"/>
  <c r="I116" i="84"/>
  <c r="H116" i="84"/>
  <c r="G116" i="84"/>
  <c r="F116" i="84"/>
  <c r="E116" i="84"/>
  <c r="D116" i="84"/>
  <c r="C116" i="84"/>
  <c r="B114" i="84"/>
  <c r="B112" i="84"/>
  <c r="B110" i="84"/>
  <c r="D109" i="84"/>
  <c r="E109" i="84" s="1"/>
  <c r="F109" i="84" s="1"/>
  <c r="G109" i="84" s="1"/>
  <c r="H109" i="84" s="1"/>
  <c r="I109" i="84" s="1"/>
  <c r="J109" i="84" s="1"/>
  <c r="K109" i="84" s="1"/>
  <c r="L109" i="84" s="1"/>
  <c r="M109" i="84" s="1"/>
  <c r="D107" i="84"/>
  <c r="E107" i="84" s="1"/>
  <c r="F107" i="84" s="1"/>
  <c r="G107" i="84" s="1"/>
  <c r="H107" i="84" s="1"/>
  <c r="I107" i="84" s="1"/>
  <c r="J107" i="84" s="1"/>
  <c r="K107" i="84" s="1"/>
  <c r="L107" i="84" s="1"/>
  <c r="M107" i="84" s="1"/>
  <c r="D105" i="84"/>
  <c r="E105" i="84" s="1"/>
  <c r="F105" i="84" s="1"/>
  <c r="G105" i="84" s="1"/>
  <c r="H105" i="84" s="1"/>
  <c r="I105" i="84" s="1"/>
  <c r="J105" i="84" s="1"/>
  <c r="K105" i="84" s="1"/>
  <c r="L105" i="84" s="1"/>
  <c r="M105" i="84" s="1"/>
  <c r="B104" i="84"/>
  <c r="D103" i="84"/>
  <c r="E103" i="84" s="1"/>
  <c r="F103" i="84" s="1"/>
  <c r="G103" i="84" s="1"/>
  <c r="D101" i="84"/>
  <c r="E101" i="84" s="1"/>
  <c r="F101" i="84" s="1"/>
  <c r="G101" i="84" s="1"/>
  <c r="D99" i="84"/>
  <c r="E99" i="84" s="1"/>
  <c r="F99" i="84" s="1"/>
  <c r="G99" i="84" s="1"/>
  <c r="D97" i="84"/>
  <c r="E97" i="84" s="1"/>
  <c r="F97" i="84" s="1"/>
  <c r="G97" i="84" s="1"/>
  <c r="D95" i="84"/>
  <c r="E95" i="84" s="1"/>
  <c r="F95" i="84" s="1"/>
  <c r="G95" i="84" s="1"/>
  <c r="D93" i="84"/>
  <c r="E93" i="84" s="1"/>
  <c r="F93" i="84" s="1"/>
  <c r="G93" i="84" s="1"/>
  <c r="D91" i="84"/>
  <c r="E91" i="84" s="1"/>
  <c r="F91" i="84" s="1"/>
  <c r="G91" i="84" s="1"/>
  <c r="D89" i="84"/>
  <c r="E89" i="84" s="1"/>
  <c r="F89" i="84" s="1"/>
  <c r="G89" i="84" s="1"/>
  <c r="B86" i="84"/>
  <c r="J14" i="84" s="1"/>
  <c r="AC14" i="84" s="1"/>
  <c r="B84" i="84"/>
  <c r="B82" i="84"/>
  <c r="D81" i="84"/>
  <c r="E81" i="84" s="1"/>
  <c r="F81" i="84" s="1"/>
  <c r="G81" i="84" s="1"/>
  <c r="H81" i="84" s="1"/>
  <c r="I81" i="84" s="1"/>
  <c r="J81" i="84" s="1"/>
  <c r="K81" i="84" s="1"/>
  <c r="L81" i="84" s="1"/>
  <c r="M81" i="84" s="1"/>
  <c r="M79" i="84"/>
  <c r="L79" i="84"/>
  <c r="K79" i="84"/>
  <c r="J79" i="84"/>
  <c r="I79" i="84"/>
  <c r="H79" i="84"/>
  <c r="G79" i="84"/>
  <c r="F79" i="84"/>
  <c r="E79" i="84"/>
  <c r="D79" i="84"/>
  <c r="C79" i="84"/>
  <c r="H65" i="84"/>
  <c r="I65" i="84" s="1"/>
  <c r="C65" i="84" s="1"/>
  <c r="H64" i="84"/>
  <c r="I64" i="84" s="1"/>
  <c r="C64" i="84" s="1"/>
  <c r="H63" i="84"/>
  <c r="I63" i="84" s="1"/>
  <c r="C63" i="84" s="1"/>
  <c r="H62" i="84"/>
  <c r="I62" i="84" s="1"/>
  <c r="C62" i="84" s="1"/>
  <c r="H61" i="84"/>
  <c r="I61" i="84" s="1"/>
  <c r="C61" i="84" s="1"/>
  <c r="H60" i="84"/>
  <c r="I60" i="84" s="1"/>
  <c r="C60" i="84" s="1"/>
  <c r="I59" i="84"/>
  <c r="C59" i="84" s="1"/>
  <c r="H59" i="84"/>
  <c r="H58" i="84"/>
  <c r="I58" i="84" s="1"/>
  <c r="C58" i="84" s="1"/>
  <c r="I57" i="84"/>
  <c r="C57" i="84" s="1"/>
  <c r="H57" i="84"/>
  <c r="J55" i="84"/>
  <c r="I53" i="84"/>
  <c r="J53" i="84" s="1"/>
  <c r="G53" i="84"/>
  <c r="H53" i="84" s="1"/>
  <c r="E53" i="84"/>
  <c r="F53" i="84" s="1"/>
  <c r="P48" i="84"/>
  <c r="P47" i="84"/>
  <c r="V46" i="84"/>
  <c r="T46" i="84"/>
  <c r="R46" i="84"/>
  <c r="P46" i="84"/>
  <c r="Q45" i="84"/>
  <c r="Z45" i="84" s="1"/>
  <c r="J45" i="84"/>
  <c r="AC45" i="84" s="1"/>
  <c r="H45" i="84"/>
  <c r="AB45" i="84" s="1"/>
  <c r="F45" i="84"/>
  <c r="AA45" i="84" s="1"/>
  <c r="Q44" i="84"/>
  <c r="Z44" i="84" s="1"/>
  <c r="H44" i="84"/>
  <c r="AB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J37" i="84"/>
  <c r="AC37" i="84" s="1"/>
  <c r="H37" i="84"/>
  <c r="AB37" i="84" s="1"/>
  <c r="F37" i="84"/>
  <c r="AA37" i="84" s="1"/>
  <c r="Q36" i="84"/>
  <c r="Z36" i="84" s="1"/>
  <c r="J36" i="84"/>
  <c r="AC36" i="84" s="1"/>
  <c r="H36" i="84"/>
  <c r="AB36" i="84" s="1"/>
  <c r="F36" i="84"/>
  <c r="AA36" i="84" s="1"/>
  <c r="Q35" i="84"/>
  <c r="Z35" i="84" s="1"/>
  <c r="J35" i="84"/>
  <c r="AC35" i="84" s="1"/>
  <c r="H35" i="84"/>
  <c r="AB35" i="84" s="1"/>
  <c r="F35" i="84"/>
  <c r="AA35" i="84" s="1"/>
  <c r="Q34" i="84"/>
  <c r="Z34" i="84" s="1"/>
  <c r="J34" i="84"/>
  <c r="AC34" i="84" s="1"/>
  <c r="H34" i="84"/>
  <c r="AB34" i="84" s="1"/>
  <c r="F34" i="84"/>
  <c r="AA34" i="84" s="1"/>
  <c r="Q32" i="84"/>
  <c r="Z32" i="84" s="1"/>
  <c r="J32" i="84"/>
  <c r="AC32" i="84" s="1"/>
  <c r="H32" i="84"/>
  <c r="AB32" i="84" s="1"/>
  <c r="F32" i="84"/>
  <c r="AA32" i="84" s="1"/>
  <c r="Q31" i="84"/>
  <c r="Z31" i="84" s="1"/>
  <c r="J31" i="84"/>
  <c r="AC31" i="84" s="1"/>
  <c r="H31" i="84"/>
  <c r="AB31" i="84" s="1"/>
  <c r="F31" i="84"/>
  <c r="AA31" i="84" s="1"/>
  <c r="Q29" i="84"/>
  <c r="Z29" i="84" s="1"/>
  <c r="J29" i="84"/>
  <c r="AC29" i="84" s="1"/>
  <c r="H29" i="84"/>
  <c r="AB29" i="84" s="1"/>
  <c r="F29" i="84"/>
  <c r="AA29" i="84" s="1"/>
  <c r="C29" i="84"/>
  <c r="Q27" i="84"/>
  <c r="Z27" i="84" s="1"/>
  <c r="J27" i="84"/>
  <c r="AC27" i="84" s="1"/>
  <c r="H27" i="84"/>
  <c r="AB27" i="84" s="1"/>
  <c r="F27" i="84"/>
  <c r="AA27" i="84" s="1"/>
  <c r="C27" i="84"/>
  <c r="Q25" i="84"/>
  <c r="Z25" i="84" s="1"/>
  <c r="J25" i="84"/>
  <c r="AC25" i="84" s="1"/>
  <c r="H25" i="84"/>
  <c r="AB25" i="84" s="1"/>
  <c r="F25" i="84"/>
  <c r="C25" i="84"/>
  <c r="AC23" i="84"/>
  <c r="W23" i="84"/>
  <c r="Q23" i="84"/>
  <c r="Z23" i="84" s="1"/>
  <c r="J23" i="84"/>
  <c r="H23" i="84"/>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H14" i="84"/>
  <c r="AB14" i="84" s="1"/>
  <c r="Q13" i="84"/>
  <c r="Z13" i="84" s="1"/>
  <c r="J13" i="84"/>
  <c r="AC13" i="84" s="1"/>
  <c r="H13" i="84"/>
  <c r="AB13" i="84" s="1"/>
  <c r="F13" i="84"/>
  <c r="AA13" i="84" s="1"/>
  <c r="Q12" i="84"/>
  <c r="Z12" i="84" s="1"/>
  <c r="J12" i="84"/>
  <c r="AC12" i="84" s="1"/>
  <c r="H12" i="84"/>
  <c r="AB12" i="84" s="1"/>
  <c r="F12" i="84"/>
  <c r="AA12" i="84" s="1"/>
  <c r="Q11" i="84"/>
  <c r="Z11" i="84" s="1"/>
  <c r="Q10" i="84"/>
  <c r="Z10" i="84" s="1"/>
  <c r="Q9" i="84"/>
  <c r="Z9" i="84" s="1"/>
  <c r="J9" i="84"/>
  <c r="AC9" i="84" s="1"/>
  <c r="H9" i="84"/>
  <c r="AB9" i="84" s="1"/>
  <c r="F9" i="84"/>
  <c r="AA9" i="84" s="1"/>
  <c r="J8" i="84"/>
  <c r="W8" i="84" s="1"/>
  <c r="H8" i="84"/>
  <c r="AB8" i="84" s="1"/>
  <c r="F8" i="84"/>
  <c r="S8" i="84" s="1"/>
  <c r="C7" i="84"/>
  <c r="C68" i="84" s="1"/>
  <c r="G13" i="4"/>
  <c r="G22" i="6"/>
  <c r="G21" i="6"/>
  <c r="F21" i="6"/>
  <c r="F20" i="6"/>
  <c r="F19" i="6"/>
  <c r="E60" i="39" s="1"/>
  <c r="E60" i="90" l="1"/>
  <c r="E60" i="84"/>
  <c r="F14" i="84"/>
  <c r="AA14" i="84" s="1"/>
  <c r="F44" i="84"/>
  <c r="AA44" i="84" s="1"/>
  <c r="U8" i="84"/>
  <c r="AA8" i="84"/>
  <c r="AC8" i="84"/>
  <c r="S15" i="84"/>
  <c r="W15" i="84"/>
  <c r="S17" i="84"/>
  <c r="W17" i="84"/>
  <c r="S19" i="84"/>
  <c r="W19" i="84"/>
  <c r="S21" i="84"/>
  <c r="W21" i="84"/>
  <c r="S23" i="84"/>
  <c r="C70" i="84"/>
  <c r="D68" i="84"/>
  <c r="U9" i="84"/>
  <c r="S12" i="84"/>
  <c r="W12" i="84"/>
  <c r="U13" i="84"/>
  <c r="W14" i="84"/>
  <c r="S9" i="84"/>
  <c r="W9" i="84"/>
  <c r="U12" i="84"/>
  <c r="S13" i="84"/>
  <c r="W13" i="84"/>
  <c r="U14" i="84"/>
  <c r="U15" i="84"/>
  <c r="U17" i="84"/>
  <c r="U19" i="84"/>
  <c r="U21" i="84"/>
  <c r="AB23" i="84"/>
  <c r="U23" i="84"/>
  <c r="AA25" i="84"/>
  <c r="S25" i="84"/>
  <c r="W25" i="84"/>
  <c r="S27" i="84"/>
  <c r="W27" i="84"/>
  <c r="S29" i="84"/>
  <c r="W29" i="84"/>
  <c r="U31" i="84"/>
  <c r="S32" i="84"/>
  <c r="W32" i="84"/>
  <c r="U34" i="84"/>
  <c r="S35" i="84"/>
  <c r="W35" i="84"/>
  <c r="U36" i="84"/>
  <c r="S37" i="84"/>
  <c r="W37" i="84"/>
  <c r="U38" i="84"/>
  <c r="S39" i="84"/>
  <c r="W39" i="84"/>
  <c r="U40" i="84"/>
  <c r="S41" i="84"/>
  <c r="W41" i="84"/>
  <c r="U42" i="84"/>
  <c r="S43" i="84"/>
  <c r="W43" i="84"/>
  <c r="U44" i="84"/>
  <c r="S45" i="84"/>
  <c r="W45" i="84"/>
  <c r="U25" i="84"/>
  <c r="U27" i="84"/>
  <c r="U29" i="84"/>
  <c r="S31" i="84"/>
  <c r="W31" i="84"/>
  <c r="U32" i="84"/>
  <c r="S34" i="84"/>
  <c r="W34" i="84"/>
  <c r="U35" i="84"/>
  <c r="S36" i="84"/>
  <c r="W36" i="84"/>
  <c r="U37" i="84"/>
  <c r="S38" i="84"/>
  <c r="W38" i="84"/>
  <c r="U39" i="84"/>
  <c r="S40" i="84"/>
  <c r="W40" i="84"/>
  <c r="U41" i="84"/>
  <c r="S42" i="84"/>
  <c r="W42" i="84"/>
  <c r="U43" i="84"/>
  <c r="W44" i="84"/>
  <c r="U45" i="84"/>
  <c r="S14" i="84" l="1"/>
  <c r="S44" i="84"/>
  <c r="D70" i="84"/>
  <c r="E68" i="84"/>
  <c r="E70" i="84" l="1"/>
  <c r="F68" i="84"/>
  <c r="F70" i="84" l="1"/>
  <c r="G68" i="84"/>
  <c r="G70" i="84" l="1"/>
  <c r="H68" i="84"/>
  <c r="H70" i="84" l="1"/>
  <c r="I68" i="84"/>
  <c r="I70" i="84" l="1"/>
  <c r="J68" i="84"/>
  <c r="J70" i="84" l="1"/>
  <c r="K68" i="84"/>
  <c r="K70" i="84" l="1"/>
  <c r="L68" i="84"/>
  <c r="L70" i="84" l="1"/>
  <c r="M68" i="84"/>
  <c r="M70" i="84" l="1"/>
  <c r="N68" i="84"/>
  <c r="N70" i="84" l="1"/>
  <c r="O68" i="84"/>
  <c r="O70" i="84" s="1"/>
  <c r="H7" i="84" l="1"/>
  <c r="J7" i="84"/>
  <c r="F7" i="84"/>
  <c r="AA7" i="84" l="1"/>
  <c r="S7" i="84"/>
  <c r="AC7" i="84"/>
  <c r="W7" i="84"/>
  <c r="U7" i="84"/>
  <c r="AB7" i="84"/>
  <c r="H20" i="79" l="1"/>
  <c r="H18" i="79"/>
  <c r="H14" i="79"/>
  <c r="H12" i="79"/>
  <c r="H10" i="79"/>
  <c r="K7" i="79"/>
  <c r="I5" i="79"/>
  <c r="P74" i="78"/>
  <c r="Q72" i="78"/>
  <c r="Q59" i="78"/>
  <c r="K59" i="78"/>
  <c r="P61" i="78" s="1"/>
  <c r="F59" i="78"/>
  <c r="Q58" i="78"/>
  <c r="Q51" i="78"/>
  <c r="J51" i="78"/>
  <c r="J50" i="78"/>
  <c r="M47" i="78"/>
  <c r="D46" i="78"/>
  <c r="F33" i="78"/>
  <c r="F61" i="78" s="1"/>
  <c r="F31" i="78"/>
  <c r="F23" i="78"/>
  <c r="D24" i="78" s="1"/>
  <c r="F21" i="78"/>
  <c r="F20" i="78"/>
  <c r="M19" i="78"/>
  <c r="F18" i="78"/>
  <c r="M17" i="78"/>
  <c r="F17" i="78"/>
  <c r="F15" i="78"/>
  <c r="P74" i="77"/>
  <c r="Q72" i="77"/>
  <c r="Q59" i="77"/>
  <c r="K59" i="77"/>
  <c r="P61" i="77" s="1"/>
  <c r="F59" i="77"/>
  <c r="Q58" i="77"/>
  <c r="Q51" i="77"/>
  <c r="J51" i="77"/>
  <c r="J50" i="77"/>
  <c r="M47" i="77"/>
  <c r="D46" i="77"/>
  <c r="F33" i="77"/>
  <c r="F61" i="77" s="1"/>
  <c r="F31" i="77"/>
  <c r="F23" i="77"/>
  <c r="D24" i="77" s="1"/>
  <c r="D22" i="77"/>
  <c r="F21" i="77"/>
  <c r="F20" i="77"/>
  <c r="M19" i="77"/>
  <c r="F18" i="77"/>
  <c r="M17" i="77"/>
  <c r="F17" i="77"/>
  <c r="F15" i="77"/>
  <c r="F13" i="4"/>
  <c r="B5" i="4"/>
  <c r="B7" i="4"/>
  <c r="D3" i="4"/>
  <c r="D23" i="77" l="1"/>
  <c r="D22" i="78"/>
  <c r="D23" i="78"/>
  <c r="AH5" i="71"/>
  <c r="AG5" i="71"/>
  <c r="AE5" i="71"/>
  <c r="AF5" i="71"/>
  <c r="AD5" i="71"/>
  <c r="Q5" i="71"/>
  <c r="Q6" i="71"/>
  <c r="Q7" i="71"/>
  <c r="AB5" i="71"/>
  <c r="P5" i="71"/>
  <c r="P6" i="71"/>
  <c r="P7" i="71"/>
  <c r="AA5" i="71"/>
  <c r="O5" i="71"/>
  <c r="O6" i="71"/>
  <c r="O7" i="71"/>
  <c r="Y5" i="71"/>
  <c r="Z5" i="71" s="1"/>
  <c r="N5" i="71"/>
  <c r="N6" i="71"/>
  <c r="N7" i="71"/>
  <c r="X5" i="71"/>
  <c r="F7" i="71"/>
  <c r="F6" i="71"/>
  <c r="F5" i="71"/>
  <c r="E7" i="71"/>
  <c r="E6" i="71"/>
  <c r="E5" i="71"/>
  <c r="C7" i="71"/>
  <c r="C6" i="71"/>
  <c r="C5" i="71"/>
  <c r="D5" i="71"/>
  <c r="B7" i="71"/>
  <c r="B6" i="71"/>
  <c r="B5" i="71"/>
  <c r="AH6" i="71"/>
  <c r="AG6" i="71"/>
  <c r="AE6" i="71"/>
  <c r="AF6" i="71"/>
  <c r="AD6" i="71"/>
  <c r="F24" i="12"/>
  <c r="F7" i="69"/>
  <c r="C7" i="69" s="1"/>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A12" i="62"/>
  <c r="B58" i="72"/>
  <c r="A120" i="9"/>
  <c r="H2" i="52"/>
  <c r="A1" i="52"/>
  <c r="A3" i="53"/>
  <c r="Q14" i="71"/>
  <c r="P14" i="71"/>
  <c r="O14" i="71"/>
  <c r="N14"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Q21" i="33"/>
  <c r="Z21" i="33" s="1"/>
  <c r="D83" i="33"/>
  <c r="E83" i="33" s="1"/>
  <c r="F83" i="33" s="1"/>
  <c r="G83" i="33" s="1"/>
  <c r="C21" i="33"/>
  <c r="C21" i="21"/>
  <c r="Q21" i="21"/>
  <c r="Z21" i="21"/>
  <c r="H19" i="21"/>
  <c r="AB19" i="21" s="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AB21" i="33" s="1"/>
  <c r="F21" i="33"/>
  <c r="E83" i="21"/>
  <c r="F83" i="21" s="1"/>
  <c r="G83" i="21" s="1"/>
  <c r="H1" i="69"/>
  <c r="AC25" i="40"/>
  <c r="W25" i="40"/>
  <c r="AB25" i="40"/>
  <c r="U25" i="40"/>
  <c r="AB29" i="39"/>
  <c r="U29" i="39"/>
  <c r="AC29" i="39"/>
  <c r="W29" i="39"/>
  <c r="AC18" i="36"/>
  <c r="W18" i="36"/>
  <c r="AB21" i="37"/>
  <c r="U21" i="37"/>
  <c r="AA21" i="37"/>
  <c r="S21" i="37"/>
  <c r="AB21" i="34"/>
  <c r="U21" i="34"/>
  <c r="U21" i="33"/>
  <c r="AA21" i="33"/>
  <c r="S21" i="33"/>
  <c r="AB18" i="35"/>
  <c r="U18" i="35"/>
  <c r="AC18" i="35"/>
  <c r="W18" i="35"/>
  <c r="G77" i="37"/>
  <c r="J21" i="37"/>
  <c r="G84" i="34"/>
  <c r="J21" i="34"/>
  <c r="J21" i="33"/>
  <c r="W21" i="33" s="1"/>
  <c r="H21" i="21"/>
  <c r="AB21" i="21" s="1"/>
  <c r="F38" i="69"/>
  <c r="E37" i="69"/>
  <c r="F36" i="69"/>
  <c r="F35" i="69"/>
  <c r="F21" i="69"/>
  <c r="C21" i="69" s="1"/>
  <c r="F20" i="69"/>
  <c r="E10" i="69"/>
  <c r="E9" i="69"/>
  <c r="AC21" i="37"/>
  <c r="W21" i="37"/>
  <c r="AC21" i="34"/>
  <c r="W21" i="34"/>
  <c r="AC21" i="33"/>
  <c r="J21" i="21"/>
  <c r="W21" i="21" s="1"/>
  <c r="C40" i="69"/>
  <c r="F38" i="68"/>
  <c r="E37" i="68"/>
  <c r="F36" i="68"/>
  <c r="F35" i="68"/>
  <c r="F21" i="68"/>
  <c r="C21" i="68"/>
  <c r="F20" i="68"/>
  <c r="E10" i="68"/>
  <c r="E9" i="68"/>
  <c r="AC21" i="21"/>
  <c r="C40" i="68"/>
  <c r="Q72" i="67"/>
  <c r="Q59" i="67"/>
  <c r="Q58" i="67"/>
  <c r="Q51" i="67"/>
  <c r="J50" i="67"/>
  <c r="M47" i="67"/>
  <c r="D46" i="67"/>
  <c r="F33" i="67"/>
  <c r="F61" i="67" s="1"/>
  <c r="F23" i="67"/>
  <c r="D24" i="67" s="1"/>
  <c r="F21" i="67"/>
  <c r="F20" i="67"/>
  <c r="M19" i="67"/>
  <c r="F18" i="67"/>
  <c r="F17" i="67"/>
  <c r="F15"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s="1"/>
  <c r="AZ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AZ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AZ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c r="AZ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L17" i="3" s="1"/>
  <c r="BO13" i="3"/>
  <c r="BO14" i="3"/>
  <c r="BO5" i="3" s="1"/>
  <c r="BO15" i="3"/>
  <c r="BO16" i="3"/>
  <c r="BO17" i="3"/>
  <c r="BN13" i="3"/>
  <c r="BN14" i="3"/>
  <c r="BN15" i="3"/>
  <c r="BN16" i="3"/>
  <c r="BN17" i="3"/>
  <c r="BP13" i="3"/>
  <c r="BP14" i="3"/>
  <c r="BP15" i="3"/>
  <c r="BP16" i="3"/>
  <c r="BP17" i="3"/>
  <c r="E19" i="6"/>
  <c r="D3" i="88" s="1"/>
  <c r="E20" i="6"/>
  <c r="D7" i="12" s="1"/>
  <c r="E21" i="6"/>
  <c r="K8" i="1" s="1"/>
  <c r="M8" i="1" s="1"/>
  <c r="F23" i="15"/>
  <c r="D24" i="15" s="1"/>
  <c r="E22" i="6"/>
  <c r="K9" i="1" s="1"/>
  <c r="M9" i="1" s="1"/>
  <c r="E23" i="6"/>
  <c r="E24" i="6"/>
  <c r="E25" i="6"/>
  <c r="E26" i="6"/>
  <c r="BB13" i="3"/>
  <c r="BC13" i="3"/>
  <c r="BD13" i="3"/>
  <c r="BE13" i="3"/>
  <c r="BF13" i="3"/>
  <c r="BF5" i="3" s="1"/>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G15" i="3" s="1"/>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D3" i="35"/>
  <c r="E59" i="9"/>
  <c r="N55" i="9"/>
  <c r="K55" i="9"/>
  <c r="F59" i="9"/>
  <c r="N54" i="9"/>
  <c r="N53" i="9"/>
  <c r="E48" i="9"/>
  <c r="N52" i="9"/>
  <c r="O55" i="9"/>
  <c r="F56" i="9"/>
  <c r="O54" i="9"/>
  <c r="D101" i="9"/>
  <c r="C101" i="9"/>
  <c r="H104" i="9"/>
  <c r="D10" i="53" s="1"/>
  <c r="B26" i="72" s="1"/>
  <c r="C30" i="40"/>
  <c r="C28" i="40"/>
  <c r="C23" i="39"/>
  <c r="C19" i="40"/>
  <c r="D27" i="9"/>
  <c r="C25" i="9"/>
  <c r="D77" i="9"/>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s="1"/>
  <c r="J41" i="33"/>
  <c r="D113" i="33"/>
  <c r="F37" i="33"/>
  <c r="D111" i="33"/>
  <c r="E111" i="33" s="1"/>
  <c r="F111" i="33" s="1"/>
  <c r="G111" i="33" s="1"/>
  <c r="S515" i="31"/>
  <c r="S516" i="31"/>
  <c r="S517" i="31"/>
  <c r="S518" i="31"/>
  <c r="S519" i="31"/>
  <c r="S520" i="31"/>
  <c r="S521" i="31"/>
  <c r="S522" i="31"/>
  <c r="S523" i="31"/>
  <c r="S524" i="31"/>
  <c r="F41" i="21"/>
  <c r="J41" i="21"/>
  <c r="AC41" i="21" s="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c r="G105" i="39"/>
  <c r="H105" i="39"/>
  <c r="I105" i="39"/>
  <c r="J105" i="39"/>
  <c r="K105" i="39"/>
  <c r="L105" i="39"/>
  <c r="M105" i="39"/>
  <c r="D101" i="39"/>
  <c r="D99" i="39"/>
  <c r="E99" i="39" s="1"/>
  <c r="F99" i="39" s="1"/>
  <c r="G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D93" i="39"/>
  <c r="E93" i="39"/>
  <c r="F93" i="39"/>
  <c r="G93" i="39"/>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c r="Q32" i="39"/>
  <c r="Z32" i="39"/>
  <c r="Q31" i="39"/>
  <c r="Z31" i="39"/>
  <c r="Q27" i="39"/>
  <c r="Z27" i="39"/>
  <c r="Q25" i="39"/>
  <c r="Z25" i="39"/>
  <c r="Q23" i="39"/>
  <c r="Z23" i="39"/>
  <c r="Q21" i="39"/>
  <c r="Z21" i="39"/>
  <c r="Q19" i="39"/>
  <c r="Z19" i="39"/>
  <c r="Q17" i="39"/>
  <c r="Z17" i="39"/>
  <c r="Q15" i="39"/>
  <c r="Z15" i="39"/>
  <c r="Q14" i="39"/>
  <c r="Z14" i="39" s="1"/>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Q39" i="33"/>
  <c r="Z39" i="33" s="1"/>
  <c r="J39" i="33"/>
  <c r="AC39" i="33" s="1"/>
  <c r="Q38" i="33"/>
  <c r="Z38" i="33"/>
  <c r="J38" i="33"/>
  <c r="AC38" i="33"/>
  <c r="H38" i="33"/>
  <c r="AB38" i="33" s="1"/>
  <c r="F38" i="33"/>
  <c r="AA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S9" i="33" s="1"/>
  <c r="J8" i="33"/>
  <c r="AC8" i="33"/>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s="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s="1"/>
  <c r="D111" i="21"/>
  <c r="E111" i="21"/>
  <c r="F111" i="21"/>
  <c r="C111" i="21"/>
  <c r="D79" i="21"/>
  <c r="E79" i="21" s="1"/>
  <c r="D85" i="21"/>
  <c r="F19" i="21"/>
  <c r="AA19" i="21" s="1"/>
  <c r="E81" i="21"/>
  <c r="F81" i="21"/>
  <c r="G81" i="21" s="1"/>
  <c r="D77" i="21"/>
  <c r="E77" i="21" s="1"/>
  <c r="F77" i="21" s="1"/>
  <c r="G77" i="21" s="1"/>
  <c r="B130" i="21"/>
  <c r="B128" i="21"/>
  <c r="J45" i="21"/>
  <c r="W45" i="21" s="1"/>
  <c r="B126" i="21"/>
  <c r="B98" i="21"/>
  <c r="H31" i="21" s="1"/>
  <c r="B96" i="21"/>
  <c r="H30" i="21" s="1"/>
  <c r="B94" i="21"/>
  <c r="J29" i="21"/>
  <c r="AC29" i="21" s="1"/>
  <c r="B92" i="21"/>
  <c r="H28" i="21" s="1"/>
  <c r="B90" i="21"/>
  <c r="J27" i="21"/>
  <c r="W27" i="21" s="1"/>
  <c r="B74" i="21"/>
  <c r="B72" i="21"/>
  <c r="H13" i="21" s="1"/>
  <c r="B70" i="21"/>
  <c r="F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s="1"/>
  <c r="Q46" i="21"/>
  <c r="Z46" i="21" s="1"/>
  <c r="P47" i="21"/>
  <c r="R47" i="21"/>
  <c r="T47" i="21"/>
  <c r="V47" i="21"/>
  <c r="P48" i="21"/>
  <c r="P49" i="21"/>
  <c r="F8" i="21"/>
  <c r="AA8" i="21" s="1"/>
  <c r="E10" i="11"/>
  <c r="E9" i="11"/>
  <c r="BB12" i="3"/>
  <c r="F7" i="12"/>
  <c r="M2" i="12" s="1"/>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c r="F39" i="21"/>
  <c r="AA39" i="21" s="1"/>
  <c r="J40" i="21"/>
  <c r="W40" i="21" s="1"/>
  <c r="H35" i="21"/>
  <c r="AB35" i="21" s="1"/>
  <c r="J8" i="21"/>
  <c r="AC8" i="21"/>
  <c r="H8" i="21"/>
  <c r="U8" i="21" s="1"/>
  <c r="H39" i="21"/>
  <c r="U39" i="21" s="1"/>
  <c r="J34" i="21"/>
  <c r="W34" i="21" s="1"/>
  <c r="H36" i="21"/>
  <c r="U36" i="21" s="1"/>
  <c r="F35" i="21"/>
  <c r="AA35" i="21" s="1"/>
  <c r="H26" i="21"/>
  <c r="AB26" i="21"/>
  <c r="J19" i="21"/>
  <c r="W19" i="21" s="1"/>
  <c r="J26" i="21"/>
  <c r="W26" i="21"/>
  <c r="F26" i="21"/>
  <c r="S26" i="21"/>
  <c r="AB41" i="21"/>
  <c r="S41" i="21"/>
  <c r="AA41" i="21"/>
  <c r="F45" i="39"/>
  <c r="S45" i="39" s="1"/>
  <c r="J45" i="39"/>
  <c r="W45" i="39" s="1"/>
  <c r="J44" i="39"/>
  <c r="AC44" i="39" s="1"/>
  <c r="J35" i="39"/>
  <c r="AC35" i="39"/>
  <c r="F35" i="39"/>
  <c r="AA35"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c r="E109" i="39"/>
  <c r="H31" i="39"/>
  <c r="AB31" i="39"/>
  <c r="F31" i="39"/>
  <c r="AA31" i="39"/>
  <c r="E101" i="39"/>
  <c r="H19" i="39"/>
  <c r="AB19" i="39"/>
  <c r="F19" i="39"/>
  <c r="AA19" i="39"/>
  <c r="H17" i="39"/>
  <c r="AB17" i="39" s="1"/>
  <c r="F17" i="39"/>
  <c r="AA17" i="39" s="1"/>
  <c r="J23" i="40"/>
  <c r="AC23" i="40"/>
  <c r="F21" i="40"/>
  <c r="AA21" i="40"/>
  <c r="J21" i="40"/>
  <c r="W21" i="40"/>
  <c r="H42" i="39"/>
  <c r="AB42" i="39" s="1"/>
  <c r="J34" i="39"/>
  <c r="AC34" i="39"/>
  <c r="F109" i="39"/>
  <c r="G109" i="39"/>
  <c r="H109" i="39"/>
  <c r="I109" i="39"/>
  <c r="J109" i="39"/>
  <c r="K109" i="39"/>
  <c r="L109" i="39"/>
  <c r="M109" i="39"/>
  <c r="J31" i="39"/>
  <c r="F101" i="39"/>
  <c r="H27" i="39"/>
  <c r="U27" i="39" s="1"/>
  <c r="J19" i="39"/>
  <c r="AC19" i="39"/>
  <c r="J17" i="39"/>
  <c r="AC17" i="39" s="1"/>
  <c r="J27" i="39"/>
  <c r="AC27" i="39" s="1"/>
  <c r="F27" i="39"/>
  <c r="U34" i="21"/>
  <c r="S34" i="21"/>
  <c r="C25" i="39"/>
  <c r="C27" i="39"/>
  <c r="C21" i="39"/>
  <c r="C15" i="39"/>
  <c r="H32" i="33"/>
  <c r="AB32" i="33"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s="1"/>
  <c r="H113" i="33" s="1"/>
  <c r="I113" i="33" s="1"/>
  <c r="J113" i="33" s="1"/>
  <c r="K113" i="33" s="1"/>
  <c r="L113" i="33" s="1"/>
  <c r="M113" i="33" s="1"/>
  <c r="H37" i="33"/>
  <c r="AB37" i="33" s="1"/>
  <c r="H11" i="33"/>
  <c r="AB11" i="33" s="1"/>
  <c r="F28" i="40"/>
  <c r="AA28" i="40"/>
  <c r="AA29" i="35"/>
  <c r="AA42" i="34"/>
  <c r="S42" i="34"/>
  <c r="AC38" i="34"/>
  <c r="AA38" i="34"/>
  <c r="J37" i="34"/>
  <c r="AC37" i="34"/>
  <c r="J11" i="33"/>
  <c r="W11" i="33"/>
  <c r="S28" i="34"/>
  <c r="U23" i="40"/>
  <c r="J44" i="34"/>
  <c r="F44" i="34"/>
  <c r="AA44" i="34"/>
  <c r="J10" i="35"/>
  <c r="W10" i="35"/>
  <c r="BL587" i="3"/>
  <c r="J14" i="21"/>
  <c r="W14" i="21" s="1"/>
  <c r="F14" i="21"/>
  <c r="S14" i="21" s="1"/>
  <c r="H14" i="21"/>
  <c r="U14"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AB11" i="36"/>
  <c r="AB11" i="35"/>
  <c r="J10" i="36"/>
  <c r="AC10" i="36"/>
  <c r="AB26" i="33"/>
  <c r="AA14" i="37"/>
  <c r="W31" i="34"/>
  <c r="AC13" i="36"/>
  <c r="W13" i="36"/>
  <c r="S11" i="36"/>
  <c r="W11" i="36"/>
  <c r="W11" i="35"/>
  <c r="AB46" i="34"/>
  <c r="AC30" i="34"/>
  <c r="AA14" i="34"/>
  <c r="U31" i="33"/>
  <c r="U13" i="33"/>
  <c r="S44" i="34"/>
  <c r="BA586" i="3"/>
  <c r="BA585" i="3"/>
  <c r="F15" i="21"/>
  <c r="S15" i="21" s="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s="1"/>
  <c r="G125" i="33" s="1"/>
  <c r="H43" i="33"/>
  <c r="AB43" i="33" s="1"/>
  <c r="H17" i="37"/>
  <c r="U17" i="37"/>
  <c r="AB27" i="37"/>
  <c r="F39" i="33"/>
  <c r="AA39" i="33" s="1"/>
  <c r="E123" i="33"/>
  <c r="J42" i="33" s="1"/>
  <c r="AC42" i="33" s="1"/>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W44" i="33"/>
  <c r="U11" i="33"/>
  <c r="U19" i="21"/>
  <c r="W44" i="21"/>
  <c r="U26" i="21"/>
  <c r="AC46" i="21"/>
  <c r="AB38" i="21"/>
  <c r="F43" i="33"/>
  <c r="AA43" i="33" s="1"/>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s="1"/>
  <c r="H25" i="39"/>
  <c r="AB25" i="39" s="1"/>
  <c r="J25" i="39"/>
  <c r="W25" i="39" s="1"/>
  <c r="F25" i="39"/>
  <c r="AA25" i="39" s="1"/>
  <c r="F15" i="39"/>
  <c r="AA15" i="39" s="1"/>
  <c r="H15" i="39"/>
  <c r="U15" i="39" s="1"/>
  <c r="J15" i="39"/>
  <c r="W15" i="39" s="1"/>
  <c r="H41" i="39"/>
  <c r="U41" i="39" s="1"/>
  <c r="AB34" i="39"/>
  <c r="W14" i="39"/>
  <c r="AA41" i="39"/>
  <c r="W8" i="39"/>
  <c r="J19" i="40"/>
  <c r="AC19" i="40"/>
  <c r="J50" i="40"/>
  <c r="B16" i="53"/>
  <c r="B33" i="72" s="1"/>
  <c r="C7" i="37"/>
  <c r="C7" i="34"/>
  <c r="C7" i="36"/>
  <c r="W35" i="40"/>
  <c r="A118" i="9"/>
  <c r="A4" i="52"/>
  <c r="B41" i="72"/>
  <c r="A12" i="52"/>
  <c r="B56" i="72" s="1"/>
  <c r="G4" i="4"/>
  <c r="I4" i="4"/>
  <c r="K5" i="4"/>
  <c r="B47" i="48" s="1"/>
  <c r="A2" i="9"/>
  <c r="F59" i="43"/>
  <c r="H62"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AZ309" i="3"/>
  <c r="AZ317" i="3"/>
  <c r="AZ325" i="3"/>
  <c r="AZ333" i="3"/>
  <c r="AZ341" i="3"/>
  <c r="AZ549" i="3"/>
  <c r="AZ506" i="3"/>
  <c r="AZ496" i="3"/>
  <c r="G548" i="3"/>
  <c r="G538" i="3"/>
  <c r="G520" i="3"/>
  <c r="G502" i="3"/>
  <c r="BN5" i="3"/>
  <c r="AZ343" i="3"/>
  <c r="BK5" i="3"/>
  <c r="BI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G8" i="1"/>
  <c r="G9" i="1"/>
  <c r="G10" i="1"/>
  <c r="F48" i="9"/>
  <c r="O52" i="9" s="1"/>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35" i="3"/>
  <c r="AZ41" i="3"/>
  <c r="S12" i="1"/>
  <c r="AQ12" i="1" s="1"/>
  <c r="R12" i="1"/>
  <c r="B12" i="1"/>
  <c r="E12" i="1"/>
  <c r="S10" i="1"/>
  <c r="T10" i="1" s="1"/>
  <c r="R10" i="1"/>
  <c r="B10" i="1"/>
  <c r="E10" i="1"/>
  <c r="D1" i="66"/>
  <c r="E10" i="66"/>
  <c r="AZ80" i="3"/>
  <c r="AZ84" i="3"/>
  <c r="AZ88" i="3"/>
  <c r="AZ107" i="3"/>
  <c r="AZ111" i="3"/>
  <c r="K12" i="1"/>
  <c r="M12" i="1" s="1"/>
  <c r="S13" i="1"/>
  <c r="AQ13" i="1" s="1"/>
  <c r="R13" i="1"/>
  <c r="S11" i="1"/>
  <c r="T11" i="1" s="1"/>
  <c r="R11" i="1"/>
  <c r="J51" i="67"/>
  <c r="C42" i="1"/>
  <c r="C77" i="9" s="1"/>
  <c r="C74" i="9" s="1"/>
  <c r="H100" i="43"/>
  <c r="C30" i="66"/>
  <c r="E26" i="66"/>
  <c r="AC34" i="33"/>
  <c r="B41" i="1"/>
  <c r="F30" i="68" s="1"/>
  <c r="S22" i="31"/>
  <c r="J100" i="43"/>
  <c r="AB37" i="40"/>
  <c r="S35" i="40"/>
  <c r="U35" i="40"/>
  <c r="AC36" i="40"/>
  <c r="W38" i="40"/>
  <c r="AA32" i="40"/>
  <c r="S17" i="40"/>
  <c r="S23" i="40"/>
  <c r="AC17" i="40"/>
  <c r="AC15" i="40"/>
  <c r="AB27" i="40"/>
  <c r="S30" i="40"/>
  <c r="AA19" i="40"/>
  <c r="S28" i="40"/>
  <c r="AA27" i="40"/>
  <c r="U21" i="40"/>
  <c r="AB19" i="40"/>
  <c r="U37" i="39"/>
  <c r="W39" i="39"/>
  <c r="S43" i="39"/>
  <c r="U35" i="39"/>
  <c r="F32" i="39"/>
  <c r="F107" i="39"/>
  <c r="G107" i="39"/>
  <c r="U25" i="39"/>
  <c r="AB27" i="39"/>
  <c r="U31" i="39"/>
  <c r="J21" i="39"/>
  <c r="W19" i="39"/>
  <c r="U19" i="39"/>
  <c r="AC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35" i="33"/>
  <c r="S27" i="33"/>
  <c r="S32" i="33"/>
  <c r="AA29" i="33"/>
  <c r="AB29" i="33"/>
  <c r="W38" i="33"/>
  <c r="H41" i="33"/>
  <c r="U41" i="33" s="1"/>
  <c r="J35" i="33"/>
  <c r="W35" i="33" s="1"/>
  <c r="S37" i="33"/>
  <c r="AA37" i="33"/>
  <c r="S39" i="33"/>
  <c r="F101" i="33"/>
  <c r="G101" i="33"/>
  <c r="H101" i="33" s="1"/>
  <c r="I101" i="33" s="1"/>
  <c r="J101" i="33" s="1"/>
  <c r="K101" i="33" s="1"/>
  <c r="L101" i="33" s="1"/>
  <c r="M101" i="33" s="1"/>
  <c r="J32" i="33"/>
  <c r="AC32" i="33" s="1"/>
  <c r="S46" i="33"/>
  <c r="W43" i="33"/>
  <c r="F91" i="33"/>
  <c r="G91" i="33" s="1"/>
  <c r="H91" i="33" s="1"/>
  <c r="I91" i="33" s="1"/>
  <c r="J91" i="33" s="1"/>
  <c r="K91" i="33" s="1"/>
  <c r="L91" i="33" s="1"/>
  <c r="M91" i="33" s="1"/>
  <c r="H27" i="33"/>
  <c r="H25" i="33"/>
  <c r="U25" i="33" s="1"/>
  <c r="F25" i="33"/>
  <c r="S25" i="33" s="1"/>
  <c r="J23" i="33"/>
  <c r="AC23" i="33" s="1"/>
  <c r="H23" i="33"/>
  <c r="AB23" i="33" s="1"/>
  <c r="F19" i="33"/>
  <c r="S19" i="33" s="1"/>
  <c r="J17" i="33"/>
  <c r="AC17" i="33" s="1"/>
  <c r="W15" i="33"/>
  <c r="U9" i="33"/>
  <c r="J10" i="33"/>
  <c r="W10" i="33" s="1"/>
  <c r="H10" i="33"/>
  <c r="U10" i="33" s="1"/>
  <c r="AC11" i="33"/>
  <c r="AB14" i="33"/>
  <c r="W43" i="21"/>
  <c r="W36" i="21"/>
  <c r="W41" i="21"/>
  <c r="AB39" i="21"/>
  <c r="AA43" i="21"/>
  <c r="S39" i="21"/>
  <c r="AA36" i="21"/>
  <c r="AC40" i="21"/>
  <c r="J15" i="21"/>
  <c r="W15" i="21" s="1"/>
  <c r="F23" i="21"/>
  <c r="S23" i="21"/>
  <c r="E85" i="21"/>
  <c r="AA14" i="21"/>
  <c r="AB8" i="21"/>
  <c r="M3" i="43"/>
  <c r="M1" i="43"/>
  <c r="N8" i="43"/>
  <c r="C18" i="9"/>
  <c r="D18" i="9" s="1"/>
  <c r="F34" i="67"/>
  <c r="F62" i="67"/>
  <c r="M20" i="67"/>
  <c r="F34" i="15"/>
  <c r="F62" i="15" s="1"/>
  <c r="J56" i="9"/>
  <c r="J57" i="9" s="1"/>
  <c r="J59" i="9" s="1"/>
  <c r="J61" i="9" s="1"/>
  <c r="A24" i="51"/>
  <c r="B18" i="72" s="1"/>
  <c r="U29" i="34"/>
  <c r="G1" i="68"/>
  <c r="K1" i="12"/>
  <c r="T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0" i="39" s="1"/>
  <c r="C7" i="35"/>
  <c r="C7" i="33"/>
  <c r="C58" i="33" s="1"/>
  <c r="C7" i="21"/>
  <c r="C58" i="21" s="1"/>
  <c r="C7" i="40"/>
  <c r="C63" i="40" s="1"/>
  <c r="M47" i="9"/>
  <c r="G19" i="43"/>
  <c r="O19" i="43" s="1"/>
  <c r="C19" i="43" s="1"/>
  <c r="C46" i="36"/>
  <c r="D46" i="36" s="1"/>
  <c r="C59" i="34"/>
  <c r="D59" i="34" s="1"/>
  <c r="E59" i="34" s="1"/>
  <c r="F59" i="34" s="1"/>
  <c r="G59" i="34" s="1"/>
  <c r="H59" i="34" s="1"/>
  <c r="I59" i="34" s="1"/>
  <c r="J59" i="34" s="1"/>
  <c r="K59" i="34" s="1"/>
  <c r="C52" i="37"/>
  <c r="D52" i="37" s="1"/>
  <c r="A4" i="51"/>
  <c r="B6" i="72" s="1"/>
  <c r="C48" i="35"/>
  <c r="D48" i="35" s="1"/>
  <c r="H66" i="43"/>
  <c r="H65" i="43"/>
  <c r="H64" i="43"/>
  <c r="H63" i="43"/>
  <c r="H55" i="43"/>
  <c r="H56" i="43"/>
  <c r="H72" i="43"/>
  <c r="L20" i="6"/>
  <c r="B6" i="1"/>
  <c r="E6" i="1"/>
  <c r="K11" i="1"/>
  <c r="M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C25" i="39"/>
  <c r="U13" i="39"/>
  <c r="AB13" i="39"/>
  <c r="AA13" i="39"/>
  <c r="S13" i="39"/>
  <c r="S14" i="39"/>
  <c r="AA14" i="39"/>
  <c r="U43" i="39"/>
  <c r="AB43" i="39"/>
  <c r="AA27" i="39"/>
  <c r="S27" i="39"/>
  <c r="W31"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U44" i="33"/>
  <c r="AB44" i="33"/>
  <c r="S30" i="33"/>
  <c r="AA30" i="33"/>
  <c r="AC14" i="33"/>
  <c r="W14" i="33"/>
  <c r="AC30" i="33"/>
  <c r="W30" i="33"/>
  <c r="S31" i="33"/>
  <c r="AA31" i="33"/>
  <c r="W13" i="33"/>
  <c r="AC13" i="33"/>
  <c r="S11" i="33"/>
  <c r="AC28" i="33"/>
  <c r="S28" i="33"/>
  <c r="W8" i="33"/>
  <c r="S44" i="21"/>
  <c r="S45" i="21"/>
  <c r="F33" i="21"/>
  <c r="AA33" i="21" s="1"/>
  <c r="J33" i="21"/>
  <c r="W33" i="21" s="1"/>
  <c r="H33" i="21"/>
  <c r="AB33" i="21" s="1"/>
  <c r="AA26" i="21"/>
  <c r="AB14" i="21"/>
  <c r="AB46" i="21"/>
  <c r="U40" i="21"/>
  <c r="W8" i="21"/>
  <c r="S35" i="21"/>
  <c r="H15" i="21"/>
  <c r="U15" i="21" s="1"/>
  <c r="AC19" i="21"/>
  <c r="W39" i="21"/>
  <c r="AC14" i="21"/>
  <c r="S46" i="21"/>
  <c r="H45" i="21"/>
  <c r="U45" i="21"/>
  <c r="F29" i="21"/>
  <c r="S29" i="21"/>
  <c r="F13" i="21"/>
  <c r="AA13" i="21" s="1"/>
  <c r="H32" i="21"/>
  <c r="U32" i="21" s="1"/>
  <c r="H9" i="21"/>
  <c r="U9" i="21" s="1"/>
  <c r="J9" i="21"/>
  <c r="W9" i="21" s="1"/>
  <c r="J32" i="21"/>
  <c r="W32" i="21" s="1"/>
  <c r="F32" i="21"/>
  <c r="S32" i="21" s="1"/>
  <c r="AA31" i="21"/>
  <c r="W29" i="21"/>
  <c r="S9" i="21"/>
  <c r="K141" i="21"/>
  <c r="K144" i="21"/>
  <c r="K143" i="21"/>
  <c r="AB25" i="21"/>
  <c r="AB44" i="21"/>
  <c r="W13" i="21"/>
  <c r="AC45" i="21"/>
  <c r="K145" i="21"/>
  <c r="W25" i="21"/>
  <c r="AA29" i="21"/>
  <c r="W31" i="21"/>
  <c r="AC26" i="21"/>
  <c r="AC34" i="21"/>
  <c r="W30" i="40"/>
  <c r="C19" i="39"/>
  <c r="C15" i="40"/>
  <c r="C17" i="40"/>
  <c r="C23" i="40"/>
  <c r="C21" i="40"/>
  <c r="U30" i="40"/>
  <c r="B54" i="43"/>
  <c r="B65" i="43"/>
  <c r="B49" i="43"/>
  <c r="B52" i="43"/>
  <c r="B56" i="43"/>
  <c r="B60" i="43"/>
  <c r="B63" i="43"/>
  <c r="B67" i="43"/>
  <c r="D23" i="15"/>
  <c r="D22" i="15"/>
  <c r="AA39" i="40"/>
  <c r="S39" i="40"/>
  <c r="S12" i="33"/>
  <c r="AA12" i="33"/>
  <c r="J32" i="39"/>
  <c r="H107" i="39"/>
  <c r="I107" i="39"/>
  <c r="J107" i="39"/>
  <c r="K107" i="39"/>
  <c r="L107" i="39"/>
  <c r="M107" i="39"/>
  <c r="H32" i="39"/>
  <c r="AA32" i="39"/>
  <c r="S32"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27" i="33"/>
  <c r="AB27" i="33"/>
  <c r="J27" i="33"/>
  <c r="W27" i="33" s="1"/>
  <c r="AB25" i="33"/>
  <c r="AA25" i="33"/>
  <c r="J25" i="33"/>
  <c r="W25" i="33" s="1"/>
  <c r="F23" i="33"/>
  <c r="AA23" i="33" s="1"/>
  <c r="W23" i="33"/>
  <c r="H19" i="33"/>
  <c r="AB19" i="33" s="1"/>
  <c r="AB10" i="33"/>
  <c r="AC10" i="33"/>
  <c r="U33" i="21"/>
  <c r="AA23" i="21"/>
  <c r="J23" i="21"/>
  <c r="F85" i="21"/>
  <c r="G85" i="21" s="1"/>
  <c r="H23" i="21"/>
  <c r="U23" i="21" s="1"/>
  <c r="S13" i="21"/>
  <c r="R22" i="31"/>
  <c r="B21" i="31"/>
  <c r="AP7" i="1"/>
  <c r="AB45" i="21"/>
  <c r="AC33" i="21"/>
  <c r="S33"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27" i="33"/>
  <c r="S23" i="33"/>
  <c r="AC23" i="21"/>
  <c r="W23" i="21"/>
  <c r="AC11" i="37"/>
  <c r="W11" i="37"/>
  <c r="W11" i="34"/>
  <c r="AC11" i="34"/>
  <c r="AE6" i="1"/>
  <c r="AG6" i="1"/>
  <c r="H109" i="9"/>
  <c r="D124" i="9" s="1"/>
  <c r="H112" i="9"/>
  <c r="D21" i="53"/>
  <c r="B39" i="72" s="1"/>
  <c r="H111" i="9"/>
  <c r="D126" i="9" s="1"/>
  <c r="D59" i="9"/>
  <c r="M55" i="9"/>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8" i="39"/>
  <c r="D70" i="39" s="1"/>
  <c r="C10" i="71"/>
  <c r="D10" i="71"/>
  <c r="D11" i="71"/>
  <c r="D12" i="71"/>
  <c r="U12" i="71"/>
  <c r="S12" i="71"/>
  <c r="T12" i="71"/>
  <c r="AB10" i="71"/>
  <c r="X8" i="71"/>
  <c r="X7" i="71"/>
  <c r="AA8" i="71"/>
  <c r="AA7" i="71"/>
  <c r="X11" i="71"/>
  <c r="Z6" i="71"/>
  <c r="Y7" i="71"/>
  <c r="Z7" i="71"/>
  <c r="AB8" i="71"/>
  <c r="AB7" i="71"/>
  <c r="S8" i="71"/>
  <c r="F9" i="71"/>
  <c r="F8" i="71"/>
  <c r="Y8" i="71"/>
  <c r="Z8" i="71"/>
  <c r="AB3" i="71"/>
  <c r="X3" i="71"/>
  <c r="C9" i="71"/>
  <c r="E9" i="71"/>
  <c r="E8" i="71"/>
  <c r="AF3" i="71"/>
  <c r="P24" i="43"/>
  <c r="B66" i="40" s="1"/>
  <c r="G20" i="43"/>
  <c r="C20" i="43" s="1"/>
  <c r="V8" i="71"/>
  <c r="C8" i="71"/>
  <c r="D9" i="71"/>
  <c r="E41" i="43"/>
  <c r="C41" i="43" s="1"/>
  <c r="D6" i="71"/>
  <c r="T8" i="71"/>
  <c r="D7" i="71"/>
  <c r="D8" i="71"/>
  <c r="U8" i="71"/>
  <c r="F31" i="15"/>
  <c r="F31" i="67"/>
  <c r="M27" i="15"/>
  <c r="E8" i="76"/>
  <c r="E13" i="76"/>
  <c r="D2" i="33"/>
  <c r="D7" i="73"/>
  <c r="F26" i="67"/>
  <c r="B9" i="76"/>
  <c r="F13" i="15"/>
  <c r="F6" i="15"/>
  <c r="M24" i="67"/>
  <c r="D4" i="73"/>
  <c r="AO10" i="1"/>
  <c r="AO6" i="1"/>
  <c r="F5" i="73"/>
  <c r="F6" i="67"/>
  <c r="F43" i="67"/>
  <c r="F37" i="15"/>
  <c r="L48" i="67"/>
  <c r="M6" i="15"/>
  <c r="F8" i="67"/>
  <c r="F36" i="67"/>
  <c r="D2" i="37"/>
  <c r="D3" i="73"/>
  <c r="F6" i="73"/>
  <c r="E7" i="76"/>
  <c r="F3" i="73"/>
  <c r="F36" i="15"/>
  <c r="F7" i="67"/>
  <c r="L47" i="15"/>
  <c r="F9" i="67"/>
  <c r="F16" i="67"/>
  <c r="D6" i="73"/>
  <c r="B13" i="76"/>
  <c r="M21" i="67"/>
  <c r="AO12" i="1"/>
  <c r="F16" i="15"/>
  <c r="D5" i="73"/>
  <c r="J15" i="67"/>
  <c r="M22" i="15"/>
  <c r="F42" i="67"/>
  <c r="M23" i="67"/>
  <c r="F41" i="67"/>
  <c r="F40" i="15"/>
  <c r="E12" i="76"/>
  <c r="M23" i="15"/>
  <c r="E2" i="69"/>
  <c r="M24" i="15"/>
  <c r="E11" i="76"/>
  <c r="D2" i="34"/>
  <c r="D2" i="36"/>
  <c r="M28" i="67"/>
  <c r="F13" i="67"/>
  <c r="E2" i="68"/>
  <c r="M8" i="67"/>
  <c r="L48" i="15"/>
  <c r="F38" i="15"/>
  <c r="F42" i="15"/>
  <c r="M8" i="15"/>
  <c r="F8" i="15"/>
  <c r="F4" i="73"/>
  <c r="F20" i="31"/>
  <c r="M29" i="67"/>
  <c r="M9" i="15"/>
  <c r="M9" i="67"/>
  <c r="B7" i="76"/>
  <c r="B11" i="76"/>
  <c r="F9" i="15"/>
  <c r="F40" i="67"/>
  <c r="M28" i="15"/>
  <c r="D2" i="35"/>
  <c r="M26" i="15"/>
  <c r="AO11" i="1"/>
  <c r="F7" i="73"/>
  <c r="M26" i="67"/>
  <c r="B10" i="76"/>
  <c r="E9" i="76"/>
  <c r="C76" i="67"/>
  <c r="E10" i="76"/>
  <c r="B8" i="76"/>
  <c r="M22" i="67"/>
  <c r="F38" i="67"/>
  <c r="L47" i="67"/>
  <c r="D2" i="21"/>
  <c r="F26" i="15"/>
  <c r="B12" i="76"/>
  <c r="F35" i="67"/>
  <c r="AO13" i="1"/>
  <c r="F37" i="67"/>
  <c r="M27" i="67"/>
  <c r="J15" i="15"/>
  <c r="C76" i="15"/>
  <c r="M6" i="67"/>
  <c r="BE5" i="3" l="1"/>
  <c r="E32" i="6"/>
  <c r="C7" i="12"/>
  <c r="AC5" i="3"/>
  <c r="BL15" i="3"/>
  <c r="BR5" i="3"/>
  <c r="G28" i="6" s="1"/>
  <c r="AZ16" i="3"/>
  <c r="G16" i="3"/>
  <c r="BP5" i="3"/>
  <c r="G29" i="6" s="1"/>
  <c r="BS5" i="3"/>
  <c r="BL22" i="3"/>
  <c r="G23" i="3"/>
  <c r="BH5" i="3"/>
  <c r="K7" i="1"/>
  <c r="M7" i="1" s="1"/>
  <c r="O7" i="1" s="1"/>
  <c r="P7" i="1" s="1"/>
  <c r="G14" i="3"/>
  <c r="BA17" i="3"/>
  <c r="BA15" i="3"/>
  <c r="AZ15" i="3" s="1"/>
  <c r="BG5" i="3"/>
  <c r="BC5" i="3"/>
  <c r="I4" i="6"/>
  <c r="G3" i="43" s="1"/>
  <c r="B113" i="43" s="1"/>
  <c r="BD5" i="3"/>
  <c r="G13" i="3"/>
  <c r="AZ17" i="3"/>
  <c r="AR12" i="1"/>
  <c r="AZ14" i="3"/>
  <c r="BM5" i="3"/>
  <c r="F29" i="6" s="1"/>
  <c r="AZ18" i="3"/>
  <c r="AZ19" i="3"/>
  <c r="AZ20" i="3"/>
  <c r="AZ22" i="3"/>
  <c r="AZ23" i="3"/>
  <c r="K6" i="1"/>
  <c r="Q16" i="1" s="1"/>
  <c r="Q18" i="1" s="1"/>
  <c r="BB5" i="3"/>
  <c r="H5" i="3"/>
  <c r="BA13" i="3"/>
  <c r="O10" i="1"/>
  <c r="P10" i="1" s="1"/>
  <c r="AQ11" i="1"/>
  <c r="AR11" i="1"/>
  <c r="AR13" i="1"/>
  <c r="T13" i="1"/>
  <c r="AQ10" i="1"/>
  <c r="AR10" i="1"/>
  <c r="BQ5" i="3"/>
  <c r="BL13" i="3"/>
  <c r="P23" i="43"/>
  <c r="B71" i="39" s="1"/>
  <c r="E68" i="39"/>
  <c r="P21" i="43"/>
  <c r="B71" i="90" s="1"/>
  <c r="B71" i="84"/>
  <c r="M20" i="43"/>
  <c r="P25" i="43"/>
  <c r="P22" i="43"/>
  <c r="AA15" i="21"/>
  <c r="AC45" i="33"/>
  <c r="U19" i="33"/>
  <c r="AC25" i="33"/>
  <c r="AA19" i="33"/>
  <c r="W26" i="33"/>
  <c r="AC26" i="33"/>
  <c r="W17" i="33"/>
  <c r="U43" i="33"/>
  <c r="W29" i="33"/>
  <c r="AB45" i="33"/>
  <c r="AB15" i="21"/>
  <c r="F36" i="33"/>
  <c r="H36" i="33"/>
  <c r="U36" i="33" s="1"/>
  <c r="H111" i="33"/>
  <c r="I111" i="33" s="1"/>
  <c r="J111" i="33" s="1"/>
  <c r="K111" i="33" s="1"/>
  <c r="L111" i="33" s="1"/>
  <c r="M111" i="33" s="1"/>
  <c r="J36" i="33"/>
  <c r="AB41" i="39"/>
  <c r="S42" i="39"/>
  <c r="AB23" i="39"/>
  <c r="S23" i="39"/>
  <c r="W42" i="39"/>
  <c r="U40" i="39"/>
  <c r="S40" i="39"/>
  <c r="W40" i="39"/>
  <c r="D22" i="67"/>
  <c r="W17" i="39"/>
  <c r="S17" i="39"/>
  <c r="F79" i="33"/>
  <c r="G79" i="33" s="1"/>
  <c r="H17" i="33"/>
  <c r="U17" i="33" s="1"/>
  <c r="F17" i="33"/>
  <c r="H15" i="33"/>
  <c r="F77" i="33"/>
  <c r="G77" i="33" s="1"/>
  <c r="F15" i="33"/>
  <c r="AA15" i="33" s="1"/>
  <c r="U23" i="33"/>
  <c r="W19" i="33"/>
  <c r="S45" i="33"/>
  <c r="U46" i="33"/>
  <c r="W32" i="33"/>
  <c r="U32" i="33"/>
  <c r="U33" i="33"/>
  <c r="AB41" i="33"/>
  <c r="AB36" i="33"/>
  <c r="S33" i="33"/>
  <c r="S40" i="33"/>
  <c r="S43" i="33"/>
  <c r="U37" i="33"/>
  <c r="U35" i="33"/>
  <c r="AC35" i="33"/>
  <c r="AA34" i="33"/>
  <c r="U42" i="33"/>
  <c r="W42" i="33"/>
  <c r="S42" i="33"/>
  <c r="AB34" i="33"/>
  <c r="AA10" i="33"/>
  <c r="W9" i="33"/>
  <c r="AA9" i="33"/>
  <c r="F42" i="21"/>
  <c r="H42" i="21"/>
  <c r="U42" i="21" s="1"/>
  <c r="F123" i="21"/>
  <c r="G123" i="21" s="1"/>
  <c r="H123" i="21" s="1"/>
  <c r="I123" i="21" s="1"/>
  <c r="J123" i="21" s="1"/>
  <c r="K123" i="21" s="1"/>
  <c r="L123" i="21" s="1"/>
  <c r="M123" i="21" s="1"/>
  <c r="J42" i="21"/>
  <c r="AC42" i="21" s="1"/>
  <c r="S40" i="21"/>
  <c r="AA38" i="21"/>
  <c r="H113" i="21"/>
  <c r="H37" i="21"/>
  <c r="F37" i="21"/>
  <c r="AA37" i="21" s="1"/>
  <c r="J37" i="21"/>
  <c r="AA32" i="21"/>
  <c r="U21" i="21"/>
  <c r="S21" i="21"/>
  <c r="AB23" i="21"/>
  <c r="F79" i="21"/>
  <c r="G79" i="21" s="1"/>
  <c r="F17" i="21"/>
  <c r="AA17" i="21" s="1"/>
  <c r="J17" i="21"/>
  <c r="H17" i="21"/>
  <c r="AC35" i="21"/>
  <c r="U35" i="21"/>
  <c r="AB32" i="21"/>
  <c r="S37" i="21"/>
  <c r="AC38" i="21"/>
  <c r="AB36" i="21"/>
  <c r="AC32" i="21"/>
  <c r="AB28" i="21"/>
  <c r="U28" i="21"/>
  <c r="U31" i="21"/>
  <c r="AB31" i="21"/>
  <c r="U30" i="21"/>
  <c r="AB30" i="21"/>
  <c r="AB29" i="21"/>
  <c r="AC27" i="21"/>
  <c r="S27" i="21"/>
  <c r="U27" i="21"/>
  <c r="J30" i="21"/>
  <c r="F30" i="21"/>
  <c r="J28" i="21"/>
  <c r="F28" i="21"/>
  <c r="S19" i="21"/>
  <c r="AC15" i="21"/>
  <c r="F66" i="21"/>
  <c r="G66" i="21" s="1"/>
  <c r="H66" i="21" s="1"/>
  <c r="I66" i="21" s="1"/>
  <c r="H10" i="21"/>
  <c r="AB10" i="21" s="1"/>
  <c r="J10" i="21"/>
  <c r="F10" i="21"/>
  <c r="AA10" i="21" s="1"/>
  <c r="U10" i="21"/>
  <c r="S12" i="21"/>
  <c r="AA12" i="21"/>
  <c r="AB13" i="21"/>
  <c r="U13" i="21"/>
  <c r="H12" i="21"/>
  <c r="J12" i="21"/>
  <c r="AC9" i="21"/>
  <c r="AB9" i="21"/>
  <c r="S8" i="21"/>
  <c r="D16" i="53"/>
  <c r="B34" i="72" s="1"/>
  <c r="H110" i="9"/>
  <c r="D18" i="53" s="1"/>
  <c r="B35" i="72" s="1"/>
  <c r="E21" i="49"/>
  <c r="B22" i="49"/>
  <c r="E16" i="49"/>
  <c r="A15" i="62"/>
  <c r="B61" i="72" s="1"/>
  <c r="F81" i="39"/>
  <c r="G81" i="39" s="1"/>
  <c r="H81" i="39" s="1"/>
  <c r="B16" i="49"/>
  <c r="E8" i="49"/>
  <c r="B13" i="49"/>
  <c r="C4" i="4" s="1"/>
  <c r="B4" i="62" s="1"/>
  <c r="E14" i="49"/>
  <c r="B7" i="49"/>
  <c r="E4" i="4" s="1"/>
  <c r="B5" i="62" s="1"/>
  <c r="E7" i="70"/>
  <c r="W27" i="39"/>
  <c r="F21" i="39"/>
  <c r="AA21" i="39" s="1"/>
  <c r="H21" i="39"/>
  <c r="AB21" i="39" s="1"/>
  <c r="F95" i="39"/>
  <c r="G95" i="39" s="1"/>
  <c r="U21" i="39"/>
  <c r="U17" i="39"/>
  <c r="AB15" i="39"/>
  <c r="S15" i="39"/>
  <c r="S25" i="39"/>
  <c r="W37" i="39"/>
  <c r="AC37" i="39"/>
  <c r="S36" i="39"/>
  <c r="AA36" i="39"/>
  <c r="S37" i="39"/>
  <c r="J36" i="39"/>
  <c r="H36" i="39"/>
  <c r="W9" i="39"/>
  <c r="U9" i="39"/>
  <c r="G17" i="43"/>
  <c r="C16" i="43" s="1"/>
  <c r="C5" i="43" s="1"/>
  <c r="E15" i="49"/>
  <c r="B11" i="49"/>
  <c r="B8" i="49"/>
  <c r="B10" i="49"/>
  <c r="B9" i="49"/>
  <c r="E10" i="49"/>
  <c r="B15" i="49"/>
  <c r="E9" i="49"/>
  <c r="E13" i="49"/>
  <c r="B14" i="49"/>
  <c r="E4" i="49"/>
  <c r="B5" i="49"/>
  <c r="E5" i="49"/>
  <c r="E6" i="49"/>
  <c r="E11" i="49"/>
  <c r="E22" i="49"/>
  <c r="B4" i="49"/>
  <c r="B6" i="49"/>
  <c r="E7" i="49"/>
  <c r="C24" i="12"/>
  <c r="F32" i="15"/>
  <c r="F60" i="15" s="1"/>
  <c r="F31" i="12"/>
  <c r="C48" i="68"/>
  <c r="C30" i="68"/>
  <c r="F54" i="9"/>
  <c r="M18" i="15"/>
  <c r="M18" i="67"/>
  <c r="F32" i="78"/>
  <c r="F60" i="78" s="1"/>
  <c r="F28" i="78"/>
  <c r="C28" i="78" s="1"/>
  <c r="M18" i="78"/>
  <c r="F32" i="77"/>
  <c r="F60" i="77" s="1"/>
  <c r="F28" i="77"/>
  <c r="C28" i="77" s="1"/>
  <c r="M18" i="77"/>
  <c r="D68" i="9"/>
  <c r="F28" i="15"/>
  <c r="F30" i="69"/>
  <c r="C30" i="69" s="1"/>
  <c r="F32" i="67"/>
  <c r="F60" i="67" s="1"/>
  <c r="F52" i="9"/>
  <c r="F28" i="67"/>
  <c r="C28" i="67" s="1"/>
  <c r="F30" i="11"/>
  <c r="F53" i="9"/>
  <c r="C94" i="9"/>
  <c r="C92" i="9"/>
  <c r="F34" i="77"/>
  <c r="F62" i="77" s="1"/>
  <c r="F34" i="78"/>
  <c r="F62" i="78" s="1"/>
  <c r="M20" i="78"/>
  <c r="M20" i="77"/>
  <c r="M20" i="15"/>
  <c r="G1" i="78"/>
  <c r="G1" i="77"/>
  <c r="O11" i="1"/>
  <c r="P11" i="1" s="1"/>
  <c r="O9" i="1"/>
  <c r="P9" i="1" s="1"/>
  <c r="O8" i="1"/>
  <c r="O12" i="1"/>
  <c r="P12" i="1" s="1"/>
  <c r="D5" i="43"/>
  <c r="C34" i="43" s="1"/>
  <c r="A19" i="51"/>
  <c r="B14" i="72" s="1"/>
  <c r="T35" i="4"/>
  <c r="D10" i="52"/>
  <c r="D125" i="9"/>
  <c r="D11" i="52" s="1"/>
  <c r="H14" i="74"/>
  <c r="B7" i="74" s="1"/>
  <c r="D127" i="9"/>
  <c r="D13" i="52" s="1"/>
  <c r="I14" i="74"/>
  <c r="B8" i="74" s="1"/>
  <c r="D12" i="52"/>
  <c r="D19" i="53"/>
  <c r="C38" i="43"/>
  <c r="L59" i="34"/>
  <c r="M59" i="34" s="1"/>
  <c r="N59" i="34" s="1"/>
  <c r="O59" i="34" s="1"/>
  <c r="E52" i="37"/>
  <c r="F52" i="37" s="1"/>
  <c r="G52" i="37" s="1"/>
  <c r="H52" i="37" s="1"/>
  <c r="I52" i="37" s="1"/>
  <c r="J52" i="37" s="1"/>
  <c r="K52" i="37" s="1"/>
  <c r="L52" i="37" s="1"/>
  <c r="M52" i="37" s="1"/>
  <c r="N52" i="37" s="1"/>
  <c r="O52" i="37" s="1"/>
  <c r="F7" i="36"/>
  <c r="E46" i="36"/>
  <c r="F46" i="36" s="1"/>
  <c r="G46" i="36" s="1"/>
  <c r="H46" i="36" s="1"/>
  <c r="I46" i="36" s="1"/>
  <c r="J46" i="36" s="1"/>
  <c r="K46" i="36" s="1"/>
  <c r="L46" i="36" s="1"/>
  <c r="M46" i="36" s="1"/>
  <c r="N46" i="36" s="1"/>
  <c r="O46" i="36" s="1"/>
  <c r="H7" i="36"/>
  <c r="D58" i="21"/>
  <c r="E58" i="21" s="1"/>
  <c r="F58" i="21" s="1"/>
  <c r="G58" i="21" s="1"/>
  <c r="H58" i="21" s="1"/>
  <c r="I58" i="21" s="1"/>
  <c r="J58" i="21" s="1"/>
  <c r="K58" i="21" s="1"/>
  <c r="L58" i="21" s="1"/>
  <c r="M58" i="21" s="1"/>
  <c r="N58" i="21" s="1"/>
  <c r="O58" i="21" s="1"/>
  <c r="H7" i="21"/>
  <c r="F7" i="21"/>
  <c r="J7" i="21"/>
  <c r="F7" i="34"/>
  <c r="E48" i="35"/>
  <c r="F48" i="35" s="1"/>
  <c r="G48" i="35" s="1"/>
  <c r="H48" i="35" s="1"/>
  <c r="I48" i="35" s="1"/>
  <c r="J48" i="35" s="1"/>
  <c r="K48" i="35" s="1"/>
  <c r="L48" i="35" s="1"/>
  <c r="M48" i="35" s="1"/>
  <c r="N48" i="35" s="1"/>
  <c r="O48" i="35" s="1"/>
  <c r="F7" i="35"/>
  <c r="D63" i="40"/>
  <c r="C65" i="40"/>
  <c r="D58" i="33"/>
  <c r="E58" i="33" s="1"/>
  <c r="F58" i="33" s="1"/>
  <c r="G58" i="33" s="1"/>
  <c r="H58" i="33" s="1"/>
  <c r="I58" i="33" s="1"/>
  <c r="J58" i="33" s="1"/>
  <c r="K58" i="33" s="1"/>
  <c r="L58" i="33" s="1"/>
  <c r="M58" i="33" s="1"/>
  <c r="N58" i="33" s="1"/>
  <c r="O58" i="33" s="1"/>
  <c r="C28" i="15"/>
  <c r="E20" i="43"/>
  <c r="K1" i="73"/>
  <c r="B11" i="70"/>
  <c r="F66" i="67"/>
  <c r="F65" i="15"/>
  <c r="C27" i="15"/>
  <c r="F65" i="67"/>
  <c r="N59" i="15"/>
  <c r="M59" i="15"/>
  <c r="L59" i="15" s="1"/>
  <c r="L58" i="15"/>
  <c r="I1" i="73"/>
  <c r="B39" i="1" s="1"/>
  <c r="B10" i="70"/>
  <c r="M59" i="67"/>
  <c r="L58" i="67"/>
  <c r="L59" i="67"/>
  <c r="N59" i="67"/>
  <c r="F69" i="67"/>
  <c r="F51" i="67"/>
  <c r="F71" i="67"/>
  <c r="J53" i="15"/>
  <c r="J57" i="15"/>
  <c r="J55" i="15" s="1"/>
  <c r="J58" i="15" s="1"/>
  <c r="Q50" i="15" s="1"/>
  <c r="I54" i="15"/>
  <c r="J53" i="67"/>
  <c r="I54" i="67"/>
  <c r="J57" i="67"/>
  <c r="J55" i="67" s="1"/>
  <c r="J58" i="67" s="1"/>
  <c r="Q50" i="67" s="1"/>
  <c r="L56" i="67"/>
  <c r="F66" i="15"/>
  <c r="Q71" i="67"/>
  <c r="B13" i="70"/>
  <c r="M7" i="67"/>
  <c r="J6" i="67" s="1"/>
  <c r="F50" i="67"/>
  <c r="Q71" i="15"/>
  <c r="F64" i="15"/>
  <c r="C34" i="67"/>
  <c r="F63" i="67"/>
  <c r="C62" i="67" s="1"/>
  <c r="J20" i="67"/>
  <c r="F70" i="67"/>
  <c r="F68" i="67"/>
  <c r="F51" i="15"/>
  <c r="C6" i="67"/>
  <c r="B12" i="70"/>
  <c r="F64" i="67"/>
  <c r="B6" i="70"/>
  <c r="B20" i="31"/>
  <c r="F68" i="15"/>
  <c r="C27" i="67"/>
  <c r="F59" i="15"/>
  <c r="F59" i="67"/>
  <c r="M17" i="15"/>
  <c r="M17" i="67"/>
  <c r="F43" i="15"/>
  <c r="M29" i="77"/>
  <c r="F8" i="78"/>
  <c r="M22" i="77"/>
  <c r="F13" i="78"/>
  <c r="M8" i="78"/>
  <c r="M26" i="78"/>
  <c r="M24" i="78"/>
  <c r="F16" i="78"/>
  <c r="M29" i="78"/>
  <c r="M23" i="78"/>
  <c r="J15" i="77"/>
  <c r="F9" i="77"/>
  <c r="F7" i="78"/>
  <c r="F13" i="77"/>
  <c r="L48" i="78"/>
  <c r="F40" i="78"/>
  <c r="F38" i="77"/>
  <c r="M26" i="77"/>
  <c r="M28" i="77"/>
  <c r="M28" i="78"/>
  <c r="C16" i="15"/>
  <c r="F8" i="77"/>
  <c r="G1" i="73"/>
  <c r="F37" i="77"/>
  <c r="F16" i="77"/>
  <c r="F42" i="78"/>
  <c r="J15" i="78"/>
  <c r="F38" i="78"/>
  <c r="F37" i="78"/>
  <c r="F42" i="77"/>
  <c r="F7" i="15"/>
  <c r="F26" i="77"/>
  <c r="C14" i="67"/>
  <c r="M22" i="78"/>
  <c r="M24" i="77"/>
  <c r="M23" i="77"/>
  <c r="L48" i="77"/>
  <c r="F40" i="77"/>
  <c r="M6" i="77"/>
  <c r="M27" i="78"/>
  <c r="L47" i="77"/>
  <c r="C76" i="78"/>
  <c r="F36" i="78"/>
  <c r="F43" i="78"/>
  <c r="C17" i="67"/>
  <c r="M29" i="15"/>
  <c r="M9" i="77"/>
  <c r="F26" i="78"/>
  <c r="F6" i="78"/>
  <c r="F9" i="78"/>
  <c r="F36" i="77"/>
  <c r="F6" i="77"/>
  <c r="M9" i="78"/>
  <c r="C16" i="67"/>
  <c r="F43" i="77"/>
  <c r="L47" i="78"/>
  <c r="F7" i="77"/>
  <c r="C76" i="77"/>
  <c r="M6" i="78"/>
  <c r="M8" i="77"/>
  <c r="M27" i="77"/>
  <c r="E8" i="6" l="1"/>
  <c r="E56" i="84" s="1"/>
  <c r="G30" i="6"/>
  <c r="G31" i="6" s="1"/>
  <c r="E29" i="6"/>
  <c r="K15" i="1" s="1"/>
  <c r="F28" i="6"/>
  <c r="F30" i="6" s="1"/>
  <c r="F50" i="15"/>
  <c r="C49" i="15" s="1"/>
  <c r="C6" i="15"/>
  <c r="C32" i="15" s="1"/>
  <c r="M7" i="15"/>
  <c r="J6" i="15" s="1"/>
  <c r="F71" i="15"/>
  <c r="H16" i="1"/>
  <c r="BA5" i="3"/>
  <c r="E27" i="6" s="1"/>
  <c r="E13" i="6"/>
  <c r="E63" i="84" s="1"/>
  <c r="G5" i="3"/>
  <c r="B3" i="3" s="1"/>
  <c r="E256" i="3" s="1"/>
  <c r="E12" i="6"/>
  <c r="E62" i="90" s="1"/>
  <c r="N101" i="43"/>
  <c r="N105" i="43" s="1"/>
  <c r="AE11" i="43"/>
  <c r="AE13" i="43" s="1"/>
  <c r="E304" i="3"/>
  <c r="AH11" i="43"/>
  <c r="AH13" i="43" s="1"/>
  <c r="J101" i="43"/>
  <c r="J102" i="43" s="1"/>
  <c r="D17" i="53"/>
  <c r="B36" i="72" s="1"/>
  <c r="J22" i="43"/>
  <c r="Z11" i="43"/>
  <c r="Z13" i="43" s="1"/>
  <c r="M101" i="43"/>
  <c r="M109" i="43" s="1"/>
  <c r="G22" i="43"/>
  <c r="E385" i="3"/>
  <c r="AA11" i="43"/>
  <c r="AA13" i="43" s="1"/>
  <c r="AI11" i="43"/>
  <c r="AI13" i="43" s="1"/>
  <c r="AD11" i="43"/>
  <c r="AD13" i="43" s="1"/>
  <c r="E101" i="43"/>
  <c r="E107" i="43" s="1"/>
  <c r="H22" i="43"/>
  <c r="K101" i="43"/>
  <c r="K103" i="43" s="1"/>
  <c r="L101" i="43"/>
  <c r="L109" i="43" s="1"/>
  <c r="G101" i="43"/>
  <c r="G107" i="43" s="1"/>
  <c r="Y11" i="43"/>
  <c r="Y13" i="43" s="1"/>
  <c r="AC11" i="43"/>
  <c r="AC13" i="43" s="1"/>
  <c r="AG11" i="43"/>
  <c r="AG13" i="43" s="1"/>
  <c r="Z7" i="43"/>
  <c r="AB11" i="43"/>
  <c r="AB13" i="43" s="1"/>
  <c r="AF11" i="43"/>
  <c r="AF13" i="43" s="1"/>
  <c r="AJ11" i="43"/>
  <c r="AJ13" i="43" s="1"/>
  <c r="I101" i="43"/>
  <c r="I102" i="43" s="1"/>
  <c r="D101" i="43"/>
  <c r="D109" i="43" s="1"/>
  <c r="E22" i="43"/>
  <c r="F101" i="43"/>
  <c r="F102" i="43" s="1"/>
  <c r="F22" i="43"/>
  <c r="H101" i="43"/>
  <c r="H106" i="43" s="1"/>
  <c r="N104" i="46"/>
  <c r="C101" i="43"/>
  <c r="C107" i="43" s="1"/>
  <c r="E161" i="3"/>
  <c r="G16" i="1"/>
  <c r="F10" i="90" s="1"/>
  <c r="E108" i="3"/>
  <c r="BL5" i="3"/>
  <c r="AZ13" i="3"/>
  <c r="AZ5" i="3" s="1"/>
  <c r="L19" i="6"/>
  <c r="L27" i="6" s="1"/>
  <c r="E10" i="6"/>
  <c r="E5" i="6"/>
  <c r="E11" i="6"/>
  <c r="E14" i="6"/>
  <c r="E15" i="6"/>
  <c r="E65" i="39" s="1"/>
  <c r="E500" i="3"/>
  <c r="K23" i="1"/>
  <c r="M23" i="1" s="1"/>
  <c r="AP6" i="1"/>
  <c r="C36" i="69" s="1"/>
  <c r="M6" i="1"/>
  <c r="O6" i="1" s="1"/>
  <c r="P6" i="1" s="1"/>
  <c r="C13" i="12" s="1"/>
  <c r="C48" i="69"/>
  <c r="H7" i="34"/>
  <c r="F68" i="39"/>
  <c r="E70" i="39"/>
  <c r="J7" i="35"/>
  <c r="H7" i="35"/>
  <c r="H7" i="37"/>
  <c r="J7" i="34"/>
  <c r="H7" i="33"/>
  <c r="J7" i="33"/>
  <c r="W36" i="33"/>
  <c r="AC36" i="33"/>
  <c r="AA36" i="33"/>
  <c r="S36" i="33"/>
  <c r="S15" i="33"/>
  <c r="AB17" i="33"/>
  <c r="S17" i="21"/>
  <c r="AB42" i="21"/>
  <c r="AA17" i="33"/>
  <c r="S17" i="33"/>
  <c r="AB15" i="33"/>
  <c r="U15" i="33"/>
  <c r="W42" i="21"/>
  <c r="AA42" i="21"/>
  <c r="S42" i="21"/>
  <c r="W37" i="21"/>
  <c r="AC37" i="21"/>
  <c r="U37" i="21"/>
  <c r="AB37" i="21"/>
  <c r="AB17" i="21"/>
  <c r="U17" i="21"/>
  <c r="AC17" i="21"/>
  <c r="W17" i="21"/>
  <c r="AA28" i="21"/>
  <c r="S28" i="21"/>
  <c r="S30" i="21"/>
  <c r="AA30" i="21"/>
  <c r="AC28" i="21"/>
  <c r="W28" i="21"/>
  <c r="W30" i="21"/>
  <c r="AC30" i="21"/>
  <c r="S10" i="21"/>
  <c r="AC10" i="21"/>
  <c r="W10" i="21"/>
  <c r="AC12" i="21"/>
  <c r="W12" i="21"/>
  <c r="AB12" i="21"/>
  <c r="U12" i="21"/>
  <c r="B73" i="72"/>
  <c r="B71" i="72"/>
  <c r="I81" i="39"/>
  <c r="J81" i="39" s="1"/>
  <c r="K81" i="39" s="1"/>
  <c r="L81" i="39" s="1"/>
  <c r="M81" i="39" s="1"/>
  <c r="K4" i="4"/>
  <c r="B46" i="48" s="1"/>
  <c r="S21" i="39"/>
  <c r="W36" i="39"/>
  <c r="AC36" i="39"/>
  <c r="U36" i="39"/>
  <c r="AB36" i="39"/>
  <c r="T14" i="43"/>
  <c r="V14" i="43" s="1"/>
  <c r="T16" i="43"/>
  <c r="V16" i="43" s="1"/>
  <c r="T10" i="43"/>
  <c r="V10" i="43" s="1"/>
  <c r="T13" i="43"/>
  <c r="V13" i="43" s="1"/>
  <c r="T11" i="43"/>
  <c r="V11" i="43" s="1"/>
  <c r="T9" i="43"/>
  <c r="V9" i="43" s="1"/>
  <c r="T8" i="43"/>
  <c r="V8" i="43" s="1"/>
  <c r="T12" i="43"/>
  <c r="V12" i="43" s="1"/>
  <c r="T15" i="43"/>
  <c r="V15" i="43" s="1"/>
  <c r="C39" i="43"/>
  <c r="E39" i="43" s="1"/>
  <c r="C33" i="43"/>
  <c r="C30" i="11"/>
  <c r="C48" i="11"/>
  <c r="F51" i="78"/>
  <c r="Q71" i="78"/>
  <c r="M7" i="78"/>
  <c r="J6" i="78" s="1"/>
  <c r="J18" i="78" s="1"/>
  <c r="F50" i="78"/>
  <c r="C6" i="78"/>
  <c r="C33" i="78" s="1"/>
  <c r="C27" i="78"/>
  <c r="F64" i="78"/>
  <c r="F66" i="78"/>
  <c r="F68" i="78"/>
  <c r="F71" i="78"/>
  <c r="L56" i="78"/>
  <c r="L60" i="78"/>
  <c r="Q57" i="78" s="1"/>
  <c r="J57" i="78"/>
  <c r="J55" i="78" s="1"/>
  <c r="J58" i="78" s="1"/>
  <c r="Q50" i="78" s="1"/>
  <c r="L57" i="78"/>
  <c r="I54" i="78"/>
  <c r="J53" i="78"/>
  <c r="F1" i="78" s="1"/>
  <c r="F65" i="78"/>
  <c r="N59" i="78"/>
  <c r="M59" i="78"/>
  <c r="L59" i="78" s="1"/>
  <c r="Q61" i="78" s="1"/>
  <c r="L58" i="78"/>
  <c r="Q60" i="78" s="1"/>
  <c r="F51" i="77"/>
  <c r="Q71" i="77"/>
  <c r="M7" i="77"/>
  <c r="J6" i="77" s="1"/>
  <c r="J18" i="77" s="1"/>
  <c r="F50" i="77"/>
  <c r="C6" i="77"/>
  <c r="C33" i="77" s="1"/>
  <c r="C27" i="77"/>
  <c r="F64" i="77"/>
  <c r="F66" i="77"/>
  <c r="N59" i="77"/>
  <c r="M59" i="77"/>
  <c r="L59" i="77" s="1"/>
  <c r="Q61" i="77" s="1"/>
  <c r="L58" i="77"/>
  <c r="Q60" i="77" s="1"/>
  <c r="F65" i="77"/>
  <c r="F68" i="77"/>
  <c r="F71" i="77"/>
  <c r="L57" i="77"/>
  <c r="I54" i="77"/>
  <c r="J53" i="77"/>
  <c r="Q52" i="77" s="1"/>
  <c r="L56" i="77"/>
  <c r="L60" i="77"/>
  <c r="Q57" i="77" s="1"/>
  <c r="J57" i="77"/>
  <c r="J55" i="77" s="1"/>
  <c r="J58" i="77" s="1"/>
  <c r="Q50" i="77" s="1"/>
  <c r="F50" i="11"/>
  <c r="F50" i="68"/>
  <c r="F50" i="69"/>
  <c r="P8" i="1"/>
  <c r="D3" i="33"/>
  <c r="D3" i="21"/>
  <c r="F27" i="69"/>
  <c r="F27" i="68"/>
  <c r="F28" i="12"/>
  <c r="C29" i="12" s="1"/>
  <c r="D28" i="12" s="1"/>
  <c r="F27" i="11"/>
  <c r="F11" i="78"/>
  <c r="M11" i="78"/>
  <c r="C35" i="43"/>
  <c r="E35" i="43" s="1"/>
  <c r="C36" i="43"/>
  <c r="C37" i="43"/>
  <c r="E37" i="43" s="1"/>
  <c r="F11" i="77"/>
  <c r="M11" i="77"/>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B38" i="72"/>
  <c r="D20" i="53"/>
  <c r="B40" i="72" s="1"/>
  <c r="G35" i="43"/>
  <c r="I35" i="43" s="1"/>
  <c r="G39" i="43"/>
  <c r="I39" i="43" s="1"/>
  <c r="E33" i="43"/>
  <c r="G33" i="43"/>
  <c r="I33" i="43" s="1"/>
  <c r="E34" i="43"/>
  <c r="G34" i="43"/>
  <c r="I34" i="43" s="1"/>
  <c r="G38" i="43"/>
  <c r="I38" i="43" s="1"/>
  <c r="E38" i="43"/>
  <c r="F7" i="33"/>
  <c r="AA7" i="35"/>
  <c r="R38" i="35" s="1"/>
  <c r="S7" i="35"/>
  <c r="AA7" i="34"/>
  <c r="R49" i="34" s="1"/>
  <c r="S7" i="34"/>
  <c r="AA7" i="21"/>
  <c r="S7" i="21"/>
  <c r="J7" i="36"/>
  <c r="F7" i="37"/>
  <c r="J7" i="37"/>
  <c r="AB7" i="33"/>
  <c r="T48" i="33" s="1"/>
  <c r="G48" i="33" s="1"/>
  <c r="U7" i="33"/>
  <c r="AC7" i="33"/>
  <c r="V48" i="33" s="1"/>
  <c r="I48" i="33" s="1"/>
  <c r="W7" i="33"/>
  <c r="D65" i="40"/>
  <c r="E63" i="40"/>
  <c r="W7" i="35"/>
  <c r="AC7" i="35"/>
  <c r="V38" i="35" s="1"/>
  <c r="I38" i="35" s="1"/>
  <c r="U7" i="35"/>
  <c r="AB7" i="35"/>
  <c r="T38" i="35" s="1"/>
  <c r="G38" i="35" s="1"/>
  <c r="AB7" i="34"/>
  <c r="T49" i="34" s="1"/>
  <c r="G49" i="34" s="1"/>
  <c r="U7" i="34"/>
  <c r="AC7" i="21"/>
  <c r="W7" i="21"/>
  <c r="U7" i="21"/>
  <c r="AB7" i="21"/>
  <c r="AB7" i="36"/>
  <c r="T36" i="36" s="1"/>
  <c r="G36" i="36" s="1"/>
  <c r="U7" i="36"/>
  <c r="S7" i="36"/>
  <c r="AA7" i="36"/>
  <c r="R36" i="36" s="1"/>
  <c r="AB7" i="37"/>
  <c r="T42" i="37" s="1"/>
  <c r="G42" i="37" s="1"/>
  <c r="U7" i="37"/>
  <c r="AC7" i="34"/>
  <c r="V49" i="34" s="1"/>
  <c r="I49" i="34" s="1"/>
  <c r="W7" i="34"/>
  <c r="C18" i="67"/>
  <c r="C15" i="67"/>
  <c r="B40" i="1"/>
  <c r="Q52" i="67"/>
  <c r="F1" i="67"/>
  <c r="Q52" i="15"/>
  <c r="F1" i="15"/>
  <c r="Q74" i="67"/>
  <c r="Q61" i="67"/>
  <c r="Q61" i="15"/>
  <c r="Q74" i="15"/>
  <c r="J18" i="67"/>
  <c r="C32" i="67"/>
  <c r="L56" i="15"/>
  <c r="C49" i="67"/>
  <c r="Q73" i="67"/>
  <c r="Q60" i="67"/>
  <c r="M11" i="15"/>
  <c r="F11" i="15"/>
  <c r="F11" i="67"/>
  <c r="M11" i="67"/>
  <c r="J10" i="67" s="1"/>
  <c r="J5" i="67" s="1"/>
  <c r="Q73" i="15"/>
  <c r="Q60" i="15"/>
  <c r="P28" i="43"/>
  <c r="N28" i="43"/>
  <c r="M28" i="43"/>
  <c r="O28" i="43"/>
  <c r="AE7" i="1"/>
  <c r="C16" i="78"/>
  <c r="C16" i="77"/>
  <c r="AE9" i="1"/>
  <c r="E307" i="3" l="1"/>
  <c r="E232" i="3"/>
  <c r="E564" i="3"/>
  <c r="E208" i="3"/>
  <c r="E257" i="3"/>
  <c r="E447" i="3"/>
  <c r="E131" i="3"/>
  <c r="E244" i="3"/>
  <c r="E58" i="3"/>
  <c r="E360" i="3"/>
  <c r="N104" i="43"/>
  <c r="E54" i="3"/>
  <c r="AK6" i="3"/>
  <c r="E78" i="3"/>
  <c r="E349" i="3"/>
  <c r="P6" i="3"/>
  <c r="E381" i="3"/>
  <c r="E530" i="3"/>
  <c r="E45" i="3"/>
  <c r="E550" i="3"/>
  <c r="E170" i="3"/>
  <c r="E518" i="3"/>
  <c r="G105" i="43"/>
  <c r="E168" i="3"/>
  <c r="E433" i="3"/>
  <c r="E421" i="3"/>
  <c r="E345" i="3"/>
  <c r="E94" i="3"/>
  <c r="E383" i="3"/>
  <c r="E287" i="3"/>
  <c r="E258" i="3"/>
  <c r="E478" i="3"/>
  <c r="E76" i="3"/>
  <c r="E179" i="3"/>
  <c r="E103" i="3"/>
  <c r="E200" i="3"/>
  <c r="E265" i="3"/>
  <c r="E438" i="3"/>
  <c r="E526" i="3"/>
  <c r="E107" i="3"/>
  <c r="E559" i="3"/>
  <c r="E511" i="3"/>
  <c r="E377" i="3"/>
  <c r="E51" i="3"/>
  <c r="E167" i="3"/>
  <c r="E444" i="3"/>
  <c r="E376" i="3"/>
  <c r="E399" i="3"/>
  <c r="E77" i="3"/>
  <c r="E143" i="3"/>
  <c r="E97" i="3"/>
  <c r="E347" i="3"/>
  <c r="E524" i="3"/>
  <c r="E154" i="3"/>
  <c r="E534" i="3"/>
  <c r="E211" i="3"/>
  <c r="E365" i="3"/>
  <c r="E392" i="3"/>
  <c r="E75" i="3"/>
  <c r="E435" i="3"/>
  <c r="E502" i="3"/>
  <c r="E401" i="3"/>
  <c r="E13" i="3"/>
  <c r="V6" i="3"/>
  <c r="E151" i="3"/>
  <c r="E516" i="3"/>
  <c r="E395" i="3"/>
  <c r="E585" i="3"/>
  <c r="E271" i="3"/>
  <c r="E156" i="3"/>
  <c r="E586" i="3"/>
  <c r="E539" i="3"/>
  <c r="E328" i="3"/>
  <c r="E169" i="3"/>
  <c r="E519" i="3"/>
  <c r="E474" i="3"/>
  <c r="E288" i="3"/>
  <c r="E470" i="3"/>
  <c r="E557" i="3"/>
  <c r="E325" i="3"/>
  <c r="E121" i="3"/>
  <c r="E65" i="3"/>
  <c r="E90" i="3"/>
  <c r="E484" i="3"/>
  <c r="E84" i="3"/>
  <c r="E296" i="3"/>
  <c r="AM6" i="3"/>
  <c r="E425" i="3"/>
  <c r="E267" i="3"/>
  <c r="E144" i="3"/>
  <c r="E118" i="3"/>
  <c r="E82" i="3"/>
  <c r="Y6" i="3"/>
  <c r="E66" i="3"/>
  <c r="E163" i="3"/>
  <c r="E462" i="3"/>
  <c r="E356" i="3"/>
  <c r="E39" i="3"/>
  <c r="E305" i="3"/>
  <c r="E369" i="3"/>
  <c r="E477" i="3"/>
  <c r="E476" i="3"/>
  <c r="E27" i="3"/>
  <c r="E186" i="3"/>
  <c r="E241" i="3"/>
  <c r="E363" i="3"/>
  <c r="E389" i="3"/>
  <c r="E326" i="3"/>
  <c r="E113" i="3"/>
  <c r="E370" i="3"/>
  <c r="E49" i="3"/>
  <c r="E522" i="3"/>
  <c r="E235" i="3"/>
  <c r="E190" i="3"/>
  <c r="E18" i="3"/>
  <c r="E488" i="3"/>
  <c r="E42" i="3"/>
  <c r="E357" i="3"/>
  <c r="E192" i="3"/>
  <c r="E491" i="3"/>
  <c r="E525" i="3"/>
  <c r="E583" i="3"/>
  <c r="E134" i="3"/>
  <c r="E493" i="3"/>
  <c r="E487" i="3"/>
  <c r="E374" i="3"/>
  <c r="E537" i="3"/>
  <c r="E471" i="3"/>
  <c r="E475" i="3"/>
  <c r="N107" i="43"/>
  <c r="M105" i="43"/>
  <c r="J107" i="43"/>
  <c r="E28" i="6"/>
  <c r="K20" i="6" s="1"/>
  <c r="E571" i="3"/>
  <c r="E150" i="3"/>
  <c r="E111" i="3"/>
  <c r="E72" i="3"/>
  <c r="E450" i="3"/>
  <c r="E416" i="3"/>
  <c r="E238" i="3"/>
  <c r="E53" i="3"/>
  <c r="E37" i="3"/>
  <c r="E14" i="3"/>
  <c r="E482" i="3"/>
  <c r="E220" i="3"/>
  <c r="E86" i="3"/>
  <c r="E102" i="3"/>
  <c r="E83" i="3"/>
  <c r="E292" i="3"/>
  <c r="E162" i="3"/>
  <c r="AS6" i="3"/>
  <c r="E230" i="3"/>
  <c r="E281" i="3"/>
  <c r="E98" i="3"/>
  <c r="E127" i="3"/>
  <c r="E283" i="3"/>
  <c r="E310" i="3"/>
  <c r="E29" i="3"/>
  <c r="E68" i="3"/>
  <c r="E372" i="3"/>
  <c r="E434" i="3"/>
  <c r="E32" i="3"/>
  <c r="W6" i="3"/>
  <c r="E529" i="3"/>
  <c r="I6" i="3"/>
  <c r="E165" i="3"/>
  <c r="E122" i="3"/>
  <c r="E114" i="3"/>
  <c r="E396" i="3"/>
  <c r="E320" i="3"/>
  <c r="AP6" i="3"/>
  <c r="E315" i="3"/>
  <c r="E340" i="3"/>
  <c r="E489" i="3"/>
  <c r="E212" i="3"/>
  <c r="E528" i="3"/>
  <c r="Q6" i="3"/>
  <c r="E451" i="3"/>
  <c r="E56" i="39"/>
  <c r="D106" i="43"/>
  <c r="E51" i="40"/>
  <c r="H103" i="43"/>
  <c r="F103" i="43"/>
  <c r="F27" i="6"/>
  <c r="E56" i="90"/>
  <c r="E63" i="90"/>
  <c r="T6" i="3"/>
  <c r="E321" i="3"/>
  <c r="E285" i="3"/>
  <c r="E124" i="3"/>
  <c r="E104" i="3"/>
  <c r="E523" i="3"/>
  <c r="E312" i="3"/>
  <c r="E282" i="3"/>
  <c r="E512" i="3"/>
  <c r="E418" i="3"/>
  <c r="E574" i="3"/>
  <c r="E542" i="3"/>
  <c r="E188" i="3"/>
  <c r="E510" i="3"/>
  <c r="E231" i="3"/>
  <c r="E456" i="3"/>
  <c r="E449" i="3"/>
  <c r="E364" i="3"/>
  <c r="E521" i="3"/>
  <c r="E197" i="3"/>
  <c r="E166" i="3"/>
  <c r="E176" i="3"/>
  <c r="E299" i="3"/>
  <c r="E74" i="3"/>
  <c r="AO6" i="3"/>
  <c r="E442" i="3"/>
  <c r="E420" i="3"/>
  <c r="AH6" i="3"/>
  <c r="E490" i="3"/>
  <c r="E422" i="3"/>
  <c r="E486" i="3"/>
  <c r="E543" i="3"/>
  <c r="E330" i="3"/>
  <c r="E120" i="3"/>
  <c r="E216" i="3"/>
  <c r="E568" i="3"/>
  <c r="E426" i="3"/>
  <c r="E553" i="3"/>
  <c r="E545" i="3"/>
  <c r="E128" i="3"/>
  <c r="E578" i="3"/>
  <c r="E301" i="3"/>
  <c r="E99" i="3"/>
  <c r="E157" i="3"/>
  <c r="E253" i="3"/>
  <c r="E286" i="3"/>
  <c r="E499" i="3"/>
  <c r="E261" i="3"/>
  <c r="E183" i="3"/>
  <c r="E503" i="3"/>
  <c r="E555" i="3"/>
  <c r="E337" i="3"/>
  <c r="E270" i="3"/>
  <c r="AR6" i="3"/>
  <c r="E538" i="3"/>
  <c r="E380" i="3"/>
  <c r="E248" i="3"/>
  <c r="E246" i="3"/>
  <c r="E338" i="3"/>
  <c r="S6" i="3"/>
  <c r="E359" i="3"/>
  <c r="E17" i="3"/>
  <c r="E237" i="3"/>
  <c r="E141" i="3"/>
  <c r="E181" i="3"/>
  <c r="E263" i="3"/>
  <c r="E205" i="3"/>
  <c r="E366" i="3"/>
  <c r="E536" i="3"/>
  <c r="E277" i="3"/>
  <c r="E405" i="3"/>
  <c r="E408" i="3"/>
  <c r="J6" i="3"/>
  <c r="E452" i="3"/>
  <c r="E417" i="3"/>
  <c r="AQ6" i="3"/>
  <c r="E384" i="3"/>
  <c r="E373" i="3"/>
  <c r="E341" i="3"/>
  <c r="E584" i="3"/>
  <c r="E195" i="3"/>
  <c r="E540" i="3"/>
  <c r="E391" i="3"/>
  <c r="E520" i="3"/>
  <c r="X6" i="3"/>
  <c r="E149" i="3"/>
  <c r="E245" i="3"/>
  <c r="E175" i="3"/>
  <c r="E213" i="3"/>
  <c r="E423" i="3"/>
  <c r="E133" i="3"/>
  <c r="E394" i="3"/>
  <c r="E57" i="3"/>
  <c r="E331" i="3"/>
  <c r="E79" i="3"/>
  <c r="E306" i="3"/>
  <c r="E115" i="3"/>
  <c r="E440" i="3"/>
  <c r="E427" i="3"/>
  <c r="E177" i="3"/>
  <c r="E453" i="3"/>
  <c r="E125" i="3"/>
  <c r="E352" i="3"/>
  <c r="E382" i="3"/>
  <c r="E228" i="3"/>
  <c r="E199" i="3"/>
  <c r="R6" i="3"/>
  <c r="E361" i="3"/>
  <c r="E410" i="3"/>
  <c r="E533" i="3"/>
  <c r="E439" i="3"/>
  <c r="AL6" i="3"/>
  <c r="E506" i="3"/>
  <c r="O6" i="3"/>
  <c r="AD6" i="3"/>
  <c r="E191" i="3"/>
  <c r="E329" i="3"/>
  <c r="E185" i="3"/>
  <c r="E469" i="3"/>
  <c r="E139" i="3"/>
  <c r="E409" i="3"/>
  <c r="E88" i="3"/>
  <c r="E21" i="3"/>
  <c r="E87" i="3"/>
  <c r="E47" i="3"/>
  <c r="E225" i="3"/>
  <c r="E254" i="3"/>
  <c r="E548" i="3"/>
  <c r="E531" i="3"/>
  <c r="E28" i="3"/>
  <c r="E182" i="3"/>
  <c r="E295" i="3"/>
  <c r="E316" i="3"/>
  <c r="E334" i="3"/>
  <c r="E101" i="3"/>
  <c r="E218" i="3"/>
  <c r="E50" i="3"/>
  <c r="E147" i="3"/>
  <c r="E52" i="3"/>
  <c r="E339" i="3"/>
  <c r="E194" i="3"/>
  <c r="E38" i="3"/>
  <c r="E473" i="3"/>
  <c r="E93" i="3"/>
  <c r="E362" i="3"/>
  <c r="E214" i="3"/>
  <c r="E56" i="3"/>
  <c r="E400" i="3"/>
  <c r="E508" i="3"/>
  <c r="E189" i="3"/>
  <c r="E393" i="3"/>
  <c r="E466" i="3"/>
  <c r="E255" i="3"/>
  <c r="E498" i="3"/>
  <c r="E483" i="3"/>
  <c r="E463" i="3"/>
  <c r="E25" i="3"/>
  <c r="E178" i="3"/>
  <c r="E202" i="3"/>
  <c r="E497" i="3"/>
  <c r="E335" i="3"/>
  <c r="E387" i="3"/>
  <c r="AB6" i="3"/>
  <c r="M6" i="3"/>
  <c r="E570" i="3"/>
  <c r="E514" i="3"/>
  <c r="E311" i="3"/>
  <c r="E201" i="3"/>
  <c r="E247" i="3"/>
  <c r="E431" i="3"/>
  <c r="E579" i="3"/>
  <c r="E509" i="3"/>
  <c r="E535" i="3"/>
  <c r="E445" i="3"/>
  <c r="E172" i="3"/>
  <c r="E563" i="3"/>
  <c r="E278" i="3"/>
  <c r="E69" i="3"/>
  <c r="Z6" i="3"/>
  <c r="E576" i="3"/>
  <c r="E327" i="3"/>
  <c r="E164" i="3"/>
  <c r="E204" i="3"/>
  <c r="E252" i="3"/>
  <c r="E89" i="3"/>
  <c r="E269" i="3"/>
  <c r="E236" i="3"/>
  <c r="E136" i="3"/>
  <c r="E262" i="3"/>
  <c r="E303" i="3"/>
  <c r="E402" i="3"/>
  <c r="AN6" i="3"/>
  <c r="E353" i="3"/>
  <c r="E227" i="3"/>
  <c r="E567" i="3"/>
  <c r="AJ6" i="3"/>
  <c r="E268" i="3"/>
  <c r="E217" i="3"/>
  <c r="E153" i="3"/>
  <c r="AA6" i="3"/>
  <c r="E397" i="3"/>
  <c r="E549" i="3"/>
  <c r="E298" i="3"/>
  <c r="E61" i="3"/>
  <c r="E117" i="3"/>
  <c r="E224" i="3"/>
  <c r="E313" i="3"/>
  <c r="E532" i="3"/>
  <c r="E560" i="3"/>
  <c r="E437" i="3"/>
  <c r="E472" i="3"/>
  <c r="E481" i="3"/>
  <c r="E406" i="3"/>
  <c r="E424" i="3"/>
  <c r="E465" i="3"/>
  <c r="E344" i="3"/>
  <c r="E587" i="3"/>
  <c r="E198" i="3"/>
  <c r="E26" i="3"/>
  <c r="E494" i="3"/>
  <c r="E541" i="3"/>
  <c r="E91" i="3"/>
  <c r="E16" i="3"/>
  <c r="E95" i="3"/>
  <c r="E580" i="3"/>
  <c r="E15" i="3"/>
  <c r="E234" i="3"/>
  <c r="E36" i="3"/>
  <c r="E20" i="3"/>
  <c r="E317" i="3"/>
  <c r="E272" i="3"/>
  <c r="E404" i="3"/>
  <c r="E411" i="3"/>
  <c r="E558" i="3"/>
  <c r="E110" i="3"/>
  <c r="E386" i="3"/>
  <c r="E222" i="3"/>
  <c r="E173" i="3"/>
  <c r="E460" i="3"/>
  <c r="E155" i="3"/>
  <c r="E346" i="3"/>
  <c r="E30" i="3"/>
  <c r="E480" i="3"/>
  <c r="E467" i="3"/>
  <c r="E160" i="3"/>
  <c r="E249" i="3"/>
  <c r="E492" i="3"/>
  <c r="E33" i="3"/>
  <c r="E355" i="3"/>
  <c r="E81" i="3"/>
  <c r="E309" i="3"/>
  <c r="E448" i="3"/>
  <c r="E436" i="3"/>
  <c r="E242" i="3"/>
  <c r="E333" i="3"/>
  <c r="K104" i="43"/>
  <c r="N103" i="43"/>
  <c r="N102" i="43"/>
  <c r="E102" i="43"/>
  <c r="J105" i="43"/>
  <c r="AE6" i="3"/>
  <c r="E577" i="3"/>
  <c r="E171" i="3"/>
  <c r="E203" i="3"/>
  <c r="E146" i="3"/>
  <c r="E73" i="3"/>
  <c r="E106" i="3"/>
  <c r="E55" i="3"/>
  <c r="E454" i="3"/>
  <c r="E496" i="3"/>
  <c r="E468" i="3"/>
  <c r="E429" i="3"/>
  <c r="E582" i="3"/>
  <c r="E566" i="3"/>
  <c r="E459" i="3"/>
  <c r="E398" i="3"/>
  <c r="E464" i="3"/>
  <c r="E552" i="3"/>
  <c r="E105" i="3"/>
  <c r="E180" i="3"/>
  <c r="E215" i="3"/>
  <c r="E293" i="3"/>
  <c r="E343" i="3"/>
  <c r="E130" i="3"/>
  <c r="E485" i="3"/>
  <c r="E517" i="3"/>
  <c r="E479" i="3"/>
  <c r="E152" i="3"/>
  <c r="E279" i="3"/>
  <c r="E351" i="3"/>
  <c r="E318" i="3"/>
  <c r="L6" i="3"/>
  <c r="E60" i="3"/>
  <c r="E43" i="3"/>
  <c r="E428" i="3"/>
  <c r="E412" i="3"/>
  <c r="E96" i="3"/>
  <c r="E129" i="3"/>
  <c r="E174" i="3"/>
  <c r="E275" i="3"/>
  <c r="E324" i="3"/>
  <c r="E342" i="3"/>
  <c r="E35" i="3"/>
  <c r="E34" i="3"/>
  <c r="E206" i="3"/>
  <c r="E251" i="3"/>
  <c r="AF6" i="3"/>
  <c r="E80" i="3"/>
  <c r="E158" i="3"/>
  <c r="E308" i="3"/>
  <c r="E22" i="3"/>
  <c r="E504" i="3"/>
  <c r="E375" i="3"/>
  <c r="E378" i="3"/>
  <c r="E348" i="3"/>
  <c r="E259" i="3"/>
  <c r="E297" i="3"/>
  <c r="E240" i="3"/>
  <c r="E126" i="3"/>
  <c r="E92" i="3"/>
  <c r="E71" i="3"/>
  <c r="E546" i="3"/>
  <c r="E403" i="3"/>
  <c r="E505" i="3"/>
  <c r="E414" i="3"/>
  <c r="E515" i="3"/>
  <c r="E140" i="3"/>
  <c r="E314" i="3"/>
  <c r="E221" i="3"/>
  <c r="E413" i="3"/>
  <c r="E187" i="3"/>
  <c r="E332" i="3"/>
  <c r="E544" i="3"/>
  <c r="E59" i="3"/>
  <c r="E446" i="3"/>
  <c r="E138" i="3"/>
  <c r="E209" i="3"/>
  <c r="E354" i="3"/>
  <c r="E48" i="3"/>
  <c r="E284" i="3"/>
  <c r="E19" i="3"/>
  <c r="E323" i="3"/>
  <c r="E23" i="3"/>
  <c r="E513" i="3"/>
  <c r="E63" i="3"/>
  <c r="E233" i="3"/>
  <c r="E67" i="3"/>
  <c r="E300" i="3"/>
  <c r="E142" i="3"/>
  <c r="E64" i="3"/>
  <c r="E441" i="3"/>
  <c r="E44" i="3"/>
  <c r="E276" i="3"/>
  <c r="E581" i="3"/>
  <c r="E264" i="3"/>
  <c r="E184" i="3"/>
  <c r="E371" i="3"/>
  <c r="E46" i="3"/>
  <c r="E109" i="3"/>
  <c r="E226" i="3"/>
  <c r="E443" i="3"/>
  <c r="E250" i="3"/>
  <c r="E243" i="3"/>
  <c r="E547" i="3"/>
  <c r="E291" i="3"/>
  <c r="E289" i="3"/>
  <c r="E100" i="3"/>
  <c r="E274" i="3"/>
  <c r="E336" i="3"/>
  <c r="I3" i="6"/>
  <c r="E41" i="3"/>
  <c r="E562" i="3"/>
  <c r="E457" i="3"/>
  <c r="E527" i="3"/>
  <c r="E458" i="3"/>
  <c r="E573" i="3"/>
  <c r="E193" i="3"/>
  <c r="E290" i="3"/>
  <c r="E368" i="3"/>
  <c r="E280" i="3"/>
  <c r="E319" i="3"/>
  <c r="E322" i="3"/>
  <c r="E461" i="3"/>
  <c r="E495" i="3"/>
  <c r="E350" i="3"/>
  <c r="E196" i="3"/>
  <c r="E148" i="3"/>
  <c r="E207" i="3"/>
  <c r="E145" i="3"/>
  <c r="E379" i="3"/>
  <c r="U6" i="3"/>
  <c r="E415" i="3"/>
  <c r="E260" i="3"/>
  <c r="E239" i="3"/>
  <c r="E569" i="3"/>
  <c r="E229" i="3"/>
  <c r="E358" i="3"/>
  <c r="E551" i="3"/>
  <c r="E407" i="3"/>
  <c r="E294" i="3"/>
  <c r="E119" i="3"/>
  <c r="E40" i="3"/>
  <c r="E419" i="3"/>
  <c r="E430" i="3"/>
  <c r="E85" i="3"/>
  <c r="E223" i="3"/>
  <c r="E132" i="3"/>
  <c r="E31" i="3"/>
  <c r="E455" i="3"/>
  <c r="E219" i="3"/>
  <c r="E112" i="3"/>
  <c r="E62" i="3"/>
  <c r="E572" i="3"/>
  <c r="E273" i="3"/>
  <c r="E70" i="3"/>
  <c r="E367" i="3"/>
  <c r="AG6" i="3"/>
  <c r="E266" i="3"/>
  <c r="E116" i="3"/>
  <c r="K6" i="3"/>
  <c r="AI6" i="3"/>
  <c r="E565" i="3"/>
  <c r="E432" i="3"/>
  <c r="E561" i="3"/>
  <c r="E388" i="3"/>
  <c r="E575" i="3"/>
  <c r="E159" i="3"/>
  <c r="N6" i="3"/>
  <c r="E135" i="3"/>
  <c r="E507" i="3"/>
  <c r="E554" i="3"/>
  <c r="E123" i="3"/>
  <c r="E24" i="3"/>
  <c r="E501" i="3"/>
  <c r="E390" i="3"/>
  <c r="E302" i="3"/>
  <c r="E556" i="3"/>
  <c r="E58" i="40"/>
  <c r="E63" i="39"/>
  <c r="E210" i="3"/>
  <c r="E137" i="3"/>
  <c r="L104" i="43"/>
  <c r="E62" i="39"/>
  <c r="M106" i="43"/>
  <c r="M104" i="43"/>
  <c r="I105" i="43"/>
  <c r="E57" i="40"/>
  <c r="E62" i="84"/>
  <c r="C106" i="43"/>
  <c r="H105" i="43"/>
  <c r="K102" i="43"/>
  <c r="N106" i="43"/>
  <c r="N109" i="43"/>
  <c r="E104" i="43"/>
  <c r="J106" i="43"/>
  <c r="J109" i="43"/>
  <c r="F105" i="43"/>
  <c r="D103" i="43"/>
  <c r="F10" i="40"/>
  <c r="S10" i="40" s="1"/>
  <c r="M103" i="43"/>
  <c r="M102" i="43"/>
  <c r="M107" i="43"/>
  <c r="L107" i="43"/>
  <c r="L102" i="43"/>
  <c r="I106" i="43"/>
  <c r="H10" i="84"/>
  <c r="AB10" i="84" s="1"/>
  <c r="J10" i="90"/>
  <c r="AC10" i="90" s="1"/>
  <c r="C102" i="43"/>
  <c r="C23" i="43" s="1"/>
  <c r="C21" i="43" s="1"/>
  <c r="C29" i="43" s="1"/>
  <c r="C103" i="43"/>
  <c r="H104" i="43"/>
  <c r="H107" i="43"/>
  <c r="K109" i="43"/>
  <c r="E103" i="43"/>
  <c r="E105" i="43"/>
  <c r="G103" i="43"/>
  <c r="G104" i="43"/>
  <c r="J103" i="43"/>
  <c r="J104" i="43"/>
  <c r="F107" i="43"/>
  <c r="F104" i="43"/>
  <c r="D107" i="43"/>
  <c r="C109" i="43"/>
  <c r="C105" i="43"/>
  <c r="C104" i="43"/>
  <c r="H109" i="43"/>
  <c r="H102" i="43"/>
  <c r="K106" i="43"/>
  <c r="K107" i="43"/>
  <c r="K105" i="43"/>
  <c r="E106" i="43"/>
  <c r="E109" i="43"/>
  <c r="G109" i="43"/>
  <c r="G102" i="43"/>
  <c r="G106" i="43"/>
  <c r="F106" i="43"/>
  <c r="F109" i="43"/>
  <c r="D102" i="43"/>
  <c r="D105" i="43"/>
  <c r="D104" i="43"/>
  <c r="D22" i="43"/>
  <c r="H10" i="40"/>
  <c r="AB10" i="40" s="1"/>
  <c r="L103" i="43"/>
  <c r="L106" i="43"/>
  <c r="L105" i="43"/>
  <c r="I104" i="43"/>
  <c r="I109" i="43"/>
  <c r="F10" i="84"/>
  <c r="AA10" i="84" s="1"/>
  <c r="H10" i="90"/>
  <c r="AB10" i="90" s="1"/>
  <c r="H10" i="39"/>
  <c r="AB10" i="39" s="1"/>
  <c r="J10" i="39"/>
  <c r="W10" i="39" s="1"/>
  <c r="F10" i="39"/>
  <c r="S10" i="39" s="1"/>
  <c r="I107" i="43"/>
  <c r="I103" i="43"/>
  <c r="J10" i="84"/>
  <c r="W10" i="84" s="1"/>
  <c r="J10" i="40"/>
  <c r="E65" i="90"/>
  <c r="AY6" i="3"/>
  <c r="E3" i="6"/>
  <c r="L18" i="9" s="1"/>
  <c r="E64" i="84"/>
  <c r="E59" i="40"/>
  <c r="E64" i="90"/>
  <c r="E64" i="39"/>
  <c r="D19" i="12"/>
  <c r="C19" i="12" s="1"/>
  <c r="D9" i="11"/>
  <c r="C9" i="11" s="1"/>
  <c r="D9" i="68"/>
  <c r="C9" i="68" s="1"/>
  <c r="D9" i="69"/>
  <c r="C9" i="69" s="1"/>
  <c r="E16" i="6"/>
  <c r="E65" i="84"/>
  <c r="E60" i="40"/>
  <c r="E61" i="84"/>
  <c r="E61" i="90"/>
  <c r="E56" i="40"/>
  <c r="E61" i="39"/>
  <c r="Q52" i="78"/>
  <c r="K14" i="1"/>
  <c r="K25" i="6"/>
  <c r="M25" i="6" s="1"/>
  <c r="I25" i="6" s="1"/>
  <c r="S25" i="6" s="1"/>
  <c r="K19" i="6"/>
  <c r="F70" i="39"/>
  <c r="G68" i="39"/>
  <c r="AA10" i="90"/>
  <c r="S10" i="90"/>
  <c r="U10" i="90"/>
  <c r="B4" i="72"/>
  <c r="Q74" i="78"/>
  <c r="Q66" i="77"/>
  <c r="C32" i="77"/>
  <c r="C32" i="78"/>
  <c r="F1" i="77"/>
  <c r="J10" i="77"/>
  <c r="J5" i="77" s="1"/>
  <c r="J24" i="77" s="1"/>
  <c r="J10" i="78"/>
  <c r="J5" i="78" s="1"/>
  <c r="J24" i="78" s="1"/>
  <c r="Q74" i="77"/>
  <c r="Q66" i="78"/>
  <c r="Q73" i="78"/>
  <c r="Q73" i="77"/>
  <c r="C49" i="77"/>
  <c r="C49" i="78"/>
  <c r="C47" i="11"/>
  <c r="D45" i="11" s="1"/>
  <c r="C29" i="11"/>
  <c r="D27" i="11" s="1"/>
  <c r="C29" i="68"/>
  <c r="D27" i="68" s="1"/>
  <c r="C47" i="68"/>
  <c r="D45" i="68" s="1"/>
  <c r="C47" i="69"/>
  <c r="D45" i="69" s="1"/>
  <c r="C29" i="69"/>
  <c r="D27" i="69" s="1"/>
  <c r="F24" i="77"/>
  <c r="C24" i="77" s="1"/>
  <c r="F24" i="78"/>
  <c r="C24" i="78" s="1"/>
  <c r="G37" i="43"/>
  <c r="I37" i="43" s="1"/>
  <c r="C53" i="78"/>
  <c r="C10" i="78"/>
  <c r="C5" i="78" s="1"/>
  <c r="C53" i="77"/>
  <c r="C10" i="77"/>
  <c r="C5" i="77" s="1"/>
  <c r="E36" i="43"/>
  <c r="G36" i="43"/>
  <c r="I36" i="43" s="1"/>
  <c r="C115" i="43"/>
  <c r="D113" i="43" s="1"/>
  <c r="S2" i="43"/>
  <c r="T2" i="43" s="1"/>
  <c r="V2" i="43" s="1"/>
  <c r="S7" i="43"/>
  <c r="T7" i="43" s="1"/>
  <c r="V7" i="43" s="1"/>
  <c r="S5" i="43"/>
  <c r="T5" i="43" s="1"/>
  <c r="V5" i="43" s="1"/>
  <c r="S3" i="43"/>
  <c r="T3" i="43" s="1"/>
  <c r="V3" i="43" s="1"/>
  <c r="I53" i="34"/>
  <c r="J53" i="34" s="1"/>
  <c r="G46" i="37"/>
  <c r="H46" i="37" s="1"/>
  <c r="G40" i="36"/>
  <c r="H40" i="36" s="1"/>
  <c r="G53" i="34"/>
  <c r="H53" i="34" s="1"/>
  <c r="G54" i="34"/>
  <c r="H54" i="34" s="1"/>
  <c r="I52" i="33"/>
  <c r="J52" i="33" s="1"/>
  <c r="G52" i="33"/>
  <c r="H52" i="33" s="1"/>
  <c r="G53" i="33"/>
  <c r="H53" i="33" s="1"/>
  <c r="AA7" i="37"/>
  <c r="R42" i="37" s="1"/>
  <c r="S7" i="37"/>
  <c r="E36" i="36"/>
  <c r="R37" i="36"/>
  <c r="G42" i="35"/>
  <c r="H42" i="35" s="1"/>
  <c r="G43" i="35"/>
  <c r="H43" i="35" s="1"/>
  <c r="I42" i="35"/>
  <c r="J42" i="35" s="1"/>
  <c r="F63" i="40"/>
  <c r="E65" i="40"/>
  <c r="AC7" i="37"/>
  <c r="V42" i="37" s="1"/>
  <c r="I42" i="37" s="1"/>
  <c r="G47" i="37" s="1"/>
  <c r="H47" i="37" s="1"/>
  <c r="W7" i="37"/>
  <c r="AC7" i="36"/>
  <c r="V36" i="36" s="1"/>
  <c r="I36" i="36" s="1"/>
  <c r="G41" i="36" s="1"/>
  <c r="H41" i="36" s="1"/>
  <c r="W7" i="36"/>
  <c r="E49" i="34"/>
  <c r="I54" i="34" s="1"/>
  <c r="J54" i="34" s="1"/>
  <c r="R50" i="34"/>
  <c r="R39" i="35"/>
  <c r="E38" i="35"/>
  <c r="S7" i="33"/>
  <c r="AA7" i="33"/>
  <c r="R48" i="33" s="1"/>
  <c r="C19" i="67"/>
  <c r="C20" i="67" s="1"/>
  <c r="C26" i="67" s="1"/>
  <c r="C53" i="15"/>
  <c r="C48" i="15" s="1"/>
  <c r="C10" i="15"/>
  <c r="C5" i="15" s="1"/>
  <c r="J18" i="15"/>
  <c r="J10" i="15"/>
  <c r="J5" i="15" s="1"/>
  <c r="C53" i="67"/>
  <c r="C48" i="67" s="1"/>
  <c r="C10" i="67"/>
  <c r="C5" i="67" s="1"/>
  <c r="J24" i="67"/>
  <c r="J26" i="67"/>
  <c r="J29" i="67" s="1"/>
  <c r="F22" i="11"/>
  <c r="F22" i="68"/>
  <c r="F24" i="67"/>
  <c r="C24" i="67" s="1"/>
  <c r="F25" i="12"/>
  <c r="F24" i="15"/>
  <c r="C24" i="15" s="1"/>
  <c r="F22" i="69"/>
  <c r="F41" i="78"/>
  <c r="AE8" i="1"/>
  <c r="F41" i="15"/>
  <c r="F31" i="6" l="1"/>
  <c r="F36" i="6"/>
  <c r="K24" i="6"/>
  <c r="M24" i="6" s="1"/>
  <c r="I24" i="6" s="1"/>
  <c r="S24" i="6" s="1"/>
  <c r="E30" i="6"/>
  <c r="E31" i="6" s="1"/>
  <c r="H6" i="3"/>
  <c r="K22" i="6"/>
  <c r="M22" i="6" s="1"/>
  <c r="I22" i="6" s="1"/>
  <c r="K23" i="6"/>
  <c r="M23" i="6" s="1"/>
  <c r="I23" i="6" s="1"/>
  <c r="S23" i="6" s="1"/>
  <c r="K26" i="6"/>
  <c r="M26" i="6" s="1"/>
  <c r="I26" i="6" s="1"/>
  <c r="S26" i="6" s="1"/>
  <c r="K21" i="6"/>
  <c r="S8" i="1" s="1"/>
  <c r="AC6" i="3"/>
  <c r="S10" i="84"/>
  <c r="E66" i="90"/>
  <c r="S4" i="43"/>
  <c r="T4" i="43" s="1"/>
  <c r="V4" i="43" s="1"/>
  <c r="S6" i="43"/>
  <c r="T6" i="43" s="1"/>
  <c r="V6" i="43" s="1"/>
  <c r="U10" i="84"/>
  <c r="AA10" i="39"/>
  <c r="AA10" i="40"/>
  <c r="W10" i="90"/>
  <c r="AC10" i="84"/>
  <c r="E66" i="84"/>
  <c r="E66" i="39"/>
  <c r="U10" i="40"/>
  <c r="U10" i="39"/>
  <c r="E6" i="6"/>
  <c r="D10" i="69" s="1"/>
  <c r="C10" i="69" s="1"/>
  <c r="C8" i="69" s="1"/>
  <c r="C5" i="69" s="1"/>
  <c r="C23" i="69" s="1"/>
  <c r="AC10" i="39"/>
  <c r="AC10" i="40"/>
  <c r="W10" i="40"/>
  <c r="D10" i="11"/>
  <c r="C10" i="11" s="1"/>
  <c r="D3" i="37"/>
  <c r="D10" i="68"/>
  <c r="C10" i="68" s="1"/>
  <c r="D14" i="12"/>
  <c r="D17" i="12" s="1"/>
  <c r="C17" i="12" s="1"/>
  <c r="AY83" i="3"/>
  <c r="AY66" i="3"/>
  <c r="AY23" i="3"/>
  <c r="AY176" i="3"/>
  <c r="AY155" i="3"/>
  <c r="AY115" i="3"/>
  <c r="AY59" i="3"/>
  <c r="AY188" i="3"/>
  <c r="AY131" i="3"/>
  <c r="AY276" i="3"/>
  <c r="AY58" i="3"/>
  <c r="AY297" i="3"/>
  <c r="AY268" i="3"/>
  <c r="AY225" i="3"/>
  <c r="AY371" i="3"/>
  <c r="AY335" i="3"/>
  <c r="AY318" i="3"/>
  <c r="AY470" i="3"/>
  <c r="AY428" i="3"/>
  <c r="AY82" i="3"/>
  <c r="AY191" i="3"/>
  <c r="AY132" i="3"/>
  <c r="AY31" i="3"/>
  <c r="AY292" i="3"/>
  <c r="AY147" i="3"/>
  <c r="AY220" i="3"/>
  <c r="AY350" i="3"/>
  <c r="AY486"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103" i="3"/>
  <c r="AY50" i="3"/>
  <c r="AY160" i="3"/>
  <c r="AY289" i="3"/>
  <c r="AY183" i="3"/>
  <c r="AY261" i="3"/>
  <c r="AY284" i="3"/>
  <c r="AY209" i="3"/>
  <c r="AY319" i="3"/>
  <c r="AY455"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283" i="3"/>
  <c r="AY247" i="3"/>
  <c r="AY230" i="3"/>
  <c r="AY397" i="3"/>
  <c r="AY360" i="3"/>
  <c r="AY109" i="3"/>
  <c r="AY56" i="3"/>
  <c r="AY166"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1" i="3"/>
  <c r="AY207" i="3"/>
  <c r="AY124" i="3"/>
  <c r="AY42" i="3"/>
  <c r="AY281" i="3"/>
  <c r="AY168" i="3"/>
  <c r="AY236" i="3"/>
  <c r="AY366" i="3"/>
  <c r="AY473" i="3"/>
  <c r="AY98" i="3"/>
  <c r="AY171" i="3"/>
  <c r="AY163" i="3"/>
  <c r="AY237" i="3"/>
  <c r="AY334" i="3"/>
  <c r="AY409" i="3"/>
  <c r="AY180" i="3"/>
  <c r="AY228" i="3"/>
  <c r="AY358" i="3"/>
  <c r="AY465" i="3"/>
  <c r="AY433" i="3"/>
  <c r="BK6" i="3"/>
  <c r="AY541" i="3"/>
  <c r="AY108" i="3"/>
  <c r="AY45" i="3"/>
  <c r="AY28" i="3"/>
  <c r="AY201" i="3"/>
  <c r="AY138" i="3"/>
  <c r="AY118" i="3"/>
  <c r="AY67" i="3"/>
  <c r="AY139" i="3"/>
  <c r="AY123" i="3"/>
  <c r="AY252" i="3"/>
  <c r="AY489" i="3"/>
  <c r="AY497" i="3"/>
  <c r="AY116" i="3"/>
  <c r="AY212" i="3"/>
  <c r="AY343" i="3"/>
  <c r="AY478" i="3"/>
  <c r="AY417" i="3"/>
  <c r="AY573" i="3"/>
  <c r="AY539" i="3"/>
  <c r="AY100" i="3"/>
  <c r="AY84" i="3"/>
  <c r="AY20" i="3"/>
  <c r="AY193" i="3"/>
  <c r="AY173" i="3"/>
  <c r="AY134" i="3"/>
  <c r="AY286" i="3"/>
  <c r="AY270" i="3"/>
  <c r="AY227" i="3"/>
  <c r="AY373" i="3"/>
  <c r="AY507" i="3"/>
  <c r="AY88" i="3"/>
  <c r="AY29" i="3"/>
  <c r="AY161" i="3"/>
  <c r="AY262" i="3"/>
  <c r="AY374" i="3"/>
  <c r="AY73"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63" i="3"/>
  <c r="AY392" i="3"/>
  <c r="BJ6" i="3"/>
  <c r="AY197"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75" i="3"/>
  <c r="AY339" i="3"/>
  <c r="AY322" i="3"/>
  <c r="AY474" i="3"/>
  <c r="AY432" i="3"/>
  <c r="AY413" i="3"/>
  <c r="AY15" i="3"/>
  <c r="AY583" i="3"/>
  <c r="AY567" i="3"/>
  <c r="AY231" i="3"/>
  <c r="AY381" i="3"/>
  <c r="AY104" i="3"/>
  <c r="AY177"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213" i="3"/>
  <c r="AY367" i="3"/>
  <c r="AY323" i="3"/>
  <c r="AY306" i="3"/>
  <c r="AY459" i="3"/>
  <c r="AY416" i="3"/>
  <c r="AY550" i="3"/>
  <c r="BC6" i="3"/>
  <c r="AY504" i="3"/>
  <c r="AY498" i="3"/>
  <c r="AY87" i="3"/>
  <c r="AY34" i="3"/>
  <c r="AY144" i="3"/>
  <c r="AY95" i="3"/>
  <c r="AY152" i="3"/>
  <c r="AY111" i="3"/>
  <c r="AY253" i="3"/>
  <c r="AY382" i="3"/>
  <c r="AY303" i="3"/>
  <c r="AY460" i="3"/>
  <c r="AY18" i="3"/>
  <c r="AY90" i="3"/>
  <c r="AY75" i="3"/>
  <c r="AY387" i="3"/>
  <c r="AY444" i="3"/>
  <c r="AY106" i="3"/>
  <c r="AY245" i="3"/>
  <c r="AY395" i="3"/>
  <c r="AY342" i="3"/>
  <c r="AY452" i="3"/>
  <c r="AY513" i="3"/>
  <c r="AY569" i="3"/>
  <c r="AY553" i="3"/>
  <c r="AY77" i="3"/>
  <c r="AY60" i="3"/>
  <c r="AY206" i="3"/>
  <c r="AY170" i="3"/>
  <c r="AY149" i="3"/>
  <c r="AY299" i="3"/>
  <c r="AY196" i="3"/>
  <c r="AY74" i="3"/>
  <c r="AY204" i="3"/>
  <c r="AY363" i="3"/>
  <c r="AY412" i="3"/>
  <c r="AY43" i="3"/>
  <c r="AY229" i="3"/>
  <c r="AY379" i="3"/>
  <c r="AY326" i="3"/>
  <c r="AY436" i="3"/>
  <c r="AY557" i="3"/>
  <c r="AY540" i="3"/>
  <c r="AY105" i="3"/>
  <c r="AY69" i="3"/>
  <c r="AY52" i="3"/>
  <c r="AY198" i="3"/>
  <c r="AY162" i="3"/>
  <c r="AY141" i="3"/>
  <c r="AY291" i="3"/>
  <c r="AY255" i="3"/>
  <c r="AY238" i="3"/>
  <c r="AY384" i="3"/>
  <c r="AY368" i="3"/>
  <c r="BB6" i="3"/>
  <c r="AY72" i="3"/>
  <c r="AY181" i="3"/>
  <c r="AY278" i="3"/>
  <c r="AY219" i="3"/>
  <c r="BH6" i="3"/>
  <c r="AY202"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246" i="3"/>
  <c r="AY357" i="3"/>
  <c r="AY41" i="3"/>
  <c r="AY130" i="3"/>
  <c r="AY243" i="3"/>
  <c r="AY393" i="3"/>
  <c r="AY325" i="3"/>
  <c r="AY308" i="3"/>
  <c r="AY464" i="3"/>
  <c r="AY422" i="3"/>
  <c r="AY403" i="3"/>
  <c r="AY516" i="3"/>
  <c r="AY559" i="3"/>
  <c r="AY112" i="3"/>
  <c r="AY142" i="3"/>
  <c r="AY218" i="3"/>
  <c r="AY336" i="3"/>
  <c r="AY450" i="3"/>
  <c r="AY17" i="3"/>
  <c r="AY530" i="3"/>
  <c r="AY47" i="3"/>
  <c r="AY120" i="3"/>
  <c r="AY383" i="3"/>
  <c r="AY440" i="3"/>
  <c r="AY576" i="3"/>
  <c r="AY195" i="3"/>
  <c r="AY272" i="3"/>
  <c r="AY351" i="3"/>
  <c r="AY477" i="3"/>
  <c r="AY400" i="3"/>
  <c r="AY566" i="3"/>
  <c r="AY294" i="3"/>
  <c r="AY554" i="3"/>
  <c r="AY121" i="3"/>
  <c r="AY370" i="3"/>
  <c r="AY483" i="3"/>
  <c r="AY406" i="3"/>
  <c r="AY572" i="3"/>
  <c r="AY543" i="3"/>
  <c r="AY81" i="3"/>
  <c r="AY153" i="3"/>
  <c r="AY396" i="3"/>
  <c r="AY320" i="3"/>
  <c r="AY434" i="3"/>
  <c r="AY538" i="3"/>
  <c r="AY545" i="3"/>
  <c r="AY62" i="3"/>
  <c r="AY301" i="3"/>
  <c r="AY359" i="3"/>
  <c r="AY408" i="3"/>
  <c r="AY107" i="3"/>
  <c r="AY164" i="3"/>
  <c r="AY240" i="3"/>
  <c r="AY354" i="3"/>
  <c r="AY490" i="3"/>
  <c r="AY429" i="3"/>
  <c r="AY511" i="3"/>
  <c r="AY527" i="3"/>
  <c r="AY556" i="3"/>
  <c r="AY32" i="3"/>
  <c r="AY298" i="3"/>
  <c r="AY352" i="3"/>
  <c r="AY492" i="3"/>
  <c r="AY431" i="3"/>
  <c r="AY575" i="3"/>
  <c r="AY563" i="3"/>
  <c r="AY203" i="3"/>
  <c r="AY233" i="3"/>
  <c r="AY330" i="3"/>
  <c r="AY13" i="3"/>
  <c r="AY39" i="3"/>
  <c r="AY136" i="3"/>
  <c r="AY386" i="3"/>
  <c r="AY307" i="3"/>
  <c r="AY443" i="3"/>
  <c r="AY521" i="3"/>
  <c r="BT6" i="3"/>
  <c r="AY214" i="3"/>
  <c r="AY24" i="3"/>
  <c r="AY258" i="3"/>
  <c r="AY309" i="3"/>
  <c r="AY449" i="3"/>
  <c r="AY503" i="3"/>
  <c r="AY520" i="3"/>
  <c r="AY496" i="3"/>
  <c r="AY21" i="3"/>
  <c r="AY267" i="3"/>
  <c r="AY337" i="3"/>
  <c r="AY476" i="3"/>
  <c r="AY415" i="3"/>
  <c r="AY515" i="3"/>
  <c r="AY493" i="3"/>
  <c r="AY172" i="3"/>
  <c r="AY248" i="3"/>
  <c r="AY485" i="3"/>
  <c r="AY547" i="3"/>
  <c r="AY54" i="3"/>
  <c r="AY293" i="3"/>
  <c r="AY391" i="3"/>
  <c r="AY338" i="3"/>
  <c r="AY448" i="3"/>
  <c r="BD6" i="3"/>
  <c r="AY586" i="3"/>
  <c r="D20" i="12"/>
  <c r="C20" i="12" s="1"/>
  <c r="C18" i="12" s="1"/>
  <c r="D3" i="34"/>
  <c r="D37" i="11"/>
  <c r="C17" i="4"/>
  <c r="B4" i="52" s="1"/>
  <c r="B43" i="72" s="1"/>
  <c r="M18" i="9"/>
  <c r="B118" i="9" s="1"/>
  <c r="B14" i="74" s="1"/>
  <c r="B1" i="74" s="1"/>
  <c r="D19" i="11"/>
  <c r="C19" i="11" s="1"/>
  <c r="C20" i="11" s="1"/>
  <c r="C28" i="11" s="1"/>
  <c r="C27" i="11" s="1"/>
  <c r="S7" i="1"/>
  <c r="M20" i="6"/>
  <c r="I20" i="6" s="1"/>
  <c r="M19" i="6"/>
  <c r="S6" i="1"/>
  <c r="M14" i="1"/>
  <c r="K22" i="1"/>
  <c r="C34" i="69"/>
  <c r="K16" i="1"/>
  <c r="G70" i="39"/>
  <c r="H68" i="39"/>
  <c r="F69" i="78"/>
  <c r="F69" i="15"/>
  <c r="J26" i="77"/>
  <c r="J26" i="78"/>
  <c r="J29" i="78" s="1"/>
  <c r="C48" i="77"/>
  <c r="C66" i="77" s="1"/>
  <c r="C48" i="78"/>
  <c r="C60" i="78" s="1"/>
  <c r="C38" i="78"/>
  <c r="C38" i="77"/>
  <c r="C30" i="43"/>
  <c r="E30" i="43" s="1"/>
  <c r="C27" i="43" s="1"/>
  <c r="E29" i="43"/>
  <c r="C26" i="43" s="1"/>
  <c r="E48" i="33"/>
  <c r="R49" i="33"/>
  <c r="E43" i="35"/>
  <c r="F43" i="35" s="1"/>
  <c r="E42" i="35"/>
  <c r="F42" i="35" s="1"/>
  <c r="C49" i="34"/>
  <c r="C50" i="34"/>
  <c r="I43" i="35"/>
  <c r="J43" i="35" s="1"/>
  <c r="C36" i="36"/>
  <c r="C37" i="36"/>
  <c r="B2" i="36" s="1"/>
  <c r="B3" i="36" s="1"/>
  <c r="C39" i="35"/>
  <c r="B2" i="35" s="1"/>
  <c r="B3" i="35" s="1"/>
  <c r="C38" i="35"/>
  <c r="E54" i="34"/>
  <c r="F54" i="34" s="1"/>
  <c r="E53" i="34"/>
  <c r="F53" i="34" s="1"/>
  <c r="I40" i="36"/>
  <c r="J40" i="36" s="1"/>
  <c r="I41" i="36"/>
  <c r="J41" i="36" s="1"/>
  <c r="I46" i="37"/>
  <c r="J46" i="37" s="1"/>
  <c r="F65" i="40"/>
  <c r="G63" i="40"/>
  <c r="E40" i="36"/>
  <c r="F40" i="36" s="1"/>
  <c r="E41" i="36"/>
  <c r="F41" i="36" s="1"/>
  <c r="E42" i="37"/>
  <c r="R43" i="37"/>
  <c r="J24" i="15"/>
  <c r="J26" i="15"/>
  <c r="J29" i="15" s="1"/>
  <c r="C60" i="67"/>
  <c r="C66" i="67"/>
  <c r="C44" i="11"/>
  <c r="D41" i="11" s="1"/>
  <c r="C26" i="11"/>
  <c r="D22" i="11" s="1"/>
  <c r="C23" i="11"/>
  <c r="C38" i="15"/>
  <c r="C23" i="67"/>
  <c r="C29" i="67" s="1"/>
  <c r="C44" i="69"/>
  <c r="D41" i="69" s="1"/>
  <c r="C26" i="69"/>
  <c r="D22" i="69" s="1"/>
  <c r="C26" i="12"/>
  <c r="D25" i="12" s="1"/>
  <c r="C26" i="68"/>
  <c r="D22" i="68" s="1"/>
  <c r="C44" i="68"/>
  <c r="D41" i="68" s="1"/>
  <c r="C38" i="67"/>
  <c r="C66" i="15"/>
  <c r="C60" i="15"/>
  <c r="F41" i="77"/>
  <c r="E6" i="76"/>
  <c r="C17" i="77"/>
  <c r="C17" i="15"/>
  <c r="M21" i="6" l="1"/>
  <c r="I21" i="6" s="1"/>
  <c r="S21" i="6" s="1"/>
  <c r="E6" i="3"/>
  <c r="K27" i="6"/>
  <c r="S9" i="1"/>
  <c r="AQ9" i="1" s="1"/>
  <c r="C24" i="11"/>
  <c r="D19" i="69"/>
  <c r="D37" i="69" s="1"/>
  <c r="C37" i="69" s="1"/>
  <c r="C25" i="11"/>
  <c r="C22" i="11" s="1"/>
  <c r="C31" i="11" s="1"/>
  <c r="B2" i="34"/>
  <c r="B3" i="34" s="1"/>
  <c r="D19" i="68"/>
  <c r="D37" i="68" s="1"/>
  <c r="C7" i="74"/>
  <c r="C8" i="74"/>
  <c r="C38" i="90"/>
  <c r="M19" i="9"/>
  <c r="C118" i="9" s="1"/>
  <c r="C14" i="74" s="1"/>
  <c r="B2" i="74" s="1"/>
  <c r="D15" i="6"/>
  <c r="D21" i="6"/>
  <c r="D20" i="6"/>
  <c r="D12" i="6"/>
  <c r="D13" i="6"/>
  <c r="E61" i="40"/>
  <c r="D19" i="6"/>
  <c r="C18" i="4"/>
  <c r="D23" i="6"/>
  <c r="D6" i="6"/>
  <c r="D10" i="6"/>
  <c r="D29" i="6"/>
  <c r="H23" i="6"/>
  <c r="C38" i="39"/>
  <c r="D25" i="6"/>
  <c r="D22" i="6"/>
  <c r="D24" i="6"/>
  <c r="D5" i="6"/>
  <c r="D11" i="6"/>
  <c r="D28" i="6"/>
  <c r="H24" i="6"/>
  <c r="D26" i="6"/>
  <c r="D8" i="6"/>
  <c r="D14" i="6"/>
  <c r="D9" i="6"/>
  <c r="L19" i="9"/>
  <c r="H25" i="6"/>
  <c r="H26" i="6"/>
  <c r="R26" i="6" s="1"/>
  <c r="K24" i="1"/>
  <c r="M22" i="1"/>
  <c r="M24" i="1" s="1"/>
  <c r="AQ6" i="1"/>
  <c r="AR6" i="1"/>
  <c r="T6" i="1"/>
  <c r="I19" i="6"/>
  <c r="S20" i="6"/>
  <c r="H20" i="6"/>
  <c r="E8" i="70"/>
  <c r="AQ8" i="1"/>
  <c r="T8" i="1"/>
  <c r="AR8" i="1"/>
  <c r="C38" i="69"/>
  <c r="C35" i="69"/>
  <c r="O14" i="1"/>
  <c r="M16" i="1"/>
  <c r="AR7" i="1"/>
  <c r="AQ7" i="1"/>
  <c r="T7" i="1"/>
  <c r="H21" i="6"/>
  <c r="R21" i="6" s="1"/>
  <c r="R8" i="1" s="1"/>
  <c r="S22" i="6"/>
  <c r="H22" i="6"/>
  <c r="H70" i="39"/>
  <c r="I68" i="39"/>
  <c r="F69" i="77"/>
  <c r="J29" i="77"/>
  <c r="C66" i="78"/>
  <c r="C60" i="77"/>
  <c r="C19" i="68"/>
  <c r="E2" i="76"/>
  <c r="B2" i="43"/>
  <c r="E47" i="37"/>
  <c r="F47" i="37" s="1"/>
  <c r="E46" i="37"/>
  <c r="F46" i="37" s="1"/>
  <c r="I47" i="37"/>
  <c r="J47" i="37" s="1"/>
  <c r="E53" i="33"/>
  <c r="F53" i="33" s="1"/>
  <c r="E52" i="33"/>
  <c r="F52" i="33" s="1"/>
  <c r="I53" i="33"/>
  <c r="J53" i="33" s="1"/>
  <c r="C42" i="37"/>
  <c r="C43" i="37"/>
  <c r="B2" i="37" s="1"/>
  <c r="B3" i="37" s="1"/>
  <c r="H63" i="40"/>
  <c r="G65" i="40"/>
  <c r="C48" i="33"/>
  <c r="C49" i="33"/>
  <c r="B2" i="33" s="1"/>
  <c r="J19" i="67"/>
  <c r="J17" i="67" s="1"/>
  <c r="C33" i="67"/>
  <c r="C31" i="67" s="1"/>
  <c r="C13" i="67"/>
  <c r="C57" i="67"/>
  <c r="C36" i="67"/>
  <c r="J14" i="67"/>
  <c r="Q49" i="67"/>
  <c r="J59" i="67"/>
  <c r="J60" i="67" s="1"/>
  <c r="C33" i="15"/>
  <c r="J59" i="15"/>
  <c r="J60" i="15" s="1"/>
  <c r="M21" i="77"/>
  <c r="C17" i="78"/>
  <c r="F35" i="77"/>
  <c r="C14" i="77"/>
  <c r="B6" i="76"/>
  <c r="C14" i="15"/>
  <c r="AR9" i="1" l="1"/>
  <c r="S16" i="1"/>
  <c r="C19" i="69"/>
  <c r="C24" i="69" s="1"/>
  <c r="R20" i="6"/>
  <c r="R7" i="1" s="1"/>
  <c r="M27" i="6"/>
  <c r="T9" i="1"/>
  <c r="E9" i="70"/>
  <c r="E2" i="70" s="1"/>
  <c r="D30" i="6"/>
  <c r="D27" i="6"/>
  <c r="C33" i="69"/>
  <c r="C42" i="69" s="1"/>
  <c r="D16" i="6"/>
  <c r="C11" i="21"/>
  <c r="C11" i="88"/>
  <c r="C11" i="84"/>
  <c r="R23" i="6"/>
  <c r="F38" i="90"/>
  <c r="J38" i="90"/>
  <c r="H38" i="90"/>
  <c r="R22" i="6"/>
  <c r="R9" i="1" s="1"/>
  <c r="R24" i="6"/>
  <c r="R25" i="6"/>
  <c r="F38" i="39"/>
  <c r="J38" i="39"/>
  <c r="H38" i="39"/>
  <c r="C4" i="52"/>
  <c r="B45" i="72" s="1"/>
  <c r="A7" i="51"/>
  <c r="B7" i="72" s="1"/>
  <c r="A10" i="51"/>
  <c r="B9" i="72" s="1"/>
  <c r="D7" i="74"/>
  <c r="D8" i="74"/>
  <c r="T16" i="1"/>
  <c r="L24" i="1"/>
  <c r="F63" i="77"/>
  <c r="C62" i="77" s="1"/>
  <c r="C34" i="77"/>
  <c r="C31" i="77" s="1"/>
  <c r="J20" i="77"/>
  <c r="C15" i="15"/>
  <c r="C18" i="15"/>
  <c r="C15" i="77"/>
  <c r="C18" i="77"/>
  <c r="D33" i="1"/>
  <c r="L16" i="1"/>
  <c r="N16" i="1"/>
  <c r="P14" i="1"/>
  <c r="P16" i="1" s="1"/>
  <c r="C11" i="12" s="1"/>
  <c r="O16" i="1"/>
  <c r="S19" i="6"/>
  <c r="S27" i="6" s="1"/>
  <c r="I27" i="6"/>
  <c r="H19" i="6"/>
  <c r="J68" i="39"/>
  <c r="I70" i="39"/>
  <c r="B3" i="33"/>
  <c r="D6" i="12" s="1"/>
  <c r="D8" i="12" s="1"/>
  <c r="J59" i="77"/>
  <c r="J60" i="77" s="1"/>
  <c r="L46" i="77" s="1"/>
  <c r="C24" i="68"/>
  <c r="B2" i="76"/>
  <c r="B3" i="76" s="1"/>
  <c r="B3" i="43"/>
  <c r="I63" i="40"/>
  <c r="H65" i="40"/>
  <c r="Q48" i="67"/>
  <c r="L46" i="67"/>
  <c r="J13" i="67"/>
  <c r="J23" i="67" s="1"/>
  <c r="J22" i="67"/>
  <c r="C61" i="67"/>
  <c r="C59" i="67" s="1"/>
  <c r="C64" i="67"/>
  <c r="Q48" i="15"/>
  <c r="L46" i="15"/>
  <c r="Q70" i="67"/>
  <c r="C56" i="67"/>
  <c r="C65" i="67" s="1"/>
  <c r="C37" i="67"/>
  <c r="C30" i="67" s="1"/>
  <c r="C39" i="67" s="1"/>
  <c r="C75" i="67"/>
  <c r="M21" i="15"/>
  <c r="M21" i="78"/>
  <c r="F35" i="78"/>
  <c r="C14" i="78"/>
  <c r="F35" i="15"/>
  <c r="C20" i="69" l="1"/>
  <c r="C28" i="69" s="1"/>
  <c r="C27" i="69" s="1"/>
  <c r="F63" i="15"/>
  <c r="C62" i="15" s="1"/>
  <c r="C34" i="15"/>
  <c r="C31" i="15" s="1"/>
  <c r="J20" i="15"/>
  <c r="C18" i="78"/>
  <c r="C15" i="78"/>
  <c r="C39" i="69"/>
  <c r="C46" i="69" s="1"/>
  <c r="C45" i="69" s="1"/>
  <c r="C19" i="77"/>
  <c r="C20" i="77" s="1"/>
  <c r="C26" i="77" s="1"/>
  <c r="C19" i="15"/>
  <c r="C20" i="15" s="1"/>
  <c r="C26" i="15" s="1"/>
  <c r="D31" i="6"/>
  <c r="J20" i="78"/>
  <c r="C34" i="78"/>
  <c r="C31" i="78" s="1"/>
  <c r="F63" i="78"/>
  <c r="C62" i="78" s="1"/>
  <c r="W38" i="39"/>
  <c r="AC38" i="39"/>
  <c r="AC38" i="90"/>
  <c r="W38" i="90"/>
  <c r="J11" i="88"/>
  <c r="H11" i="88"/>
  <c r="F11" i="88"/>
  <c r="J11" i="21"/>
  <c r="H11" i="21"/>
  <c r="F11" i="21"/>
  <c r="AB38" i="39"/>
  <c r="U38" i="39"/>
  <c r="S38" i="39"/>
  <c r="AA38" i="39"/>
  <c r="AB38" i="90"/>
  <c r="U38" i="90"/>
  <c r="AA38" i="90"/>
  <c r="S38" i="90"/>
  <c r="J11" i="84"/>
  <c r="H11" i="84"/>
  <c r="F11" i="84"/>
  <c r="F34" i="11"/>
  <c r="F34" i="68"/>
  <c r="F11" i="12"/>
  <c r="C14" i="12" s="1"/>
  <c r="H27" i="6"/>
  <c r="R19" i="6"/>
  <c r="C12" i="12"/>
  <c r="C15" i="12"/>
  <c r="K68" i="39"/>
  <c r="J70" i="39"/>
  <c r="Q48" i="77"/>
  <c r="J59" i="78"/>
  <c r="J60" i="78" s="1"/>
  <c r="J16" i="67"/>
  <c r="J25" i="67" s="1"/>
  <c r="I65" i="40"/>
  <c r="J63" i="40"/>
  <c r="C80" i="67"/>
  <c r="C79" i="67" s="1"/>
  <c r="C40" i="67"/>
  <c r="Q69" i="67"/>
  <c r="Q68" i="67" s="1"/>
  <c r="C58" i="67"/>
  <c r="C67" i="67" s="1"/>
  <c r="C68" i="67" s="1"/>
  <c r="L51" i="67"/>
  <c r="C25" i="69" l="1"/>
  <c r="C22" i="69" s="1"/>
  <c r="C31" i="69" s="1"/>
  <c r="C19" i="78"/>
  <c r="C20" i="78" s="1"/>
  <c r="C43" i="69"/>
  <c r="C41" i="69" s="1"/>
  <c r="C49" i="69" s="1"/>
  <c r="C51" i="69" s="1"/>
  <c r="C52" i="69" s="1"/>
  <c r="B2" i="69" s="1"/>
  <c r="B3" i="69" s="1"/>
  <c r="I6" i="6"/>
  <c r="C11" i="39" s="1"/>
  <c r="I5" i="6"/>
  <c r="S11" i="84"/>
  <c r="AA11" i="84"/>
  <c r="R47" i="84" s="1"/>
  <c r="AC11" i="84"/>
  <c r="V47" i="84" s="1"/>
  <c r="I47" i="84" s="1"/>
  <c r="I51" i="84" s="1"/>
  <c r="J51" i="84" s="1"/>
  <c r="W11" i="84"/>
  <c r="AB11" i="21"/>
  <c r="T48" i="21" s="1"/>
  <c r="G48" i="21" s="1"/>
  <c r="U11" i="21"/>
  <c r="AA11" i="88"/>
  <c r="R48" i="88" s="1"/>
  <c r="S11" i="88"/>
  <c r="W11" i="88"/>
  <c r="AC11" i="88"/>
  <c r="V48" i="88" s="1"/>
  <c r="I48" i="88" s="1"/>
  <c r="AB11" i="84"/>
  <c r="T47" i="84" s="1"/>
  <c r="G47" i="84" s="1"/>
  <c r="U11" i="84"/>
  <c r="AA11" i="21"/>
  <c r="R48" i="21" s="1"/>
  <c r="S11" i="21"/>
  <c r="AC11" i="21"/>
  <c r="V48" i="21" s="1"/>
  <c r="I48" i="21" s="1"/>
  <c r="I52" i="21" s="1"/>
  <c r="J52" i="21" s="1"/>
  <c r="W11" i="21"/>
  <c r="U11" i="88"/>
  <c r="AB11" i="88"/>
  <c r="T48" i="88" s="1"/>
  <c r="G48" i="88" s="1"/>
  <c r="C26" i="78"/>
  <c r="C34" i="68"/>
  <c r="C36" i="68"/>
  <c r="C37" i="68"/>
  <c r="R27" i="6"/>
  <c r="R6" i="1"/>
  <c r="R16" i="1" s="1"/>
  <c r="C23" i="15"/>
  <c r="C29" i="15" s="1"/>
  <c r="C23" i="77"/>
  <c r="C29" i="77" s="1"/>
  <c r="C16" i="12"/>
  <c r="C21" i="12" s="1"/>
  <c r="C22" i="12" s="1"/>
  <c r="C34" i="11"/>
  <c r="C36" i="11"/>
  <c r="C37" i="11"/>
  <c r="L68" i="39"/>
  <c r="K70" i="39"/>
  <c r="Q48" i="78"/>
  <c r="L46" i="78"/>
  <c r="J65" i="40"/>
  <c r="K63" i="40"/>
  <c r="Q67" i="67"/>
  <c r="L57" i="67"/>
  <c r="L60" i="67" s="1"/>
  <c r="L57" i="15"/>
  <c r="L60" i="15" s="1"/>
  <c r="Q47" i="67"/>
  <c r="Q53" i="67" s="1"/>
  <c r="Q65" i="67"/>
  <c r="D2" i="67"/>
  <c r="Q56" i="67"/>
  <c r="C43" i="67"/>
  <c r="C83" i="67"/>
  <c r="C82" i="67" s="1"/>
  <c r="C71" i="67"/>
  <c r="C45" i="67"/>
  <c r="C46" i="67" s="1"/>
  <c r="C11" i="90" l="1"/>
  <c r="J11" i="39"/>
  <c r="F11" i="39"/>
  <c r="H11" i="39"/>
  <c r="C23" i="78"/>
  <c r="G53" i="88"/>
  <c r="H53" i="88" s="1"/>
  <c r="G52" i="88"/>
  <c r="H52" i="88" s="1"/>
  <c r="I52" i="88"/>
  <c r="J52" i="88" s="1"/>
  <c r="E47" i="84"/>
  <c r="R48" i="84"/>
  <c r="R49" i="21"/>
  <c r="E48" i="21"/>
  <c r="G51" i="84"/>
  <c r="H51" i="84" s="1"/>
  <c r="G52" i="84"/>
  <c r="H52" i="84" s="1"/>
  <c r="E48" i="88"/>
  <c r="I53" i="88" s="1"/>
  <c r="J53" i="88" s="1"/>
  <c r="R49" i="88"/>
  <c r="G53" i="21"/>
  <c r="H53" i="21" s="1"/>
  <c r="G52" i="21"/>
  <c r="H52" i="21" s="1"/>
  <c r="C29" i="78"/>
  <c r="Q49" i="15"/>
  <c r="C36" i="15"/>
  <c r="C13" i="15"/>
  <c r="J14" i="15"/>
  <c r="J19" i="15"/>
  <c r="J17" i="15" s="1"/>
  <c r="C57" i="15"/>
  <c r="C38" i="11"/>
  <c r="C35" i="11"/>
  <c r="C36" i="77"/>
  <c r="C57" i="77"/>
  <c r="Q49" i="77"/>
  <c r="C13" i="77"/>
  <c r="J19" i="77"/>
  <c r="J17" i="77" s="1"/>
  <c r="J14" i="77"/>
  <c r="C38" i="68"/>
  <c r="C35" i="68"/>
  <c r="L70" i="39"/>
  <c r="M68" i="39"/>
  <c r="C57" i="69"/>
  <c r="C56" i="69" s="1"/>
  <c r="K65" i="40"/>
  <c r="L63" i="40"/>
  <c r="B2" i="67"/>
  <c r="B3" i="67"/>
  <c r="Q57" i="15"/>
  <c r="Q66" i="15"/>
  <c r="Q66" i="67"/>
  <c r="Q75" i="67" s="1"/>
  <c r="Q57" i="67"/>
  <c r="Q62" i="67" s="1"/>
  <c r="AO7" i="1"/>
  <c r="S11" i="39" l="1"/>
  <c r="AA11" i="39"/>
  <c r="F11" i="90"/>
  <c r="J11" i="90"/>
  <c r="H11" i="90"/>
  <c r="AB11" i="39"/>
  <c r="U11" i="39"/>
  <c r="AC11" i="39"/>
  <c r="W11" i="39"/>
  <c r="C33" i="68"/>
  <c r="C42" i="68" s="1"/>
  <c r="C49" i="88"/>
  <c r="C48" i="88"/>
  <c r="I53" i="21"/>
  <c r="J53" i="21" s="1"/>
  <c r="E53" i="21"/>
  <c r="F53" i="21" s="1"/>
  <c r="E52" i="21"/>
  <c r="F52" i="21" s="1"/>
  <c r="C47" i="84"/>
  <c r="C48" i="84"/>
  <c r="E53" i="88"/>
  <c r="F53" i="88" s="1"/>
  <c r="E52" i="88"/>
  <c r="F52" i="88" s="1"/>
  <c r="C48" i="21"/>
  <c r="C49" i="21"/>
  <c r="B2" i="21" s="1"/>
  <c r="B3" i="21" s="1"/>
  <c r="C6" i="12" s="1"/>
  <c r="C8" i="12" s="1"/>
  <c r="I52" i="84"/>
  <c r="J52" i="84" s="1"/>
  <c r="E52" i="84"/>
  <c r="F52" i="84" s="1"/>
  <c r="E51" i="84"/>
  <c r="F51" i="84" s="1"/>
  <c r="C33" i="11"/>
  <c r="C42" i="11" s="1"/>
  <c r="C36" i="78"/>
  <c r="J14" i="78"/>
  <c r="C13" i="78"/>
  <c r="C57" i="78"/>
  <c r="J19" i="78"/>
  <c r="J17" i="78" s="1"/>
  <c r="Q49" i="78"/>
  <c r="C61" i="15"/>
  <c r="C59" i="15" s="1"/>
  <c r="C64" i="15"/>
  <c r="J13" i="15"/>
  <c r="J23" i="15" s="1"/>
  <c r="J22" i="15"/>
  <c r="J13" i="77"/>
  <c r="J23" i="77" s="1"/>
  <c r="J22" i="77"/>
  <c r="Q70" i="77"/>
  <c r="C37" i="77"/>
  <c r="C30" i="77" s="1"/>
  <c r="C39" i="77" s="1"/>
  <c r="C75" i="77"/>
  <c r="C56" i="77"/>
  <c r="C65" i="77" s="1"/>
  <c r="C61" i="77"/>
  <c r="C59" i="77" s="1"/>
  <c r="C64" i="77"/>
  <c r="C56" i="15"/>
  <c r="C65" i="15" s="1"/>
  <c r="C75" i="15"/>
  <c r="Q70" i="15"/>
  <c r="C37" i="15"/>
  <c r="C30" i="15" s="1"/>
  <c r="C39" i="15" s="1"/>
  <c r="M70" i="39"/>
  <c r="N68" i="39"/>
  <c r="B7" i="70"/>
  <c r="L65" i="40"/>
  <c r="M63" i="40"/>
  <c r="L51" i="77"/>
  <c r="L51" i="15"/>
  <c r="U11" i="90" l="1"/>
  <c r="AB11" i="90"/>
  <c r="T47" i="90" s="1"/>
  <c r="G47" i="90" s="1"/>
  <c r="AA11" i="90"/>
  <c r="R47" i="90" s="1"/>
  <c r="S11" i="90"/>
  <c r="AC11" i="90"/>
  <c r="V47" i="90" s="1"/>
  <c r="I47" i="90" s="1"/>
  <c r="W11" i="90"/>
  <c r="C39" i="68"/>
  <c r="C43" i="68" s="1"/>
  <c r="C41" i="68" s="1"/>
  <c r="J16" i="15"/>
  <c r="J25" i="15" s="1"/>
  <c r="C39" i="11"/>
  <c r="C43" i="11" s="1"/>
  <c r="C41" i="11" s="1"/>
  <c r="B61" i="84"/>
  <c r="F61" i="84" s="1"/>
  <c r="B56" i="84"/>
  <c r="F56" i="84" s="1"/>
  <c r="B58" i="84"/>
  <c r="F58" i="84" s="1"/>
  <c r="B57" i="84"/>
  <c r="F57" i="84" s="1"/>
  <c r="B63" i="84"/>
  <c r="F63" i="84" s="1"/>
  <c r="B62" i="84"/>
  <c r="F62" i="84" s="1"/>
  <c r="B60" i="84"/>
  <c r="F60" i="84" s="1"/>
  <c r="B59" i="84"/>
  <c r="F59" i="84" s="1"/>
  <c r="B65" i="84"/>
  <c r="F65" i="84" s="1"/>
  <c r="B64" i="84"/>
  <c r="F64" i="84" s="1"/>
  <c r="B3" i="88"/>
  <c r="B2" i="88"/>
  <c r="C80" i="77"/>
  <c r="C79" i="77" s="1"/>
  <c r="C58" i="15"/>
  <c r="C67" i="15" s="1"/>
  <c r="C68" i="15" s="1"/>
  <c r="C71" i="15" s="1"/>
  <c r="C75" i="78"/>
  <c r="Q70" i="78"/>
  <c r="C37" i="78"/>
  <c r="C30" i="78" s="1"/>
  <c r="C39" i="78" s="1"/>
  <c r="C56" i="78"/>
  <c r="C65" i="78" s="1"/>
  <c r="C64" i="78"/>
  <c r="C61" i="78"/>
  <c r="C59" i="78" s="1"/>
  <c r="J13" i="78"/>
  <c r="J23" i="78" s="1"/>
  <c r="J22" i="78"/>
  <c r="Q67" i="15"/>
  <c r="Q67" i="77"/>
  <c r="Q69" i="15"/>
  <c r="Q68" i="15" s="1"/>
  <c r="C40" i="15"/>
  <c r="C80" i="15"/>
  <c r="C79" i="15" s="1"/>
  <c r="C58" i="77"/>
  <c r="C67" i="77" s="1"/>
  <c r="C68" i="77" s="1"/>
  <c r="C40" i="77"/>
  <c r="Q69" i="77"/>
  <c r="Q68" i="77" s="1"/>
  <c r="J16" i="77"/>
  <c r="J25" i="77" s="1"/>
  <c r="N70" i="39"/>
  <c r="O68" i="39"/>
  <c r="O70" i="39" s="1"/>
  <c r="H7" i="39"/>
  <c r="M65" i="40"/>
  <c r="N63" i="40"/>
  <c r="L51" i="78"/>
  <c r="I51" i="90" l="1"/>
  <c r="J51" i="90" s="1"/>
  <c r="E47" i="90"/>
  <c r="R48" i="90"/>
  <c r="G52" i="90"/>
  <c r="H52" i="90" s="1"/>
  <c r="G51" i="90"/>
  <c r="H51" i="90" s="1"/>
  <c r="C46" i="68"/>
  <c r="C45" i="68" s="1"/>
  <c r="C49" i="68" s="1"/>
  <c r="C51" i="68" s="1"/>
  <c r="C46" i="11"/>
  <c r="C45" i="11" s="1"/>
  <c r="C49" i="11" s="1"/>
  <c r="C51" i="11" s="1"/>
  <c r="C52" i="11" s="1"/>
  <c r="B2" i="11" s="1"/>
  <c r="B3" i="11" s="1"/>
  <c r="F66" i="84"/>
  <c r="B2" i="84" s="1"/>
  <c r="B3" i="84" s="1"/>
  <c r="J16" i="78"/>
  <c r="J25" i="78" s="1"/>
  <c r="C58" i="78"/>
  <c r="C67" i="78" s="1"/>
  <c r="C68" i="78" s="1"/>
  <c r="C71" i="78" s="1"/>
  <c r="Q67" i="78"/>
  <c r="Q69" i="78"/>
  <c r="Q68" i="78" s="1"/>
  <c r="C40" i="78"/>
  <c r="C80" i="78"/>
  <c r="C79" i="78" s="1"/>
  <c r="B2" i="77"/>
  <c r="Q56" i="77"/>
  <c r="Q62" i="77" s="1"/>
  <c r="Q47" i="77"/>
  <c r="Q53" i="77" s="1"/>
  <c r="Q65" i="77"/>
  <c r="Q75" i="77" s="1"/>
  <c r="C43" i="77"/>
  <c r="C83" i="77"/>
  <c r="C82" i="77" s="1"/>
  <c r="C46" i="15"/>
  <c r="Q47" i="15"/>
  <c r="Q53" i="15" s="1"/>
  <c r="C83" i="15"/>
  <c r="C82" i="15" s="1"/>
  <c r="C43" i="15"/>
  <c r="B2" i="15"/>
  <c r="B3" i="15" s="1"/>
  <c r="Q56" i="15"/>
  <c r="Q62" i="15" s="1"/>
  <c r="Q65" i="15"/>
  <c r="Q75" i="15" s="1"/>
  <c r="C46" i="77"/>
  <c r="C71" i="77"/>
  <c r="AB7" i="39"/>
  <c r="T47" i="39" s="1"/>
  <c r="G47" i="39" s="1"/>
  <c r="G51" i="39" s="1"/>
  <c r="H51" i="39" s="1"/>
  <c r="U7" i="39"/>
  <c r="J7" i="39"/>
  <c r="F7" i="39"/>
  <c r="N65" i="40"/>
  <c r="O63" i="40"/>
  <c r="O65" i="40" s="1"/>
  <c r="AO8" i="1"/>
  <c r="E51" i="90" l="1"/>
  <c r="F51" i="90" s="1"/>
  <c r="E52" i="90"/>
  <c r="F52" i="90" s="1"/>
  <c r="C48" i="90"/>
  <c r="C47" i="90"/>
  <c r="I52" i="90"/>
  <c r="J52" i="90" s="1"/>
  <c r="B2" i="78"/>
  <c r="Q65" i="78"/>
  <c r="Q75" i="78" s="1"/>
  <c r="Q56" i="78"/>
  <c r="Q62" i="78" s="1"/>
  <c r="Q47" i="78"/>
  <c r="Q53" i="78" s="1"/>
  <c r="C43" i="78"/>
  <c r="C83" i="78"/>
  <c r="C82" i="78" s="1"/>
  <c r="C46" i="78"/>
  <c r="B8" i="70"/>
  <c r="E8" i="12"/>
  <c r="B3" i="77"/>
  <c r="E6" i="12" s="1"/>
  <c r="C56" i="11"/>
  <c r="C57" i="11" s="1"/>
  <c r="AA7" i="39"/>
  <c r="R47" i="39" s="1"/>
  <c r="S7" i="39"/>
  <c r="W7" i="39"/>
  <c r="AC7" i="39"/>
  <c r="V47" i="39" s="1"/>
  <c r="I47" i="39" s="1"/>
  <c r="F7" i="40"/>
  <c r="J7" i="40"/>
  <c r="H7" i="40"/>
  <c r="AO9" i="1"/>
  <c r="B62" i="90" l="1"/>
  <c r="F62" i="90" s="1"/>
  <c r="B58" i="90"/>
  <c r="B63" i="90"/>
  <c r="F63" i="90" s="1"/>
  <c r="B60" i="90"/>
  <c r="F60" i="90" s="1"/>
  <c r="B64" i="90"/>
  <c r="F64" i="90" s="1"/>
  <c r="B65" i="90"/>
  <c r="F65" i="90" s="1"/>
  <c r="B57" i="90"/>
  <c r="B59" i="90"/>
  <c r="F59" i="90" s="1"/>
  <c r="B61" i="90"/>
  <c r="F61" i="90" s="1"/>
  <c r="B56" i="90"/>
  <c r="F56" i="90" s="1"/>
  <c r="B9" i="70"/>
  <c r="B2" i="70" s="1"/>
  <c r="B3" i="70" s="1"/>
  <c r="F8" i="12"/>
  <c r="B3" i="78"/>
  <c r="F6" i="12" s="1"/>
  <c r="F35" i="12" s="1"/>
  <c r="I51" i="39"/>
  <c r="J51" i="39" s="1"/>
  <c r="G52" i="39"/>
  <c r="H52" i="39" s="1"/>
  <c r="R48" i="39"/>
  <c r="E47" i="39"/>
  <c r="AB7" i="40"/>
  <c r="T42" i="40" s="1"/>
  <c r="G42" i="40" s="1"/>
  <c r="U7" i="40"/>
  <c r="AC7" i="40"/>
  <c r="V42" i="40" s="1"/>
  <c r="I42" i="40" s="1"/>
  <c r="W7" i="40"/>
  <c r="AA7" i="40"/>
  <c r="R42" i="40" s="1"/>
  <c r="S7" i="40"/>
  <c r="F57" i="90" l="1"/>
  <c r="C40" i="9"/>
  <c r="E40" i="9" s="1"/>
  <c r="F58" i="90"/>
  <c r="F66" i="90" s="1"/>
  <c r="B2" i="90" s="1"/>
  <c r="B3" i="90" s="1"/>
  <c r="C41" i="9"/>
  <c r="E41" i="9" s="1"/>
  <c r="C4" i="12"/>
  <c r="C31" i="12" s="1"/>
  <c r="L2" i="12"/>
  <c r="C23" i="12"/>
  <c r="C48" i="39"/>
  <c r="C47" i="39"/>
  <c r="E51" i="39"/>
  <c r="F51" i="39" s="1"/>
  <c r="E52" i="39"/>
  <c r="F52" i="39" s="1"/>
  <c r="I52" i="39"/>
  <c r="J52" i="39" s="1"/>
  <c r="R43" i="40"/>
  <c r="E42" i="40"/>
  <c r="I47" i="40" s="1"/>
  <c r="J47" i="40" s="1"/>
  <c r="I46" i="40"/>
  <c r="J46" i="40" s="1"/>
  <c r="G47" i="40"/>
  <c r="H47" i="40" s="1"/>
  <c r="G46" i="40"/>
  <c r="H46" i="40" s="1"/>
  <c r="C38" i="9" l="1"/>
  <c r="H106" i="9" s="1"/>
  <c r="C30" i="12"/>
  <c r="C28" i="12" s="1"/>
  <c r="C27" i="12"/>
  <c r="C25" i="12" s="1"/>
  <c r="B60" i="39"/>
  <c r="F60" i="39" s="1"/>
  <c r="C6" i="68" s="1"/>
  <c r="C7" i="68" s="1"/>
  <c r="C5" i="68" s="1"/>
  <c r="B62" i="39"/>
  <c r="F62" i="39" s="1"/>
  <c r="B59" i="39"/>
  <c r="F59" i="39" s="1"/>
  <c r="B58" i="39"/>
  <c r="F58" i="39" s="1"/>
  <c r="B61" i="39"/>
  <c r="F61" i="39" s="1"/>
  <c r="B65" i="39"/>
  <c r="F65" i="39" s="1"/>
  <c r="B64" i="39"/>
  <c r="F64" i="39" s="1"/>
  <c r="B56" i="39"/>
  <c r="F56" i="39" s="1"/>
  <c r="B63" i="39"/>
  <c r="F63" i="39" s="1"/>
  <c r="B57" i="39"/>
  <c r="F57" i="39" s="1"/>
  <c r="C43" i="40"/>
  <c r="C42" i="40"/>
  <c r="E47" i="40"/>
  <c r="F47" i="40" s="1"/>
  <c r="E46" i="40"/>
  <c r="F46" i="40" s="1"/>
  <c r="H103" i="9" l="1"/>
  <c r="D12" i="53"/>
  <c r="B28" i="72" s="1"/>
  <c r="C32" i="12"/>
  <c r="B2" i="12" s="1"/>
  <c r="B3" i="12" s="1"/>
  <c r="C23" i="68"/>
  <c r="C20" i="68"/>
  <c r="C25" i="68" s="1"/>
  <c r="F66" i="39"/>
  <c r="B2" i="39" s="1"/>
  <c r="B3" i="39" s="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D19" i="9"/>
  <c r="D20" i="9"/>
  <c r="D120" i="9" l="1"/>
  <c r="D8" i="53"/>
  <c r="D102" i="9"/>
  <c r="D21" i="9"/>
  <c r="D103" i="9"/>
  <c r="C28" i="68"/>
  <c r="C27" i="68" s="1"/>
  <c r="C22" i="68"/>
  <c r="D6" i="52" l="1"/>
  <c r="D121" i="9"/>
  <c r="D7" i="52" s="1"/>
  <c r="K120" i="9"/>
  <c r="A18" i="62" s="1"/>
  <c r="B64" i="72" s="1"/>
  <c r="B24" i="72"/>
  <c r="D9" i="53"/>
  <c r="B25" i="72" s="1"/>
  <c r="C31" i="68"/>
  <c r="C52" i="68" s="1"/>
  <c r="B2" i="68" s="1"/>
  <c r="C19" i="9"/>
  <c r="C57" i="68" l="1"/>
  <c r="C56" i="68" s="1"/>
  <c r="D22" i="9"/>
  <c r="C102" i="9"/>
  <c r="G19" i="9"/>
  <c r="C21" i="9"/>
  <c r="B3" i="68"/>
  <c r="C20" i="9"/>
  <c r="D35" i="9"/>
  <c r="D34" i="9"/>
  <c r="C103" i="9" l="1"/>
  <c r="G20" i="9"/>
  <c r="G26" i="9"/>
  <c r="G21" i="9"/>
  <c r="C32" i="9"/>
  <c r="H118" i="9" l="1"/>
  <c r="C35" i="9"/>
  <c r="C34" i="9" l="1"/>
  <c r="D118" i="9" s="1"/>
  <c r="F118" i="9"/>
  <c r="I118" i="9"/>
  <c r="H101" i="9"/>
  <c r="C104" i="9"/>
  <c r="H4" i="52"/>
  <c r="H119" i="9"/>
  <c r="H5" i="52" s="1"/>
  <c r="D14" i="74"/>
  <c r="F14" i="74" l="1"/>
  <c r="B5" i="74"/>
  <c r="E14" i="74"/>
  <c r="D45" i="9"/>
  <c r="M48" i="9"/>
  <c r="D5" i="53"/>
  <c r="H107" i="9"/>
  <c r="G118" i="9"/>
  <c r="F119" i="9"/>
  <c r="F5" i="52" s="1"/>
  <c r="B53" i="72" s="1"/>
  <c r="F4" i="52"/>
  <c r="B51" i="72" s="1"/>
  <c r="I4" i="52"/>
  <c r="C105" i="9"/>
  <c r="H102" i="9"/>
  <c r="D7" i="53" s="1"/>
  <c r="B21" i="72" s="1"/>
  <c r="D119" i="9"/>
  <c r="D5" i="52" s="1"/>
  <c r="B49" i="72" s="1"/>
  <c r="D4" i="52"/>
  <c r="B47" i="72" s="1"/>
  <c r="G4" i="52" l="1"/>
  <c r="B52" i="72" s="1"/>
  <c r="E118" i="9"/>
  <c r="E4" i="52" s="1"/>
  <c r="B48" i="72" s="1"/>
  <c r="D6" i="53"/>
  <c r="B22" i="72" s="1"/>
  <c r="B20" i="72"/>
  <c r="D52" i="9"/>
  <c r="C85" i="9"/>
  <c r="C72" i="9"/>
  <c r="C78" i="9"/>
  <c r="C73" i="9" s="1"/>
  <c r="C93" i="9"/>
  <c r="C86" i="9" s="1"/>
  <c r="D53" i="9"/>
  <c r="D55" i="9"/>
  <c r="M53" i="9" s="1"/>
  <c r="C64" i="9"/>
  <c r="C63" i="9" s="1"/>
  <c r="C67" i="9" s="1"/>
  <c r="C68" i="9" s="1"/>
  <c r="D54" i="9" s="1"/>
  <c r="C5" i="74"/>
  <c r="D5" i="74"/>
  <c r="D13" i="53"/>
  <c r="D122" i="9"/>
  <c r="M49" i="9"/>
  <c r="H108" i="9"/>
  <c r="D15" i="53" s="1"/>
  <c r="B31" i="72" s="1"/>
  <c r="C79" i="9" l="1"/>
  <c r="C80" i="9" s="1"/>
  <c r="E80" i="9" s="1"/>
  <c r="E81" i="9" s="1"/>
  <c r="L67" i="9"/>
  <c r="M67" i="9" s="1"/>
  <c r="L68" i="9"/>
  <c r="M68" i="9" s="1"/>
  <c r="L65" i="9"/>
  <c r="M65" i="9" s="1"/>
  <c r="L64" i="9"/>
  <c r="M64" i="9" s="1"/>
  <c r="L63" i="9"/>
  <c r="M63" i="9" s="1"/>
  <c r="L66" i="9"/>
  <c r="M66" i="9" s="1"/>
  <c r="D14" i="53"/>
  <c r="B32" i="72" s="1"/>
  <c r="B30" i="72"/>
  <c r="D8" i="52"/>
  <c r="D123" i="9"/>
  <c r="D9" i="52" s="1"/>
  <c r="G14" i="74"/>
  <c r="B6" i="74" s="1"/>
  <c r="C95" i="9"/>
  <c r="C81" i="9" l="1"/>
  <c r="M69" i="9"/>
  <c r="N69" i="9" s="1"/>
  <c r="D6" i="74"/>
  <c r="C6" i="74"/>
  <c r="C96" i="9"/>
  <c r="E96" i="9" s="1"/>
  <c r="E97" i="9" s="1"/>
  <c r="C97" i="9" l="1"/>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F3" authorId="0">
      <text>
        <r>
          <rPr>
            <b/>
            <sz val="9"/>
            <color indexed="81"/>
            <rFont val="宋体"/>
            <family val="3"/>
            <charset val="134"/>
          </rPr>
          <t>USER:</t>
        </r>
        <r>
          <rPr>
            <sz val="9"/>
            <color indexed="81"/>
            <rFont val="宋体"/>
            <family val="3"/>
            <charset val="134"/>
          </rPr>
          <t xml:space="preserve">
规证</t>
        </r>
      </text>
    </comment>
    <comment ref="F9" authorId="0">
      <text>
        <r>
          <rPr>
            <b/>
            <sz val="9"/>
            <color indexed="81"/>
            <rFont val="宋体"/>
            <family val="3"/>
            <charset val="134"/>
          </rPr>
          <t>USER:</t>
        </r>
        <r>
          <rPr>
            <sz val="9"/>
            <color indexed="81"/>
            <rFont val="宋体"/>
            <family val="3"/>
            <charset val="134"/>
          </rPr>
          <t xml:space="preserve">
测绘报告</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<sst xmlns="http://schemas.openxmlformats.org/spreadsheetml/2006/main" count="12137" uniqueCount="4143">
  <si>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</si>
  <si>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</si>
  <si>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</si>
  <si>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</si>
  <si>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</si>
  <si>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</si>
  <si>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</si>
  <si>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</si>
  <si>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</si>
  <si>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</si>
  <si>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</si>
  <si>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</si>
  <si>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</si>
  <si>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</si>
  <si>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</si>
  <si>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</si>
  <si>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</si>
  <si>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</si>
  <si>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</si>
  <si>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</si>
  <si>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</si>
  <si>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</si>
  <si>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</si>
  <si>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</si>
  <si>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</si>
  <si>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</si>
  <si>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</si>
  <si>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</si>
  <si>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</si>
  <si>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</si>
  <si>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</si>
  <si>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</si>
  <si>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</si>
  <si>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</si>
  <si>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</si>
  <si>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</si>
  <si>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</si>
  <si>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</si>
  <si>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</si>
  <si>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</si>
  <si>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</si>
  <si>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</si>
  <si>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</si>
  <si>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</si>
  <si>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</si>
  <si>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</si>
  <si>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</si>
  <si>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</si>
  <si>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</si>
  <si>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</si>
  <si>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</si>
  <si>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</si>
  <si>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</si>
  <si>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</si>
  <si>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</si>
  <si>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</si>
  <si>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</si>
  <si>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</si>
  <si>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</si>
  <si>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</si>
  <si>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</si>
  <si>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</si>
  <si>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</si>
  <si>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</si>
  <si>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</si>
  <si>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</si>
  <si>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</si>
  <si>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</si>
  <si>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</si>
  <si>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</si>
  <si>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</si>
  <si>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</si>
  <si>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</si>
  <si>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</si>
  <si>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</si>
  <si>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</si>
  <si>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</si>
  <si>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</si>
  <si>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</si>
  <si>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</si>
  <si>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</si>
  <si>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</si>
  <si>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</si>
  <si>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</si>
  <si>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</si>
  <si>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</si>
  <si>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</si>
  <si>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</si>
  <si>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</si>
  <si>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</si>
  <si>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</si>
  <si>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</si>
  <si>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</si>
  <si>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</si>
  <si>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</si>
  <si>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</si>
  <si>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</si>
  <si>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</si>
  <si>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</si>
  <si>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</si>
  <si>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</si>
  <si>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</si>
  <si>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</si>
  <si>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</si>
  <si>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</si>
  <si>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</si>
  <si>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</si>
  <si>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</si>
  <si>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</si>
  <si>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</si>
  <si>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</si>
  <si>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</si>
  <si>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</si>
  <si>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</si>
  <si>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</si>
  <si>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</si>
  <si>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</si>
  <si>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</si>
  <si>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</si>
  <si>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</si>
  <si>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</si>
  <si>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</si>
  <si>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</si>
  <si>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</si>
  <si>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</si>
  <si>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</si>
  <si>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</si>
  <si>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</si>
  <si>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</si>
  <si>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</si>
  <si>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</si>
  <si>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</si>
  <si>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</si>
  <si>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</si>
  <si>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</si>
  <si>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</si>
  <si>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</si>
  <si>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</si>
  <si>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</si>
  <si>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</si>
  <si>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</si>
  <si>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</si>
  <si>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</si>
  <si>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</si>
  <si>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</si>
  <si>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</si>
  <si>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</si>
  <si>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</si>
  <si>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</si>
  <si>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</si>
  <si>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</si>
  <si>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</si>
  <si>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</si>
  <si>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</si>
  <si>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</si>
  <si>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</si>
  <si>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</si>
  <si>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</si>
  <si>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</si>
  <si>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</si>
  <si>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</si>
  <si>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</si>
  <si>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</si>
  <si>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</si>
  <si>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</si>
  <si>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</si>
  <si>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</si>
  <si>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</si>
  <si>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</si>
  <si>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</si>
  <si>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</si>
  <si>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</si>
  <si>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</si>
  <si>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</si>
  <si>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</si>
  <si>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</si>
  <si>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</si>
  <si>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</si>
  <si>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</si>
  <si>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</si>
  <si>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</si>
  <si>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</si>
  <si>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</si>
  <si>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</si>
  <si>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</si>
  <si>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</si>
  <si>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</si>
  <si>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</si>
  <si>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</si>
  <si>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</si>
  <si>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</si>
  <si>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</si>
  <si>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</si>
  <si>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</si>
  <si>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</si>
  <si>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</si>
  <si>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</si>
  <si>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</si>
  <si>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</si>
  <si>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</si>
  <si>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</si>
  <si>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</si>
  <si>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</si>
  <si>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</si>
  <si>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</si>
  <si>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</si>
  <si>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</si>
  <si>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</si>
  <si>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</si>
  <si>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</si>
  <si>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</si>
  <si>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</si>
  <si>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</si>
  <si>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</si>
  <si>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</si>
  <si>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</si>
  <si>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</si>
  <si>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</si>
  <si>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</si>
  <si>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</si>
  <si>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</si>
  <si>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</si>
  <si>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</si>
  <si>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</si>
  <si>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</si>
  <si>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</si>
  <si>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</si>
  <si>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</si>
  <si>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</si>
  <si>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</si>
  <si>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</si>
  <si>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</si>
  <si>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</si>
  <si>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</si>
  <si>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</si>
  <si>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</si>
  <si>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</si>
  <si>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</si>
  <si>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</si>
  <si>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</si>
  <si>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</si>
  <si>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</si>
  <si>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</si>
  <si>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</si>
  <si>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</si>
  <si>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</si>
  <si>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</si>
  <si>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</si>
  <si>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</si>
  <si>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</si>
  <si>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</si>
  <si>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</si>
  <si>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</si>
  <si>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</si>
  <si>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</si>
  <si>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</si>
  <si>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</si>
  <si>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</si>
  <si>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</si>
  <si>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</si>
  <si>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</si>
  <si>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</si>
  <si>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</si>
  <si>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</si>
  <si>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</si>
  <si>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</si>
  <si>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</si>
  <si>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</si>
  <si>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</si>
  <si>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</si>
  <si>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</si>
  <si>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</si>
  <si>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</si>
  <si>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</si>
  <si>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</si>
  <si>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</si>
  <si>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</si>
  <si>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</si>
  <si>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</si>
  <si>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</si>
  <si>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</si>
  <si>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</si>
  <si>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</si>
  <si>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</si>
  <si>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</si>
  <si>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</si>
  <si>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</si>
  <si>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</si>
  <si>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</si>
  <si>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</si>
  <si>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</si>
  <si>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</si>
  <si>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</si>
  <si>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</si>
  <si>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</si>
  <si>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</si>
  <si>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</si>
  <si>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</si>
  <si>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</si>
  <si>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</si>
  <si>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</si>
  <si>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</si>
  <si>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</si>
  <si>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</si>
  <si>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</si>
  <si>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</si>
  <si>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</si>
  <si>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</si>
  <si>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</si>
  <si>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</si>
  <si>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</si>
  <si>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</si>
  <si>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</si>
  <si>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</si>
  <si>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</si>
  <si>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</si>
  <si>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</si>
  <si>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</si>
  <si>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</si>
  <si>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</si>
  <si>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</si>
  <si>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</si>
  <si>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</si>
  <si>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</si>
  <si>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</si>
  <si>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</si>
  <si>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</si>
  <si>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</si>
  <si>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</si>
  <si>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</si>
  <si>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</si>
  <si>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</si>
  <si>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</si>
  <si>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</si>
  <si>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</si>
  <si>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</si>
  <si>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</si>
  <si>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</si>
  <si>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</si>
  <si>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</si>
  <si>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</si>
  <si>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</si>
  <si>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</si>
  <si>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</si>
  <si>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</si>
  <si>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</si>
  <si>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</si>
  <si>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</si>
  <si>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</si>
  <si>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</si>
  <si>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</si>
  <si>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</si>
  <si>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</si>
  <si>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</si>
  <si>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</si>
  <si>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</si>
  <si>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</si>
  <si>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</si>
  <si>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</si>
  <si>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</si>
  <si>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</si>
  <si>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</si>
  <si>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</si>
  <si>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</si>
  <si>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</si>
  <si>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</si>
  <si>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</si>
  <si>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</si>
  <si>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</si>
  <si>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</si>
  <si>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</si>
  <si>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</si>
  <si>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</si>
  <si>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</si>
  <si>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</si>
  <si>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</si>
  <si>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</si>
  <si>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</si>
  <si>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</si>
  <si>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</si>
  <si>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</si>
  <si>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</si>
  <si>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</si>
  <si>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</si>
  <si>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</si>
  <si>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</si>
  <si>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</si>
  <si>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</si>
  <si>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</si>
  <si>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</si>
  <si>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</si>
  <si>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</si>
  <si>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</si>
  <si>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</si>
  <si>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</si>
  <si>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</si>
  <si>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</si>
  <si>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</si>
  <si>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</si>
  <si>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</si>
  <si>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</si>
  <si>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</si>
  <si>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</si>
  <si>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</si>
  <si>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</si>
  <si>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</si>
  <si>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</si>
  <si>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</si>
  <si>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</si>
  <si>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</si>
  <si>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</si>
  <si>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</si>
  <si>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</si>
  <si>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</si>
  <si>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</si>
  <si>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</si>
  <si>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</si>
  <si>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</si>
  <si>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</si>
  <si>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</si>
  <si>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</si>
  <si>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</si>
  <si>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</si>
  <si>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</si>
  <si>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</si>
  <si>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</si>
  <si>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</si>
  <si>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</si>
  <si>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</si>
  <si>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</si>
  <si>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</si>
  <si>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</si>
  <si>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</si>
  <si>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</si>
  <si>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</si>
  <si>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</si>
  <si>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</si>
  <si>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</si>
  <si>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</si>
  <si>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</si>
  <si>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</si>
  <si>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</si>
  <si>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</si>
  <si>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</si>
  <si>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</si>
  <si>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</si>
  <si>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</si>
  <si>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</si>
  <si>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</si>
  <si>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</si>
  <si>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</si>
  <si>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</si>
  <si>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</si>
  <si>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</si>
  <si>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</si>
  <si>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</si>
  <si>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</si>
  <si>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</si>
  <si>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</si>
  <si>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</si>
  <si>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</si>
  <si>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</si>
  <si>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</si>
  <si>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</si>
  <si>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</si>
  <si>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</si>
  <si>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</si>
  <si>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</si>
  <si>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</si>
  <si>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</si>
  <si>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</si>
  <si>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</si>
  <si>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</si>
  <si>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</si>
  <si>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</si>
  <si>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</si>
  <si>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</si>
  <si>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</si>
  <si>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</si>
  <si>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</si>
  <si>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</si>
  <si>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</si>
  <si>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</si>
  <si>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</si>
  <si>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</si>
  <si>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</si>
  <si>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</si>
  <si>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</si>
  <si>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</si>
  <si>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</si>
  <si>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</si>
  <si>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</si>
  <si>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</si>
  <si>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</si>
  <si>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</si>
  <si>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</si>
  <si>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</si>
  <si>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</si>
  <si>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</si>
  <si>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</si>
  <si>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</si>
  <si>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</si>
  <si>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</si>
  <si>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</si>
  <si>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</si>
  <si>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</si>
  <si>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</si>
  <si>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</si>
  <si>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</si>
  <si>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</si>
  <si>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</si>
  <si>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</si>
  <si>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</si>
  <si>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</si>
  <si>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</si>
  <si>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</si>
  <si>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</si>
  <si>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</si>
  <si>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</si>
  <si>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</si>
  <si>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</si>
  <si>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</si>
  <si>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</si>
  <si>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</si>
  <si>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</si>
  <si>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</si>
  <si>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</si>
  <si>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</si>
  <si>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</si>
  <si>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</si>
  <si>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</si>
  <si>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</si>
  <si>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</si>
  <si>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</si>
  <si>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</si>
  <si>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</si>
  <si>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</si>
  <si>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</si>
  <si>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</si>
  <si>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</si>
  <si>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</si>
  <si>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</si>
  <si>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</si>
  <si>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</si>
  <si>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</si>
  <si>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</si>
  <si>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</si>
  <si>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</si>
  <si>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</si>
  <si>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</si>
  <si>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</si>
  <si>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</si>
  <si>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</si>
  <si>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</si>
  <si>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</si>
  <si>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</si>
  <si>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</si>
  <si>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</si>
  <si>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</si>
  <si>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</si>
  <si>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</si>
  <si>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</si>
  <si>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</si>
  <si>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</si>
  <si>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</si>
  <si>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</si>
  <si>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</si>
  <si>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</si>
  <si>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</si>
  <si>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</si>
  <si>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</si>
  <si>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</si>
  <si>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</si>
  <si>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</si>
  <si>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</si>
  <si>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</si>
  <si>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</si>
  <si>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</si>
  <si>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</si>
  <si>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</si>
  <si>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</si>
  <si>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</si>
  <si>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</si>
  <si>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</si>
  <si>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</si>
  <si>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</si>
  <si>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</si>
  <si>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</si>
  <si>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</si>
  <si>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</si>
  <si>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</si>
  <si>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</si>
  <si>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</si>
  <si>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</si>
  <si>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</si>
  <si>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</si>
  <si>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</si>
  <si>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</si>
  <si>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</si>
  <si>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</si>
  <si>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</si>
  <si>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</si>
  <si>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</si>
  <si>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</si>
  <si>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</si>
  <si>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</si>
  <si>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</si>
  <si>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</si>
  <si>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</si>
  <si>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</si>
  <si>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</si>
  <si>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</si>
  <si>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</si>
  <si>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</si>
  <si>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</si>
  <si>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</si>
  <si>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</si>
  <si>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</si>
  <si>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</si>
  <si>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</si>
  <si>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</si>
  <si>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</si>
  <si>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</si>
  <si>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</si>
  <si>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</si>
  <si>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</si>
  <si>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</si>
  <si>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</si>
  <si>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</si>
  <si>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</si>
  <si>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</si>
  <si>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</si>
  <si>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</si>
  <si>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</si>
  <si>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</si>
  <si>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</si>
  <si>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</si>
  <si>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</si>
  <si>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</si>
  <si>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</si>
  <si>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</si>
  <si>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</si>
  <si>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</si>
  <si>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</si>
  <si>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</si>
  <si>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</si>
  <si>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</si>
  <si>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</si>
  <si>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</si>
  <si>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</si>
  <si>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</si>
  <si>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</si>
  <si>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</si>
  <si>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</si>
  <si>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</si>
  <si>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</si>
  <si>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</si>
  <si>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</si>
  <si>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</si>
  <si>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</si>
  <si>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</si>
  <si>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</si>
  <si>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</si>
  <si>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</si>
  <si>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</si>
  <si>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</si>
  <si>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</si>
  <si>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</si>
  <si>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</si>
  <si>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</si>
  <si>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</si>
  <si>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</si>
  <si>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</si>
  <si>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</si>
  <si>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</si>
  <si>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</si>
  <si>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</si>
  <si>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</si>
  <si>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</si>
  <si>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</si>
  <si>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</si>
  <si>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</si>
  <si>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</si>
  <si>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</si>
  <si>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</si>
  <si>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</si>
  <si>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</si>
  <si>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</si>
  <si>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</si>
  <si>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</si>
  <si>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</si>
  <si>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</si>
  <si>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</si>
  <si>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</si>
  <si>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</si>
  <si>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</si>
  <si>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</si>
  <si>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</si>
  <si>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</si>
  <si>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</si>
  <si>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</si>
  <si>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</si>
  <si>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</si>
  <si>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</si>
  <si>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</si>
  <si>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</si>
  <si>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</si>
  <si>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</si>
  <si>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</si>
  <si>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</si>
  <si>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</si>
  <si>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</si>
  <si>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</si>
  <si>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</si>
  <si>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</si>
  <si>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</si>
  <si>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</si>
  <si>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</si>
  <si>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</si>
  <si>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</si>
  <si>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</si>
  <si>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</si>
  <si>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</si>
  <si>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</si>
  <si>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</si>
  <si>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</si>
  <si>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</si>
  <si>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</si>
  <si>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</si>
  <si>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</si>
  <si>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</si>
  <si>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</si>
  <si>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</si>
  <si>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</si>
  <si>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</si>
  <si>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</si>
  <si>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</si>
  <si>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</si>
  <si>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</si>
  <si>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</si>
  <si>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</si>
  <si>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</si>
  <si>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</si>
  <si>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</si>
  <si>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</si>
  <si>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</si>
  <si>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</si>
  <si>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</si>
  <si>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</si>
  <si>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</si>
  <si>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</si>
  <si>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</si>
  <si>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</si>
  <si>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</si>
  <si>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</si>
  <si>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</si>
  <si>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</si>
  <si>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</si>
  <si>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</si>
  <si>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</si>
  <si>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</si>
  <si>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</si>
  <si>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</si>
  <si>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</si>
  <si>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</si>
  <si>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</si>
  <si>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</si>
  <si>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</si>
  <si>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</si>
  <si>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</si>
  <si>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</si>
  <si>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</si>
  <si>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</si>
  <si>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</si>
  <si>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</si>
  <si>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</si>
  <si>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</si>
  <si>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</si>
  <si>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</si>
  <si>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</si>
  <si>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</si>
  <si>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</si>
  <si>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</si>
  <si>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</si>
  <si>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</si>
  <si>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</si>
  <si>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</si>
  <si>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</si>
  <si>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</si>
  <si>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</si>
  <si>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</si>
  <si>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</si>
  <si>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</si>
  <si>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</si>
  <si>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</si>
  <si>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</si>
  <si>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</si>
  <si>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</si>
  <si>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</si>
  <si>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</si>
  <si>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</si>
  <si>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</si>
  <si>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</si>
  <si>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</si>
  <si>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</si>
  <si>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</si>
  <si>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</si>
  <si>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</si>
  <si>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</si>
  <si>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</si>
  <si>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</si>
  <si>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</si>
  <si>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</si>
  <si>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</si>
  <si>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</si>
  <si>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</si>
  <si>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</si>
  <si>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</si>
  <si>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</si>
  <si>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</si>
  <si>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</si>
  <si>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</si>
  <si>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</si>
  <si>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</si>
  <si>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</si>
  <si>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</si>
  <si>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</si>
  <si>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</si>
  <si>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</si>
  <si>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</si>
  <si>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</si>
  <si>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</si>
  <si>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</si>
  <si>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</si>
  <si>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</si>
  <si>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</si>
  <si>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</si>
  <si>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</si>
  <si>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</si>
  <si>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</si>
  <si>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</si>
  <si>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</si>
  <si>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</si>
  <si>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</si>
  <si>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</si>
  <si>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</si>
  <si>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</si>
  <si>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</si>
  <si>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</si>
  <si>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</si>
  <si>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</si>
  <si>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</si>
  <si>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</si>
  <si>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</si>
  <si>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</si>
  <si>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</si>
  <si>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</si>
  <si>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</si>
  <si>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</si>
  <si>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</si>
  <si>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</si>
  <si>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</si>
  <si>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</si>
  <si>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</si>
  <si>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</si>
  <si>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</si>
  <si>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</si>
  <si>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</si>
  <si>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</si>
  <si>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</si>
  <si>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</si>
  <si>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</si>
  <si>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</si>
  <si>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</si>
  <si>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</si>
  <si>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</si>
  <si>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</si>
  <si>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</si>
  <si>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</si>
  <si>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</si>
  <si>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</si>
  <si>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</si>
  <si>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</si>
  <si>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</si>
  <si>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</si>
  <si>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</si>
  <si>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</si>
  <si>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</si>
  <si>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</si>
  <si>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</si>
  <si>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</si>
  <si>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</si>
  <si>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</si>
  <si>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</si>
  <si>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</si>
  <si>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</si>
  <si>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</si>
  <si>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</si>
  <si>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</si>
  <si>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</si>
  <si>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</si>
  <si>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</si>
  <si>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</si>
  <si>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</si>
  <si>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</si>
  <si>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</si>
  <si>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</si>
  <si>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</si>
  <si>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</si>
  <si>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</si>
  <si>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</si>
  <si>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</si>
  <si>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</si>
  <si>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</si>
  <si>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</si>
  <si>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</si>
  <si>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</si>
  <si>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</si>
  <si>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</si>
  <si>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</si>
  <si>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</si>
  <si>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</si>
  <si>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</si>
  <si>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</si>
  <si>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</si>
  <si>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</si>
  <si>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</si>
  <si>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</si>
  <si>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</si>
  <si>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</si>
  <si>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</si>
  <si>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</si>
  <si>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</si>
  <si>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</si>
  <si>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</si>
  <si>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</si>
  <si>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</si>
  <si>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</si>
  <si>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</si>
  <si>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</si>
  <si>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</si>
  <si>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</si>
  <si>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</si>
  <si>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</si>
  <si>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</si>
  <si>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</si>
  <si>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</si>
  <si>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</si>
  <si>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</si>
  <si>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</si>
  <si>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</si>
  <si>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</si>
  <si>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</si>
  <si>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</si>
  <si>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</si>
  <si>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</si>
  <si>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</si>
  <si>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</si>
  <si>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</si>
  <si>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</si>
  <si>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</si>
  <si>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</si>
  <si>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</si>
  <si>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</si>
  <si>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</si>
  <si>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</si>
  <si>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</si>
  <si>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</si>
  <si>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</si>
  <si>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</si>
  <si>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</si>
  <si>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</si>
  <si>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</si>
  <si>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</si>
  <si>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</si>
  <si>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</si>
  <si>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</si>
  <si>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</si>
  <si>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</si>
  <si>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</si>
  <si>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</si>
  <si>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</si>
  <si>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</si>
  <si>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</si>
  <si>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</si>
  <si>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</si>
  <si>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</si>
  <si>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</si>
  <si>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</si>
  <si>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</si>
  <si>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</si>
  <si>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</si>
  <si>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</si>
  <si>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</si>
  <si>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</si>
  <si>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</si>
  <si>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</si>
  <si>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</si>
  <si>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</si>
  <si>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</si>
  <si>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</si>
  <si>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</si>
  <si>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</si>
  <si>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</si>
  <si>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</si>
  <si>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</si>
  <si>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</si>
  <si>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</si>
  <si>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</si>
  <si>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</si>
  <si>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</si>
  <si>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</si>
  <si>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</si>
  <si>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</si>
  <si>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</si>
  <si>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</si>
  <si>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</si>
  <si>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</si>
  <si>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</si>
  <si>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</si>
  <si>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</si>
  <si>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</si>
  <si>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</si>
  <si>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</si>
  <si>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</si>
  <si>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</si>
  <si>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</si>
  <si>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</si>
  <si>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</si>
  <si>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</si>
  <si>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</si>
  <si>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</si>
  <si>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</si>
  <si>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</si>
  <si>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</si>
  <si>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</si>
  <si>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</si>
  <si>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</si>
  <si>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</si>
  <si>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</si>
  <si>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</si>
  <si>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</si>
  <si>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</si>
  <si>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</si>
  <si>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</si>
  <si>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</si>
  <si>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</si>
  <si>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</si>
  <si>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</si>
  <si>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</si>
  <si>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</si>
  <si>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</si>
  <si>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</si>
  <si>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</si>
  <si>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</si>
  <si>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</si>
  <si>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</si>
  <si>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</si>
  <si>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</si>
  <si>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</si>
  <si>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</si>
  <si>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</si>
  <si>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</si>
  <si>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</si>
  <si>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</si>
  <si>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</si>
  <si>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</si>
  <si>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</si>
  <si>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</si>
  <si>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</si>
  <si>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</si>
  <si>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</si>
  <si>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</si>
  <si>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</si>
  <si>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</si>
  <si>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</si>
  <si>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</si>
  <si>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</si>
  <si>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</si>
  <si>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</si>
  <si>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</si>
  <si>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</si>
  <si>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</si>
  <si>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</si>
  <si>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</si>
  <si>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</si>
  <si>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</si>
  <si>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</si>
  <si>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</si>
  <si>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</si>
  <si>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</si>
  <si>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</si>
  <si>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</si>
  <si>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</si>
  <si>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</si>
  <si>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</si>
  <si>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</si>
  <si>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</si>
  <si>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</si>
  <si>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</si>
  <si>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</si>
  <si>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</si>
  <si>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</si>
  <si>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</si>
  <si>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</si>
  <si>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</si>
  <si>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</si>
  <si>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</si>
  <si>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</si>
  <si>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</si>
  <si>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</si>
  <si>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</si>
  <si>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</si>
  <si>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</si>
  <si>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</si>
  <si>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</si>
  <si>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</si>
  <si>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</si>
  <si>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</si>
  <si>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</si>
  <si>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</si>
  <si>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</si>
  <si>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</si>
  <si>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</si>
  <si>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</si>
  <si>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</si>
  <si>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</si>
  <si>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</si>
  <si>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</si>
  <si>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</si>
  <si>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</si>
  <si>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</si>
  <si>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</si>
  <si>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</si>
  <si>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</si>
  <si>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</si>
  <si>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</si>
  <si>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</si>
  <si>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</si>
  <si>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</si>
  <si>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</si>
  <si>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</si>
  <si>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</si>
  <si>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</si>
  <si>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</si>
  <si>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</si>
  <si>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</si>
  <si>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</si>
  <si>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</si>
  <si>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</si>
  <si>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</si>
  <si>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</si>
  <si>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</si>
  <si>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</si>
  <si>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</si>
  <si>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</si>
  <si>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</si>
  <si>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</si>
  <si>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</si>
  <si>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</si>
  <si>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</si>
  <si>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</si>
  <si>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</si>
  <si>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</si>
  <si>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</si>
  <si>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</si>
  <si>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</si>
  <si>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</si>
  <si>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</si>
  <si>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</si>
  <si>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</si>
  <si>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</si>
  <si>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</si>
  <si>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</si>
  <si>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</si>
  <si>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</si>
  <si>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</si>
  <si>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</si>
  <si>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</si>
  <si>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</si>
  <si>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</si>
  <si>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</si>
  <si>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</si>
  <si>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</si>
  <si>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</si>
  <si>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</si>
  <si>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</si>
  <si>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</si>
  <si>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</si>
  <si>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</si>
  <si>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</si>
  <si>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</si>
  <si>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</si>
  <si>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</si>
  <si>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</si>
  <si>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</si>
  <si>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</si>
  <si>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</si>
  <si>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</si>
  <si>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</si>
  <si>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</si>
  <si>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</si>
  <si>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</si>
  <si>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</si>
  <si>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</si>
  <si>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</si>
  <si>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</si>
  <si>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</si>
  <si>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</si>
  <si>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</si>
  <si>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</si>
  <si>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</si>
  <si>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</si>
  <si>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</si>
  <si>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</si>
  <si>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</si>
  <si>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</si>
  <si>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</si>
  <si>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</si>
  <si>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</si>
  <si>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</si>
  <si>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</si>
  <si>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</si>
  <si>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</si>
  <si>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</si>
  <si>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</si>
  <si>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</si>
  <si>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</si>
  <si>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</si>
  <si>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</si>
  <si>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</si>
  <si>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</si>
  <si>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</si>
  <si>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</si>
  <si>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</si>
  <si>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</si>
  <si>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</si>
  <si>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</si>
  <si>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</si>
  <si>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</si>
  <si>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</si>
  <si>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</si>
  <si>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</si>
  <si>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</si>
  <si>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</si>
  <si>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</si>
  <si>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</si>
  <si>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</si>
  <si>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</si>
  <si>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</si>
  <si>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</si>
  <si>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</si>
  <si>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</si>
  <si>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</si>
  <si>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</si>
  <si>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</si>
  <si>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</si>
  <si>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</si>
  <si>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</si>
  <si>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</si>
  <si>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</si>
  <si>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</si>
  <si>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</si>
  <si>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</si>
  <si>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</si>
  <si>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</si>
  <si>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</si>
  <si>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</si>
  <si>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</si>
  <si>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</si>
  <si>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</si>
  <si>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</si>
  <si>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</si>
  <si>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</si>
  <si>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</si>
  <si>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</si>
  <si>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</si>
  <si>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</si>
  <si>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</si>
  <si>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</si>
  <si>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</si>
  <si>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</si>
  <si>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</si>
  <si>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</si>
  <si>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</si>
  <si>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</si>
  <si>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</si>
  <si>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</si>
  <si>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</si>
  <si>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</si>
  <si>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</si>
  <si>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</si>
  <si>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</si>
  <si>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</si>
  <si>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</si>
  <si>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</si>
  <si>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</si>
  <si>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</si>
  <si>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</si>
  <si>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</si>
  <si>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</si>
  <si>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</si>
  <si>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</si>
  <si>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</si>
  <si>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</si>
  <si>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</si>
  <si>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</si>
  <si>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</si>
  <si>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</si>
  <si>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</si>
  <si>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</si>
  <si>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</si>
  <si>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</si>
  <si>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</si>
  <si>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</si>
  <si>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</si>
  <si>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</si>
  <si>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</si>
  <si>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</si>
  <si>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</si>
  <si>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</si>
  <si>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</si>
  <si>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</si>
  <si>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</si>
  <si>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</si>
  <si>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</si>
  <si>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</si>
  <si>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</si>
  <si>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</si>
  <si>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</si>
  <si>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</si>
  <si>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</si>
  <si>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</si>
  <si>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</si>
  <si>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</si>
  <si>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</si>
  <si>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</si>
  <si>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</si>
  <si>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</si>
  <si>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</si>
  <si>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</si>
  <si>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</si>
  <si>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</si>
  <si>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</si>
  <si>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</si>
  <si>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</si>
  <si>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</si>
  <si>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</si>
  <si>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</si>
  <si>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</si>
  <si>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</si>
  <si>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</si>
  <si>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</si>
  <si>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</si>
  <si>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</si>
  <si>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</si>
  <si>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</si>
  <si>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</si>
  <si>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</si>
  <si>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</si>
  <si>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</si>
  <si>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</si>
  <si>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</si>
  <si>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</si>
  <si>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</si>
  <si>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</si>
  <si>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</si>
  <si>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</si>
  <si>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</si>
  <si>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</si>
  <si>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</si>
  <si>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</si>
  <si>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</si>
  <si>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</si>
  <si>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</si>
  <si>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</si>
  <si>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</si>
  <si>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</si>
  <si>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</si>
  <si>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</si>
  <si>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</si>
  <si>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</si>
  <si>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</si>
  <si>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</si>
  <si>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</si>
  <si>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</si>
  <si>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</si>
  <si>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</si>
  <si>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</si>
  <si>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</si>
  <si>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</si>
  <si>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</si>
  <si>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</si>
  <si>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</si>
  <si>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</si>
  <si>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</si>
  <si>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</si>
  <si>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</si>
  <si>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</si>
  <si>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</si>
  <si>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</si>
  <si>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</si>
  <si>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</si>
  <si>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</si>
  <si>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</si>
  <si>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</si>
  <si>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</si>
  <si>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</si>
  <si>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</si>
  <si>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</si>
  <si>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</si>
  <si>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</si>
  <si>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</si>
  <si>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</si>
  <si>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</si>
  <si>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</si>
  <si>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</si>
  <si>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</si>
  <si>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</si>
  <si>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</si>
  <si>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</si>
  <si>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</si>
  <si>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</si>
  <si>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</si>
  <si>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</si>
  <si>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</si>
  <si>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</si>
  <si>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</si>
  <si>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</si>
  <si>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</si>
  <si>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</si>
  <si>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</si>
  <si>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</si>
  <si>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</si>
  <si>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</si>
  <si>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</si>
  <si>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</si>
  <si>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</si>
  <si>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</si>
  <si>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</si>
  <si>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</si>
  <si>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</si>
  <si>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</si>
  <si>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</si>
  <si>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</si>
  <si>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</si>
  <si>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</si>
  <si>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</si>
  <si>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</si>
  <si>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</si>
  <si>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</si>
  <si>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</si>
  <si>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</si>
  <si>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</si>
  <si>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</si>
  <si>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</si>
  <si>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</si>
  <si>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</si>
  <si>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</si>
  <si>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</si>
  <si>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</si>
  <si>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</si>
  <si>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</si>
  <si>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</si>
  <si>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</si>
  <si>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</si>
  <si>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</si>
  <si>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</si>
  <si>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</si>
  <si>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</si>
  <si>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</si>
  <si>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</si>
  <si>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</si>
  <si>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</si>
  <si>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</si>
  <si>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</si>
  <si>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</si>
  <si>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</si>
  <si>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</si>
  <si>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</si>
  <si>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</si>
  <si>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</si>
  <si>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</si>
  <si>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</si>
  <si>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</si>
  <si>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</si>
  <si>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</si>
  <si>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</si>
  <si>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</si>
  <si>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</si>
  <si>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</si>
  <si>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</si>
  <si>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</si>
  <si>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</si>
  <si>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</si>
  <si>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</si>
  <si>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</si>
  <si>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</si>
  <si>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</si>
  <si>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</si>
  <si>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</si>
  <si>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</si>
  <si>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</si>
  <si>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</si>
  <si>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</si>
  <si>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</si>
  <si>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</si>
  <si>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</si>
  <si>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</si>
  <si>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</si>
  <si>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</si>
  <si>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</si>
  <si>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</si>
  <si>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</si>
  <si>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</si>
  <si>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</si>
  <si>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</si>
  <si>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</si>
  <si>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</si>
  <si>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</si>
  <si>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</si>
  <si>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</si>
  <si>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</si>
  <si>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</si>
  <si>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</si>
  <si>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</si>
  <si>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</si>
  <si>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</si>
  <si>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</si>
  <si>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</si>
  <si>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</si>
  <si>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</si>
  <si>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</si>
  <si>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</si>
  <si>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</si>
  <si>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</si>
  <si>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</si>
  <si>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</si>
  <si>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</si>
  <si>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</si>
  <si>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</si>
  <si>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</si>
  <si>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</si>
  <si>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</si>
  <si>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</si>
  <si>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</si>
  <si>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</si>
  <si>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</si>
  <si>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</si>
  <si>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</si>
  <si>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</si>
  <si>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</si>
  <si>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</si>
  <si>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</si>
  <si>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</si>
  <si>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</si>
  <si>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</si>
  <si>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</si>
  <si>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</si>
  <si>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</si>
  <si>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</si>
  <si>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</si>
  <si>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</si>
  <si>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</si>
  <si>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</si>
  <si>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</si>
  <si>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</si>
  <si>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</si>
  <si>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</si>
  <si>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</si>
  <si>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</si>
  <si>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</si>
  <si>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</si>
  <si>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</si>
  <si>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</si>
  <si>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</si>
  <si>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</si>
  <si>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</si>
  <si>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</si>
  <si>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</si>
  <si>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</si>
  <si>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</si>
  <si>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</si>
  <si>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</si>
  <si>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</si>
  <si>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</si>
  <si>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</si>
  <si>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</si>
  <si>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</si>
  <si>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</si>
  <si>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</si>
  <si>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</si>
  <si>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</si>
  <si>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</si>
  <si>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</si>
  <si>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</si>
  <si>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</si>
  <si>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</si>
  <si>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</si>
  <si>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</si>
  <si>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</si>
  <si>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</si>
  <si>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</si>
  <si>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</si>
  <si>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</si>
  <si>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</si>
  <si>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</si>
  <si>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</si>
  <si>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</si>
  <si>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</si>
  <si>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</si>
  <si>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</si>
  <si>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</si>
  <si>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</si>
  <si>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</si>
  <si>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</si>
  <si>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</si>
  <si>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</si>
  <si>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</si>
  <si>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</si>
  <si>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</si>
  <si>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</si>
  <si>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</si>
  <si>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</si>
  <si>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</si>
  <si>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</si>
  <si>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</si>
  <si>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</si>
  <si>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</si>
  <si>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</si>
  <si>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</si>
  <si>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</si>
  <si>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</si>
  <si>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</si>
  <si>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</si>
  <si>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</si>
  <si>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</si>
  <si>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</si>
  <si>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</si>
  <si>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</si>
  <si>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</si>
  <si>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</si>
  <si>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</si>
  <si>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</si>
  <si>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</si>
  <si>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</si>
  <si>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</si>
  <si>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</si>
  <si>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</si>
  <si>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</si>
  <si>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</si>
  <si>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</si>
  <si>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</si>
  <si>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</si>
  <si>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</si>
  <si>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</si>
  <si>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</si>
  <si>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</si>
  <si>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</si>
  <si>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</si>
  <si>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</si>
  <si>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</si>
  <si>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</si>
  <si>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</si>
  <si>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</si>
  <si>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</si>
  <si>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</si>
  <si>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</si>
  <si>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</si>
  <si>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</si>
  <si>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</si>
  <si>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</si>
  <si>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</si>
  <si>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</si>
  <si>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</si>
  <si>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</si>
  <si>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</si>
  <si>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</si>
  <si>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</si>
  <si>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</si>
  <si>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</si>
  <si>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</si>
  <si>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</si>
  <si>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</si>
  <si>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</si>
  <si>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</si>
  <si>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</si>
  <si>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</si>
  <si>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</si>
  <si>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</si>
  <si>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</si>
  <si>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</si>
  <si>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</si>
  <si>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</si>
  <si>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</si>
  <si>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</si>
  <si>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</si>
  <si>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</si>
  <si>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</si>
  <si>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</si>
  <si>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</si>
  <si>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</si>
  <si>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</si>
  <si>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</si>
  <si>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</si>
  <si>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</si>
  <si>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</si>
  <si>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</si>
  <si>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</si>
  <si>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</si>
  <si>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</si>
  <si>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</si>
  <si>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</si>
  <si>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</si>
  <si>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</si>
  <si>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</si>
  <si>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</si>
  <si>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</si>
  <si>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</si>
  <si>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</si>
  <si>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</si>
  <si>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</si>
  <si>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</si>
  <si>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</si>
  <si>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</si>
  <si>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</si>
  <si>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</si>
  <si>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</si>
  <si>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</si>
  <si>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</si>
  <si>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</si>
  <si>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</si>
  <si>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</si>
  <si>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</si>
  <si>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</si>
  <si>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</si>
  <si>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</si>
  <si>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</si>
  <si>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</si>
  <si>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</si>
  <si>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</si>
  <si>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</si>
  <si>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</si>
  <si>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</si>
  <si>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</si>
  <si>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</si>
  <si>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</si>
  <si>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</si>
  <si>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</si>
  <si>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</si>
  <si>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</si>
  <si>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</si>
  <si>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</si>
  <si>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</si>
  <si>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</si>
  <si>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</si>
  <si>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</si>
  <si>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</si>
  <si>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</si>
  <si>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</si>
  <si>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</si>
  <si>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</si>
  <si>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</si>
  <si>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</si>
  <si>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</si>
  <si>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</si>
  <si>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</si>
  <si>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</si>
  <si>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</si>
  <si>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</si>
  <si>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</si>
  <si>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</si>
  <si>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</si>
  <si>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</si>
  <si>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</si>
  <si>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</si>
  <si>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</si>
  <si>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</si>
  <si>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</si>
  <si>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</si>
  <si>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</si>
  <si>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</si>
  <si>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</si>
  <si>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</si>
  <si>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</si>
  <si>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</si>
  <si>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</si>
  <si>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</si>
  <si>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</si>
  <si>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</si>
  <si>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</si>
  <si>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</si>
  <si>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</si>
  <si>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</si>
  <si>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</si>
  <si>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</si>
  <si>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</si>
  <si>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</si>
  <si>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</si>
  <si>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</si>
  <si>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</si>
  <si>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</si>
  <si>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</si>
  <si>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</si>
  <si>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</si>
  <si>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</si>
  <si>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</si>
  <si>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</si>
  <si>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</si>
  <si>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</si>
  <si>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</si>
  <si>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</si>
  <si>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</si>
  <si>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</si>
  <si>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</si>
  <si>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</si>
  <si>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</si>
  <si>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</si>
  <si>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</si>
  <si>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</si>
  <si>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</si>
  <si>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</si>
  <si>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</si>
  <si>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</si>
  <si>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</si>
  <si>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</si>
  <si>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</si>
  <si>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</si>
  <si>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</si>
  <si>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</si>
  <si>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</si>
  <si>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</si>
  <si>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</si>
  <si>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</si>
  <si>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</si>
  <si>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</si>
  <si>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</si>
  <si>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</si>
  <si>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</si>
  <si>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</si>
  <si>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</si>
  <si>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</si>
  <si>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</si>
  <si>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</si>
  <si>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</si>
  <si>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</si>
  <si>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</si>
  <si>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</si>
  <si>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</si>
  <si>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</si>
  <si>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</si>
  <si>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</si>
  <si>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</si>
  <si>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</si>
  <si>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</si>
  <si>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</si>
  <si>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</si>
  <si>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</si>
  <si>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</si>
  <si>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</si>
  <si>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</si>
  <si>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</si>
  <si>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</si>
  <si>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</si>
  <si>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</si>
  <si>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</si>
  <si>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</si>
  <si>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</si>
  <si>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</si>
  <si>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</si>
  <si>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</si>
  <si>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</si>
  <si>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</si>
  <si>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</si>
  <si>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</si>
  <si>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</si>
  <si>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</si>
  <si>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</si>
  <si>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</si>
  <si>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</si>
  <si>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</si>
  <si>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</si>
  <si>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</si>
  <si>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</si>
  <si>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</si>
  <si>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</si>
  <si>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</si>
  <si>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</si>
  <si>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</si>
  <si>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</si>
  <si>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</si>
  <si>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</si>
  <si>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</si>
  <si>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</si>
  <si>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</si>
  <si>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</si>
  <si>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</si>
  <si>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</si>
  <si>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</si>
  <si>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</si>
  <si>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</si>
  <si>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</si>
  <si>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</si>
  <si>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</si>
  <si>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</si>
  <si>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</si>
  <si>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</si>
  <si>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</si>
  <si>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</si>
  <si>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</si>
  <si>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</si>
  <si>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</si>
  <si>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</si>
  <si>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</si>
  <si>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</si>
  <si>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</si>
  <si>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</si>
  <si>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</si>
  <si>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</si>
  <si>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</si>
  <si>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</si>
  <si>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</si>
  <si>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</si>
  <si>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</si>
  <si>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</si>
  <si>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</si>
  <si>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</si>
  <si>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</si>
  <si>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</si>
  <si>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</si>
  <si>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</si>
  <si>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</si>
  <si>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</si>
  <si>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</si>
  <si>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</si>
  <si>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</si>
  <si>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</si>
  <si>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</si>
  <si>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</si>
  <si>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</si>
  <si>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</si>
  <si>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</si>
  <si>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</si>
  <si>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</si>
  <si>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</si>
  <si>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</si>
  <si>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</si>
  <si>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</si>
  <si>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</si>
  <si>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</si>
  <si>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</si>
  <si>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</si>
  <si>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</si>
  <si>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</si>
  <si>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</si>
  <si>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</si>
  <si>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</si>
  <si>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</si>
  <si>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</si>
  <si>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</si>
  <si>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</si>
  <si>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</si>
  <si>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</si>
  <si>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</si>
  <si>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</si>
  <si>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</si>
  <si>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</si>
  <si>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</si>
  <si>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</si>
  <si>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</si>
  <si>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</si>
  <si>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</si>
  <si>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</si>
  <si>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</si>
  <si>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</si>
  <si>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</si>
  <si>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</si>
  <si>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</si>
  <si>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</si>
  <si>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</si>
  <si>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</si>
  <si>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</si>
  <si>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</si>
  <si>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</si>
  <si>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</si>
  <si>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</si>
  <si>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</si>
  <si>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</si>
  <si>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</si>
  <si>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</si>
  <si>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</si>
  <si>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</si>
  <si>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</si>
  <si>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</si>
  <si>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</si>
  <si>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</si>
  <si>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</si>
  <si>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</si>
  <si>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</si>
  <si>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</si>
  <si>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</si>
  <si>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</si>
  <si>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</si>
  <si>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</si>
  <si>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</si>
  <si>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</si>
  <si>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</si>
  <si>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</si>
  <si>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</si>
  <si>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</si>
  <si>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</si>
  <si>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</si>
  <si>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</si>
  <si>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</si>
  <si>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</si>
  <si>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</si>
  <si>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</si>
  <si>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</si>
  <si>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</si>
  <si>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</si>
  <si>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</si>
  <si>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</si>
  <si>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</si>
  <si>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</si>
  <si>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</si>
  <si>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</si>
  <si>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</si>
  <si>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</si>
  <si>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</si>
  <si>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</si>
  <si>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</si>
  <si>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</si>
  <si>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</si>
  <si>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</si>
  <si>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</si>
  <si>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</si>
  <si>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</si>
  <si>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</si>
  <si>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</si>
  <si>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</si>
  <si>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</si>
  <si>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</si>
  <si>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</si>
  <si>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</si>
  <si>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</si>
  <si>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</si>
  <si>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</si>
  <si>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</si>
  <si>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</si>
  <si>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</si>
  <si>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</si>
  <si>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</si>
  <si>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</si>
  <si>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</si>
  <si>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</si>
  <si>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</si>
  <si>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</si>
  <si>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</si>
  <si>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</si>
  <si>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</si>
  <si>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</si>
  <si>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</si>
  <si>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</si>
  <si>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</si>
  <si>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</si>
  <si>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</si>
  <si>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</si>
  <si>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</si>
  <si>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</si>
  <si>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</si>
  <si>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</si>
  <si>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</si>
  <si>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</si>
  <si>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</si>
  <si>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</si>
  <si>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</si>
  <si>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</si>
  <si>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</si>
  <si>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</si>
  <si>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</si>
  <si>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</si>
  <si>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</si>
  <si>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</si>
  <si>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</si>
  <si>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</si>
  <si>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</si>
  <si>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</si>
  <si>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</si>
  <si>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</si>
  <si>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</si>
  <si>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</si>
  <si>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</si>
  <si>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</si>
  <si>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</si>
  <si>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</si>
  <si>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</si>
  <si>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</si>
  <si>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</si>
  <si>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</si>
  <si>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</si>
  <si>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</si>
  <si>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</si>
  <si>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</si>
  <si>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</si>
  <si>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</si>
  <si>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</si>
  <si>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</si>
  <si>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</si>
  <si>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</si>
  <si>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</si>
  <si>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</si>
  <si>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</si>
  <si>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</si>
  <si>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</si>
  <si>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</si>
  <si>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</si>
  <si>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</si>
  <si>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</si>
  <si>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</si>
  <si>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</si>
  <si>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</si>
  <si>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</si>
  <si>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</si>
  <si>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</si>
  <si>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</si>
  <si>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</si>
  <si>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</si>
  <si>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</si>
  <si>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</si>
  <si>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</si>
  <si>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</si>
  <si>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</si>
  <si>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</si>
  <si>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</si>
  <si>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</si>
  <si>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</si>
  <si>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</si>
  <si>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</si>
  <si>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</si>
  <si>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</si>
  <si>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</si>
  <si>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</si>
  <si>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</si>
  <si>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</si>
  <si>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</si>
  <si>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</si>
  <si>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</si>
  <si>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</si>
  <si>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</si>
  <si>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</si>
  <si>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</si>
  <si>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</si>
  <si>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</si>
  <si>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</si>
  <si>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</si>
  <si>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</si>
  <si>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</si>
  <si>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</si>
  <si>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</si>
  <si>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</si>
  <si>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</si>
  <si>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</si>
  <si>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</si>
  <si>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</si>
  <si>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</si>
  <si>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</si>
  <si>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</si>
  <si>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</si>
  <si>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</si>
  <si>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</si>
  <si>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</si>
  <si>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</si>
  <si>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</si>
  <si>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</si>
  <si>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</si>
  <si>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</si>
  <si>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</si>
  <si>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</si>
  <si>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</si>
  <si>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</si>
  <si>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</si>
  <si>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</si>
  <si>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</si>
  <si>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</si>
  <si>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</si>
  <si>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</si>
  <si>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</si>
  <si>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</si>
  <si>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</si>
  <si>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</si>
  <si>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</si>
  <si>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</si>
  <si>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</si>
  <si>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</si>
  <si>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</si>
  <si>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</si>
  <si>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</si>
  <si>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</si>
  <si>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</si>
  <si>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</si>
  <si>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</si>
  <si>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</si>
  <si>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</si>
  <si>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</si>
  <si>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</si>
  <si>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</si>
  <si>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</si>
  <si>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</si>
  <si>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</si>
  <si>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</si>
  <si>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</si>
  <si>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</si>
  <si>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</si>
  <si>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</si>
  <si>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</si>
  <si>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</si>
  <si>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</si>
  <si>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</si>
  <si>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</si>
  <si>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</si>
  <si>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</si>
  <si>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</si>
  <si>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</si>
  <si>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</si>
  <si>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</si>
  <si>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</si>
  <si>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</si>
  <si>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</si>
  <si>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</si>
  <si>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</si>
  <si>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</si>
  <si>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</si>
  <si>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</si>
  <si>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</si>
  <si>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</si>
  <si>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</si>
  <si>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</si>
  <si>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</si>
  <si>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</si>
  <si>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</si>
  <si>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</si>
  <si>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</si>
  <si>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</si>
  <si>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</si>
  <si>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</si>
  <si>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</si>
  <si>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</si>
  <si>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</si>
  <si>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</si>
  <si>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</si>
  <si>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</si>
  <si>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</si>
  <si>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</si>
  <si>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</si>
  <si>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</si>
  <si>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</si>
  <si>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</si>
  <si>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</si>
  <si>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</si>
  <si>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</si>
  <si>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</si>
  <si>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</si>
  <si>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</si>
  <si>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</si>
  <si>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</si>
  <si>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</si>
  <si>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</si>
  <si>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</si>
  <si>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</si>
  <si>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</si>
  <si>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</si>
  <si>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</si>
  <si>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</si>
  <si>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</si>
  <si>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</si>
  <si>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</si>
  <si>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</si>
  <si>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</si>
  <si>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</si>
  <si>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</si>
  <si>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</si>
  <si>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</si>
  <si>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</si>
  <si>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</si>
  <si>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</si>
  <si>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</si>
  <si>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</si>
  <si>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</si>
  <si>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</si>
  <si>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</si>
  <si>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</si>
  <si>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</si>
  <si>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</si>
  <si>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</si>
  <si>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</si>
  <si>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</si>
  <si>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</si>
  <si>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</si>
  <si>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</si>
  <si>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</si>
  <si>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</si>
  <si>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</si>
  <si>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</si>
  <si>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</si>
  <si>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</si>
  <si>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</si>
  <si>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</si>
  <si>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</si>
  <si>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</si>
  <si>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</si>
  <si>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</si>
  <si>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</si>
  <si>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</si>
  <si>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</si>
  <si>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</si>
  <si>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</si>
  <si>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</si>
  <si>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</si>
  <si>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</si>
  <si>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</si>
  <si>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</si>
  <si>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</si>
  <si>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</si>
  <si>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</si>
  <si>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</si>
  <si>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</si>
  <si>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</si>
  <si>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</si>
  <si>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</si>
  <si>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</si>
  <si>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</si>
  <si>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</si>
  <si>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</si>
  <si>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</si>
  <si>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</si>
  <si>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</si>
  <si>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</si>
  <si>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</si>
  <si>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</si>
  <si>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</si>
  <si>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</si>
  <si>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</si>
  <si>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</si>
  <si>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</si>
  <si>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</si>
  <si>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</si>
  <si>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</si>
  <si>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</si>
  <si>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</si>
  <si>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</si>
  <si>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</si>
  <si>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</si>
  <si>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</si>
  <si>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</si>
  <si>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</si>
  <si>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</si>
  <si>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</si>
  <si>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</si>
  <si>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</si>
  <si>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</si>
  <si>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</si>
  <si>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</si>
  <si>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</si>
  <si>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</si>
  <si>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</si>
  <si>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</si>
  <si>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</si>
  <si>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</si>
  <si>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</si>
  <si>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</si>
  <si>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</si>
  <si>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</si>
  <si>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</si>
  <si>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</si>
  <si>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</si>
  <si>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</si>
  <si>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</si>
  <si>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</si>
  <si>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</si>
  <si>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</si>
  <si>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</si>
  <si>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</si>
  <si>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</si>
  <si>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</si>
  <si>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</si>
  <si>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</si>
  <si>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</si>
  <si>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</si>
  <si>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</si>
  <si>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</si>
  <si>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</si>
  <si>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</si>
  <si>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</si>
  <si>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</si>
  <si>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</si>
  <si>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</si>
  <si>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</si>
  <si>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</si>
  <si>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</si>
  <si>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</si>
  <si>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</si>
  <si>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</si>
  <si>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</si>
  <si>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</si>
  <si>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</si>
  <si>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</si>
  <si>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</si>
  <si>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</si>
  <si>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</si>
  <si>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</si>
  <si>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</si>
  <si>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</si>
  <si>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</si>
  <si>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</si>
  <si>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</si>
  <si>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</si>
  <si>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</si>
  <si>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</si>
  <si>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</si>
  <si>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</si>
  <si>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</si>
  <si>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</si>
  <si>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</si>
  <si>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</si>
  <si>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</si>
  <si>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</si>
  <si>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</si>
  <si>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</si>
  <si>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</si>
  <si>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</si>
  <si>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</si>
  <si>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</si>
  <si>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</si>
  <si>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</si>
  <si>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</si>
  <si>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</si>
  <si>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</si>
  <si>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</si>
  <si>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</si>
  <si>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</si>
  <si>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</si>
  <si>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</si>
  <si>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</si>
  <si>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</si>
  <si>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</si>
  <si>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</si>
  <si>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</si>
  <si>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</si>
  <si>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</si>
  <si>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</si>
  <si>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</si>
  <si>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</si>
  <si>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</si>
  <si>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</si>
  <si>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</si>
  <si>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</si>
  <si>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</si>
  <si>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</si>
  <si>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</si>
  <si>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</si>
  <si>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</si>
  <si>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</si>
  <si>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</si>
  <si>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</si>
  <si>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</si>
  <si>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</si>
  <si>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</si>
  <si>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</si>
  <si>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</si>
  <si>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</si>
  <si>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</si>
  <si>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</si>
  <si>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</si>
  <si>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</si>
  <si>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</si>
  <si>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</si>
  <si>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</si>
  <si>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</si>
  <si>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</si>
  <si>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</si>
  <si>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</si>
  <si>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</si>
  <si>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</si>
  <si>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</si>
  <si>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</si>
  <si>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</si>
  <si>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</si>
  <si>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</si>
  <si>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</si>
  <si>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</si>
  <si>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</si>
  <si>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</si>
  <si>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</si>
  <si>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</si>
  <si>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</si>
  <si>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</si>
  <si>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</si>
  <si>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</si>
  <si>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</si>
  <si>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</si>
  <si>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</si>
  <si>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</si>
  <si>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</si>
  <si>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</si>
  <si>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</si>
  <si>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</si>
  <si>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</si>
  <si>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</si>
  <si>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</si>
  <si>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</si>
  <si>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</si>
  <si>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</si>
  <si>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</si>
  <si>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</si>
  <si>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</si>
  <si>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</si>
  <si>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</si>
  <si>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</si>
  <si>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</si>
  <si>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</si>
  <si>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</si>
  <si>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</si>
  <si>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</si>
  <si>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</si>
  <si>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</si>
  <si>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</si>
  <si>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</si>
  <si>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</si>
  <si>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</si>
  <si>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</si>
  <si>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</si>
  <si>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</si>
  <si>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</si>
  <si>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</si>
  <si>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</si>
  <si>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</si>
  <si>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</si>
  <si>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</si>
  <si>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</si>
  <si>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</si>
  <si>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</si>
  <si>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</si>
  <si>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</si>
  <si>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</si>
  <si>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</si>
  <si>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</si>
  <si>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</si>
  <si>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</si>
  <si>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</si>
  <si>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</si>
  <si>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</si>
  <si>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</si>
  <si>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</si>
  <si>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</si>
  <si>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</si>
  <si>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</si>
  <si>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</si>
  <si>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</si>
  <si>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</si>
  <si>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</si>
  <si>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</si>
  <si>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</si>
  <si>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</si>
  <si>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</si>
  <si>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</si>
  <si>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</si>
  <si>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</si>
  <si>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</si>
  <si>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</si>
  <si>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</si>
  <si>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</si>
  <si>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</si>
  <si>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</si>
  <si>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</si>
  <si>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</si>
  <si>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</si>
  <si>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</si>
  <si>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</si>
  <si>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</si>
  <si>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</si>
  <si>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</si>
  <si>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</si>
  <si>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</si>
  <si>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</si>
  <si>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</si>
  <si>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</si>
  <si>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</si>
  <si>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</si>
  <si>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</si>
  <si>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</si>
  <si>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</si>
  <si>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</si>
  <si>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</si>
  <si>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</si>
  <si>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</si>
  <si>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</si>
  <si>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</si>
  <si>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</si>
  <si>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</si>
  <si>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</si>
  <si>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</si>
  <si>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</si>
  <si>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</si>
  <si>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</si>
  <si>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</si>
  <si>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</si>
  <si>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</si>
  <si>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</si>
  <si>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</si>
  <si>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</si>
  <si>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</si>
  <si>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</si>
  <si>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</si>
  <si>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</si>
  <si>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</si>
  <si>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</si>
  <si>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</si>
  <si>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</si>
  <si>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</si>
  <si>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</si>
  <si>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</si>
  <si>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</si>
  <si>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</si>
  <si>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</si>
  <si>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</si>
  <si>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</si>
  <si>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</si>
  <si>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</si>
  <si>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</si>
  <si>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</si>
  <si>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</si>
  <si>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</si>
  <si>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</si>
  <si>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</si>
  <si>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</si>
  <si>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</si>
  <si>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</si>
  <si>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</si>
  <si>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</si>
  <si>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</si>
  <si>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</si>
  <si>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</si>
  <si>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</si>
  <si>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</si>
  <si>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</si>
  <si>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</si>
  <si>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</si>
  <si>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</si>
  <si>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</si>
  <si>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</si>
  <si>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</si>
  <si>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</si>
  <si>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</si>
  <si>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</si>
  <si>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</si>
  <si>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</si>
  <si>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</si>
  <si>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</si>
  <si>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</si>
  <si>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</si>
  <si>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</si>
  <si>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</si>
  <si>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</si>
  <si>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</si>
  <si>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</si>
  <si>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</si>
  <si>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</si>
  <si>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</si>
  <si>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</si>
  <si>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</si>
  <si>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</si>
  <si>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</si>
  <si>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</si>
  <si>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</si>
  <si>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</si>
  <si>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</si>
  <si>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</si>
  <si>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</si>
  <si>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</si>
  <si>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</si>
  <si>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</si>
  <si>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</si>
  <si>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</si>
  <si>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</si>
  <si>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</si>
  <si>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</si>
  <si>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</si>
  <si>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</si>
  <si>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</si>
  <si>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</si>
  <si>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</si>
  <si>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</si>
  <si>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</si>
  <si>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</si>
  <si>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</si>
  <si>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</si>
  <si>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</si>
  <si>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</si>
  <si>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</si>
  <si>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</si>
  <si>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</si>
  <si>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</si>
  <si>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</si>
  <si>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</si>
  <si>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</si>
  <si>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</si>
  <si>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</si>
  <si>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</si>
  <si>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</si>
  <si>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</si>
  <si>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</si>
  <si>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</si>
  <si>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</si>
  <si>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</si>
  <si>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</si>
  <si>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</si>
  <si>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</si>
  <si>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</si>
  <si>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</si>
  <si>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</si>
  <si>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</si>
  <si>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</si>
  <si>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</si>
  <si>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</si>
  <si>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</si>
  <si>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</si>
  <si>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</si>
  <si>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</si>
  <si>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</si>
  <si>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</si>
  <si>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</si>
  <si>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</si>
  <si>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</si>
  <si>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</si>
  <si>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</si>
  <si>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</si>
  <si>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</si>
  <si>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</si>
  <si>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</si>
  <si>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</si>
  <si>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</si>
  <si>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</si>
  <si>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</si>
  <si>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</si>
  <si>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</si>
  <si>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</si>
  <si>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</si>
  <si>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</si>
  <si>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</si>
  <si>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</si>
  <si>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</si>
  <si>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</si>
  <si>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</si>
  <si>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</si>
  <si>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</si>
  <si>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</si>
  <si>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</si>
  <si>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</si>
  <si>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</si>
  <si>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</si>
  <si>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</si>
  <si>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</si>
  <si>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</si>
  <si>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</si>
  <si>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</si>
  <si>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</si>
  <si>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</si>
  <si>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</si>
  <si>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</si>
  <si>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</si>
  <si>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</si>
  <si>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</si>
  <si>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</si>
  <si>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</si>
  <si>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</si>
  <si>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</si>
  <si>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</si>
  <si>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</si>
  <si>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</si>
  <si>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</si>
  <si>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</si>
  <si>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</si>
  <si>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</si>
  <si>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</si>
  <si>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</si>
  <si>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</si>
  <si>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</si>
  <si>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</si>
  <si>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</si>
  <si>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</si>
  <si>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</si>
  <si>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</si>
  <si>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</si>
  <si>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</si>
  <si>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</si>
  <si>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</si>
  <si>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</si>
  <si>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</si>
  <si>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</si>
  <si>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</si>
  <si>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</si>
  <si>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</si>
  <si>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</si>
  <si>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</si>
  <si>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</si>
  <si>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</si>
  <si>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</si>
  <si>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</si>
  <si>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</si>
  <si>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</si>
  <si>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</si>
  <si>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</si>
  <si>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</si>
  <si>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</si>
  <si>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</si>
  <si>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</si>
  <si>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</si>
  <si>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</si>
  <si>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</si>
  <si>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</si>
  <si>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</si>
  <si>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</si>
  <si>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</si>
  <si>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</si>
  <si>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</si>
  <si>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</si>
  <si>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</si>
  <si>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</si>
  <si>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</si>
  <si>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</si>
  <si>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</si>
  <si>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</si>
  <si>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</si>
  <si>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</si>
  <si>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</si>
  <si>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</si>
  <si>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</si>
  <si>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</si>
  <si>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</si>
  <si>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</si>
  <si>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</si>
  <si>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</si>
  <si>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</si>
  <si>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</si>
  <si>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</si>
  <si>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</si>
  <si>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</si>
  <si>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</si>
  <si>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</si>
  <si>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</si>
  <si>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</si>
  <si>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</si>
  <si>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</si>
  <si>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</si>
  <si>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</si>
  <si>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</si>
  <si>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</si>
  <si>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</si>
  <si>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</si>
  <si>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</si>
  <si>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</si>
  <si>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</si>
  <si>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</si>
  <si>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</si>
  <si>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</si>
  <si>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</si>
  <si>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</si>
  <si>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</si>
  <si>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</si>
  <si>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</si>
  <si>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</si>
  <si>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</si>
  <si>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</si>
  <si>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</si>
  <si>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</si>
  <si>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</si>
  <si>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</si>
  <si>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</si>
  <si>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</si>
  <si>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</si>
  <si>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</si>
  <si>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</si>
  <si>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</si>
  <si>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</si>
  <si>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</si>
  <si>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</si>
  <si>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</si>
  <si>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</si>
  <si>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</si>
  <si>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</si>
  <si>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</si>
  <si>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</si>
  <si>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</si>
  <si>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</si>
  <si>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</si>
  <si>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</si>
  <si>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</si>
  <si>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</si>
  <si>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</si>
  <si>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</si>
  <si>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</si>
  <si>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</si>
  <si>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</si>
  <si>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</si>
  <si>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</si>
  <si>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</si>
  <si>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</si>
  <si>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</si>
  <si>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</si>
  <si>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</si>
  <si>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</si>
  <si>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</si>
  <si>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</si>
  <si>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</si>
  <si>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</si>
  <si>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</si>
  <si>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</si>
  <si>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</si>
  <si>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</si>
  <si>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</si>
  <si>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</si>
  <si>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</si>
  <si>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</si>
  <si>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</si>
  <si>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</si>
  <si>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</si>
  <si>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</si>
  <si>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</si>
  <si>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</si>
  <si>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</si>
  <si>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</si>
  <si>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</si>
  <si>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</si>
  <si>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</si>
  <si>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</si>
  <si>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</si>
  <si>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</si>
  <si>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</si>
  <si>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</si>
  <si>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</si>
  <si>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</si>
  <si>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</si>
  <si>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</si>
  <si>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</si>
  <si>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</si>
  <si>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</si>
  <si>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</si>
  <si>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</si>
  <si>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</si>
  <si>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</si>
  <si>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</si>
  <si>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</si>
  <si>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</si>
  <si>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</si>
  <si>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</si>
  <si>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</si>
  <si>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</si>
  <si>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</si>
  <si>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</si>
  <si>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</si>
  <si>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</si>
  <si>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</si>
  <si>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</si>
  <si>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</si>
  <si>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</si>
  <si>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</si>
  <si>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</si>
  <si>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</si>
  <si>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</si>
  <si>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</si>
  <si>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</si>
  <si>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</si>
  <si>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</si>
  <si>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</si>
  <si>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</si>
  <si>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</si>
  <si>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</si>
  <si>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</si>
  <si>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</si>
  <si>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</si>
  <si>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</si>
  <si>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</si>
  <si>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</si>
  <si>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</si>
  <si>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</si>
  <si>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</si>
  <si>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</si>
  <si>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</si>
  <si>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</si>
  <si>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</si>
  <si>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</si>
  <si>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</si>
  <si>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</si>
  <si>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</si>
  <si>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</si>
  <si>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</si>
  <si>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</si>
  <si>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</si>
  <si>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</si>
  <si>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</si>
  <si>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</si>
  <si>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</si>
  <si>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</si>
  <si>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</si>
  <si>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</si>
  <si>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</si>
  <si>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</si>
  <si>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</si>
  <si>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</si>
  <si>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</si>
  <si>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</si>
  <si>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</si>
  <si>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</si>
  <si>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</si>
  <si>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</si>
  <si>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</si>
  <si>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</si>
  <si>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</si>
  <si>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</si>
  <si>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</si>
  <si>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</si>
  <si>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</si>
  <si>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</si>
  <si>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</si>
  <si>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</si>
  <si>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</si>
  <si>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</si>
  <si>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</si>
  <si>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</si>
  <si>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</si>
  <si>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</si>
  <si>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</si>
  <si>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</si>
  <si>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</si>
  <si>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</si>
  <si>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</si>
  <si>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</si>
  <si>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</si>
  <si>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</si>
  <si>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</si>
  <si>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</si>
  <si>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</si>
  <si>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</si>
  <si>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</si>
  <si>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</si>
  <si>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</si>
  <si>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</si>
  <si>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</si>
  <si>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</si>
  <si>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</si>
  <si>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</si>
  <si>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中诚信托有限责任公司</t>
    <phoneticPr fontId="6" type="noConversion"/>
  </si>
  <si>
    <t>抵押</t>
  </si>
  <si>
    <t>房地产抵押价值</t>
  </si>
  <si>
    <t>其他：</t>
  </si>
  <si>
    <t>企业</t>
  </si>
  <si>
    <t>出让</t>
  </si>
  <si>
    <t>《不动产权证书》</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</si>
  <si>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渝（</t>
    </r>
    <r>
      <rPr>
        <sz val="12"/>
        <color theme="9" tint="-0.249977111117893"/>
        <rFont val="Arial"/>
        <family val="2"/>
      </rPr>
      <t>2019</t>
    </r>
    <r>
      <rPr>
        <sz val="12"/>
        <color theme="9" tint="-0.249977111117893"/>
        <rFont val="宋体"/>
        <family val="3"/>
        <charset val="134"/>
      </rPr>
      <t>）江北区不动产权第</t>
    </r>
    <r>
      <rPr>
        <sz val="12"/>
        <color theme="9" tint="-0.249977111117893"/>
        <rFont val="Arial"/>
        <family val="2"/>
      </rPr>
      <t>000107044</t>
    </r>
    <r>
      <rPr>
        <sz val="12"/>
        <color theme="9" tint="-0.249977111117893"/>
        <rFont val="宋体"/>
        <family val="3"/>
        <charset val="134"/>
      </rPr>
      <t>号</t>
    </r>
    <r>
      <rPr>
        <sz val="12"/>
        <color theme="9" tint="-0.249977111117893"/>
        <rFont val="Arial"/>
        <family val="2"/>
      </rPr>
      <t>]</t>
    </r>
    <phoneticPr fontId="6" type="noConversion"/>
  </si>
  <si>
    <t>重庆华诚投资有限公司</t>
    <phoneticPr fontId="6" type="noConversion"/>
  </si>
  <si>
    <r>
      <rPr>
        <sz val="12"/>
        <color theme="9" tint="-0.249977111117893"/>
        <rFont val="宋体"/>
        <family val="3"/>
        <charset val="134"/>
      </rPr>
      <t>重庆市江北区观音桥组团</t>
    </r>
    <r>
      <rPr>
        <sz val="12"/>
        <color theme="9" tint="-0.249977111117893"/>
        <rFont val="Arial"/>
        <family val="2"/>
      </rPr>
      <t>I</t>
    </r>
    <r>
      <rPr>
        <sz val="12"/>
        <color theme="9" tint="-0.249977111117893"/>
        <rFont val="宋体"/>
        <family val="3"/>
        <charset val="134"/>
      </rPr>
      <t>分区</t>
    </r>
    <r>
      <rPr>
        <sz val="12"/>
        <color theme="9" tint="-0.249977111117893"/>
        <rFont val="Arial"/>
        <family val="2"/>
      </rPr>
      <t>I29-3-1/02</t>
    </r>
    <r>
      <rPr>
        <sz val="12"/>
        <color theme="9" tint="-0.249977111117893"/>
        <rFont val="宋体"/>
        <family val="3"/>
        <charset val="134"/>
      </rPr>
      <t>地块“隆鑫中心”综合项目</t>
    </r>
    <phoneticPr fontId="6" type="noConversion"/>
  </si>
  <si>
    <t>住宅</t>
  </si>
  <si>
    <t>住宅</t>
    <phoneticPr fontId="6" type="noConversion"/>
  </si>
  <si>
    <t>通路</t>
  </si>
  <si>
    <t>通电</t>
  </si>
  <si>
    <t>通讯</t>
  </si>
  <si>
    <t>通上水</t>
  </si>
  <si>
    <t>通下水</t>
  </si>
  <si>
    <t>在建</t>
  </si>
  <si>
    <t>综合项目（居住、综合）</t>
  </si>
  <si>
    <t>是</t>
  </si>
  <si>
    <t>郑燚</t>
  </si>
  <si>
    <t>王鹏</t>
  </si>
  <si>
    <t>在建（套用方法）</t>
  </si>
  <si>
    <t>按租金收入计税</t>
  </si>
  <si>
    <t>钢混</t>
  </si>
  <si>
    <t>非生产用房</t>
  </si>
  <si>
    <t>权属证件</t>
    <phoneticPr fontId="143" type="noConversion"/>
  </si>
  <si>
    <t>编号</t>
    <phoneticPr fontId="143" type="noConversion"/>
  </si>
  <si>
    <t>电子监管号：5001052011B00367</t>
    <phoneticPr fontId="143" type="noConversion"/>
  </si>
  <si>
    <t>《关于&lt;国有建设用地使用权出让合同&gt;（渝地（2011）合字（江北）第154号）的修改协议》</t>
    <phoneticPr fontId="143" type="noConversion"/>
  </si>
  <si>
    <t>《不动产权证书》</t>
    <phoneticPr fontId="143" type="noConversion"/>
  </si>
  <si>
    <t>渝（2019）江北区不动产权第000107044号</t>
    <phoneticPr fontId="143" type="noConversion"/>
  </si>
  <si>
    <t>1.使用期限：商业40年2011-8-31至2051-8-30，住宅50年2011-8-31至2061-8-30
2.在建建筑物抵押及违建建筑物分摊的土地抵押</t>
    <phoneticPr fontId="143" type="noConversion"/>
  </si>
  <si>
    <t>《建设用地规划许可证》</t>
    <phoneticPr fontId="143" type="noConversion"/>
  </si>
  <si>
    <t>地字第500105201900004号</t>
    <phoneticPr fontId="143" type="noConversion"/>
  </si>
  <si>
    <t>1.居住计容建筑规模不超过约9.16万平方米、总居住户数不大于324户
2.容积率不得大于9</t>
    <phoneticPr fontId="143" type="noConversion"/>
  </si>
  <si>
    <t>《建设工程规划许可证》</t>
    <phoneticPr fontId="143" type="noConversion"/>
  </si>
  <si>
    <t>1.用途及年限：商务商业40年、居住用地50年（原：商业金融业40年）
2.出让金：14829.5万元（原：13600万元）
3.建筑总面积：226224平方米，其中计容商业商务建设规模134624平方米（T2、T3塔楼及南北商业裙楼），计容住宅建设规模91600平方米（T1塔楼）（原：226224平方米）
4.用途变更需补缴的土地出让金为12295万元</t>
    <phoneticPr fontId="143" type="noConversion"/>
  </si>
  <si>
    <t>居住</t>
    <phoneticPr fontId="143" type="noConversion"/>
  </si>
  <si>
    <t>车库</t>
  </si>
  <si>
    <t>1.规划建筑面积</t>
    <phoneticPr fontId="143" type="noConversion"/>
  </si>
  <si>
    <t>公建</t>
    <phoneticPr fontId="143" type="noConversion"/>
  </si>
  <si>
    <t>配套设施</t>
    <phoneticPr fontId="143" type="noConversion"/>
  </si>
  <si>
    <t>车库</t>
    <phoneticPr fontId="143" type="noConversion"/>
  </si>
  <si>
    <t>设备用房</t>
    <phoneticPr fontId="143" type="noConversion"/>
  </si>
  <si>
    <t>其他（架空层、转换层等）</t>
    <phoneticPr fontId="143" type="noConversion"/>
  </si>
  <si>
    <t>地上</t>
  </si>
  <si>
    <t>地下</t>
  </si>
  <si>
    <t>地上</t>
    <phoneticPr fontId="143" type="noConversion"/>
  </si>
  <si>
    <t>地下</t>
    <phoneticPr fontId="143" type="noConversion"/>
  </si>
  <si>
    <t>总建筑面积</t>
    <phoneticPr fontId="143" type="noConversion"/>
  </si>
  <si>
    <t>总计容</t>
    <phoneticPr fontId="143" type="noConversion"/>
  </si>
  <si>
    <t>室内停车位不小于</t>
    <phoneticPr fontId="143" type="noConversion"/>
  </si>
  <si>
    <t>物管用房</t>
    <phoneticPr fontId="143" type="noConversion"/>
  </si>
  <si>
    <t>公厕</t>
    <phoneticPr fontId="143" type="noConversion"/>
  </si>
  <si>
    <t>垃圾站</t>
    <phoneticPr fontId="143" type="noConversion"/>
  </si>
  <si>
    <t>派出所</t>
    <phoneticPr fontId="143" type="noConversion"/>
  </si>
  <si>
    <t>合计</t>
    <phoneticPr fontId="143" type="noConversion"/>
  </si>
  <si>
    <t>《建筑工程施工许可证》</t>
    <phoneticPr fontId="143" type="noConversion"/>
  </si>
  <si>
    <t>编号：500105201312260201、500105201312250201、500105201312250101、500105201312180101</t>
    <phoneticPr fontId="143" type="noConversion"/>
  </si>
  <si>
    <t>1.T2：建设规模42063平方米，合同价格5526.65万元，建设期3年
2.T3：建设规模43562平方米，合同价格6357.35万元，建设期3年
3.负1、负2及商业裙楼：建设规模91105.98平方米，合同价格10996.85万元，建设期3年
4.负3-负7层：建设规模113422.45平方米，合同价格20957.1万元，建设期3年</t>
    <phoneticPr fontId="143" type="noConversion"/>
  </si>
  <si>
    <t>《商品房预售（预租）许可证》</t>
    <phoneticPr fontId="143" type="noConversion"/>
  </si>
  <si>
    <t>渝国土房管（2014）预字第（708、650）号、渝国土房管（2015）预字第（429）号</t>
    <phoneticPr fontId="143" type="noConversion"/>
  </si>
  <si>
    <t>T2、T3及南北裙楼</t>
    <phoneticPr fontId="143" type="noConversion"/>
  </si>
  <si>
    <t>内容</t>
    <phoneticPr fontId="143" type="noConversion"/>
  </si>
  <si>
    <t>公寓</t>
  </si>
  <si>
    <t xml:space="preserve">《重庆市房产面积预测算报告书（变更）》
</t>
    <phoneticPr fontId="143" type="noConversion"/>
  </si>
  <si>
    <t>《国有建设用地使用权出让合同》及附件</t>
    <phoneticPr fontId="143" type="noConversion"/>
  </si>
  <si>
    <t>编号：XRFC2019091120</t>
    <phoneticPr fontId="143" type="noConversion"/>
  </si>
  <si>
    <t>T1</t>
    <phoneticPr fontId="143" type="noConversion"/>
  </si>
  <si>
    <t>办公（6-54层）</t>
    <phoneticPr fontId="143" type="noConversion"/>
  </si>
  <si>
    <t>避难间</t>
    <phoneticPr fontId="143" type="noConversion"/>
  </si>
  <si>
    <t>T2</t>
    <phoneticPr fontId="143" type="noConversion"/>
  </si>
  <si>
    <t>办公（7-33层）</t>
    <phoneticPr fontId="143" type="noConversion"/>
  </si>
  <si>
    <t>672套</t>
  </si>
  <si>
    <t>第7、23、39层</t>
  </si>
  <si>
    <t>714套</t>
    <phoneticPr fontId="143" type="noConversion"/>
  </si>
  <si>
    <t>第6、18、26层</t>
    <phoneticPr fontId="143" type="noConversion"/>
  </si>
  <si>
    <t>T3</t>
    <phoneticPr fontId="143" type="noConversion"/>
  </si>
  <si>
    <t>办公（6-33层）</t>
    <phoneticPr fontId="143" type="noConversion"/>
  </si>
  <si>
    <t>738套</t>
    <phoneticPr fontId="143" type="noConversion"/>
  </si>
  <si>
    <t>第3、16、26层</t>
    <phoneticPr fontId="143" type="noConversion"/>
  </si>
  <si>
    <t>裙楼</t>
    <phoneticPr fontId="143" type="noConversion"/>
  </si>
  <si>
    <t>商业（1-5层）</t>
    <phoneticPr fontId="143" type="noConversion"/>
  </si>
  <si>
    <t>派出所(1层）</t>
    <phoneticPr fontId="143" type="noConversion"/>
  </si>
  <si>
    <t>电影院（4-5层）</t>
    <phoneticPr fontId="143" type="noConversion"/>
  </si>
  <si>
    <t>非经营性</t>
    <phoneticPr fontId="143" type="noConversion"/>
  </si>
  <si>
    <t>车道、穿梭电梯、电动扶梯、电梯间车库、井、楼梯间、楼梯间车库</t>
    <phoneticPr fontId="143" type="noConversion"/>
  </si>
  <si>
    <t>物管</t>
    <phoneticPr fontId="143" type="noConversion"/>
  </si>
  <si>
    <t>第1-3幢第5-54层</t>
    <phoneticPr fontId="143" type="noConversion"/>
  </si>
  <si>
    <t>住宅</t>
    <phoneticPr fontId="7" type="noConversion"/>
  </si>
  <si>
    <t>公寓</t>
    <phoneticPr fontId="7" type="noConversion"/>
  </si>
  <si>
    <t>商业</t>
    <phoneticPr fontId="7" type="noConversion"/>
  </si>
  <si>
    <t>地下车库</t>
    <phoneticPr fontId="7" type="noConversion"/>
  </si>
  <si>
    <t>省会市名称</t>
  </si>
  <si>
    <t>建筑型式</t>
  </si>
  <si>
    <t>多层</t>
  </si>
  <si>
    <t>小高层</t>
  </si>
  <si>
    <t>高层</t>
  </si>
  <si>
    <r>
      <rPr>
        <sz val="10"/>
        <rFont val="宋体"/>
        <family val="3"/>
        <charset val="134"/>
      </rPr>
      <t>重庆</t>
    </r>
  </si>
  <si>
    <t>1540</t>
  </si>
  <si>
    <t xml:space="preserve"> </t>
    <phoneticPr fontId="3" type="noConversion"/>
  </si>
  <si>
    <t>1700</t>
  </si>
  <si>
    <t>收益法（商业）</t>
  </si>
  <si>
    <t>收益法（公寓）</t>
  </si>
  <si>
    <t>收益法（地下车库）</t>
  </si>
  <si>
    <t>重庆市监测指标情况一览表</t>
  </si>
  <si>
    <t>时间</t>
  </si>
  <si>
    <t>水平值</t>
  </si>
  <si>
    <t>环比增长率</t>
  </si>
  <si>
    <t>综合</t>
    <phoneticPr fontId="143" type="noConversion"/>
  </si>
  <si>
    <t>商服</t>
    <phoneticPr fontId="143" type="noConversion"/>
  </si>
  <si>
    <t>住宅</t>
    <phoneticPr fontId="143" type="noConversion"/>
  </si>
  <si>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</si>
  <si>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</si>
  <si>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</si>
  <si>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</si>
  <si>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</si>
  <si>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</si>
  <si>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</si>
  <si>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</si>
  <si>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</si>
  <si>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</si>
  <si>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</si>
  <si>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</si>
  <si>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</si>
  <si>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</si>
  <si>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</si>
  <si>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</si>
  <si>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</si>
  <si>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</si>
  <si>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</si>
  <si>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</si>
  <si>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江北区大石坝组团G分区G4-2/02、G4-3/02、G14-5/03号宗地</t>
  </si>
  <si>
    <t>重庆市</t>
  </si>
  <si>
    <t>综合用地(含住宅)</t>
  </si>
  <si>
    <t>挂牌</t>
  </si>
  <si>
    <t>二类居住用地、商业用地、商务用地</t>
  </si>
  <si>
    <t>≥1并且≤3</t>
  </si>
  <si>
    <t>2019-11-06</t>
  </si>
  <si>
    <t>渝[2019]50号-1</t>
  </si>
  <si>
    <t>重庆金辉长江房地产有限公司、重庆德睿辉实业有限公司</t>
  </si>
  <si>
    <t>50年</t>
  </si>
  <si>
    <t>5星</t>
  </si>
  <si>
    <t>江北区唐家沱组团K标准分区K11-1-1/06、K11-1-3/06号宗地</t>
  </si>
  <si>
    <t>住宅用地</t>
  </si>
  <si>
    <t>拍卖</t>
  </si>
  <si>
    <t>二类居住用地</t>
  </si>
  <si>
    <t>＞1并且≤2.5</t>
  </si>
  <si>
    <t>2019-05-09</t>
  </si>
  <si>
    <t>渝[2019]16号-2</t>
  </si>
  <si>
    <t>重庆北麓置业有限公司</t>
  </si>
  <si>
    <t>3星</t>
  </si>
  <si>
    <t>江北区观音桥组团M分区M09-4/02号宗地</t>
  </si>
  <si>
    <t>＞1并且≤3</t>
  </si>
  <si>
    <t>2018-11-28</t>
  </si>
  <si>
    <t>渝[2018]45号-1</t>
  </si>
  <si>
    <t>重庆招商依城房地产开发有限公司</t>
  </si>
  <si>
    <t>住宅50年</t>
  </si>
  <si>
    <t>江北区唐家沱组团M分区M6-1/05、M7-1/05</t>
  </si>
  <si>
    <t>二类居住用地、商业商务用地</t>
  </si>
  <si>
    <t>＞1并且≤2.24</t>
  </si>
  <si>
    <t>2018-04-24</t>
  </si>
  <si>
    <t>渝[2018]12号-2</t>
  </si>
  <si>
    <t>重庆协信远汇房地产开发有限公司</t>
  </si>
  <si>
    <t>40年</t>
  </si>
  <si>
    <t>江北区大石坝组团E分区E14-2-1/03号宗地</t>
  </si>
  <si>
    <t>＞1并且≤3.5</t>
  </si>
  <si>
    <t>2018-02-13</t>
  </si>
  <si>
    <t>渝[2018]4号-1</t>
  </si>
  <si>
    <t>重庆辉沛企业管理有限公司、重庆旭鹏房地产开发有限公司</t>
  </si>
  <si>
    <t>江北区大石坝组团G分区G20-1-2/02号宗地</t>
  </si>
  <si>
    <t>＞1并且≤5.5</t>
  </si>
  <si>
    <t>2017-08-22</t>
  </si>
  <si>
    <t>渝[2017]27号</t>
  </si>
  <si>
    <t>南国置业股份有限公司</t>
  </si>
  <si>
    <t>江北区观音桥组团F分区FJ03-1-1/04、FJ03-1-2/04号宗地</t>
  </si>
  <si>
    <t>≤3</t>
  </si>
  <si>
    <t>2016-12-30</t>
  </si>
  <si>
    <t>渝国土房管告字[2016]46号-5</t>
  </si>
  <si>
    <t>中海地产集团有限公司</t>
  </si>
  <si>
    <t>70年40年</t>
  </si>
  <si>
    <t>江北区观音桥组团I分区I02-1/03号宗地</t>
  </si>
  <si>
    <t>商业商务兼容居住用地</t>
  </si>
  <si>
    <t>≤3.5</t>
  </si>
  <si>
    <t>2016-12-27</t>
  </si>
  <si>
    <t>渝国土房管告字[2016]43号-1</t>
  </si>
  <si>
    <t>重庆河东房地产开发有限公司</t>
  </si>
  <si>
    <t>渝中区大杨石组团黄荆社分区2-5-1/04号宗地</t>
  </si>
  <si>
    <t>＞1并且≤1.5</t>
  </si>
  <si>
    <t>2017-09-26</t>
  </si>
  <si>
    <t>渝[2017]33号-1</t>
  </si>
  <si>
    <t>渝中区渝中组团C分区C29-7号宗地</t>
  </si>
  <si>
    <t>＞1并且≤4.5</t>
  </si>
  <si>
    <t>2017-09-15</t>
  </si>
  <si>
    <t>渝[2017]32号-1</t>
  </si>
  <si>
    <t>成都市中天盈房地产开发有限公司</t>
  </si>
  <si>
    <t>渝中区大杨石组团I分区I-3-1-9号宗地</t>
  </si>
  <si>
    <t>≥1并且≤4.2</t>
  </si>
  <si>
    <t>2017-06-30</t>
  </si>
  <si>
    <t>渝[2017]20号-3</t>
  </si>
  <si>
    <t>重庆华宇集团有限公司、重庆华宇业升实业有限公司</t>
  </si>
  <si>
    <t>两江新区两路组团C标准分区C53-1、C55-1、C56-1、C57-1、C49-12号宗地</t>
  </si>
  <si>
    <t>商业用地、商务用地、二类居住用地</t>
  </si>
  <si>
    <t>＞1并且≤2</t>
  </si>
  <si>
    <t>2019-09-16</t>
  </si>
  <si>
    <t>渝[2019]44号-2</t>
  </si>
  <si>
    <t>重庆怡置房地产开发有限公司</t>
  </si>
  <si>
    <t>4星</t>
  </si>
  <si>
    <t>两江新区两路组团C标准分区C52-1、C54-1、C49-7号宗地</t>
  </si>
  <si>
    <t>保利(重庆)投资实业有限公司</t>
  </si>
  <si>
    <t>两江新区两路组团C分区C86-1/04、C87-1/04、C88-1/04、C93-1/04号宗地</t>
  </si>
  <si>
    <t>＞1并且≤2.1</t>
  </si>
  <si>
    <t>2019-08-29</t>
  </si>
  <si>
    <t>渝[2019]40号-2</t>
  </si>
  <si>
    <t>上海复怡实业发展有限公司、天津湖滨广场置业发展有限公司</t>
  </si>
  <si>
    <t>两江新区两路组团C标准分区C49-1-1/05、C49-1-2/05号宗地</t>
  </si>
  <si>
    <t>＞1并且≤1.3</t>
  </si>
  <si>
    <t>2019-08-22</t>
  </si>
  <si>
    <t>渝[2019]39号-1</t>
  </si>
  <si>
    <t>重庆绿城致嘉房地产开发有限公司</t>
  </si>
  <si>
    <t>两江新区两路组团C标准分区C49-2-1/05、C49-2-2/05、C50-1/03号宗地</t>
  </si>
  <si>
    <t>＞1并且≤1.4</t>
  </si>
  <si>
    <t>渝北区观音桥组团C分区C6-1、C5-1号宗地</t>
  </si>
  <si>
    <t>＞1并且≤1.9</t>
  </si>
  <si>
    <t>2019-07-31</t>
  </si>
  <si>
    <t>渝[2019]37号</t>
  </si>
  <si>
    <t>成都永进合能房地产有限公司</t>
  </si>
  <si>
    <t>渝北区人和组团N分区N14-2、N14-5-2、B分区B35-1号宗地</t>
  </si>
  <si>
    <t>＞1并且≤2.2</t>
  </si>
  <si>
    <t>2019-06-27</t>
  </si>
  <si>
    <t>渝[2019]34号-1</t>
  </si>
  <si>
    <t>重庆友熙置业有限公司</t>
  </si>
  <si>
    <t>渝北区两路组团I分区I25-1号宗地</t>
  </si>
  <si>
    <t>2019-06-26</t>
  </si>
  <si>
    <t>渝[2019]33号-1</t>
  </si>
  <si>
    <t>农工商房地产(集团)有限公司</t>
  </si>
  <si>
    <t>渝北区人和组团B标准分区B35-2、B35-3、B37-4、N14-5-1、N14-1号宗地</t>
  </si>
  <si>
    <t>＞1并且≤1.6</t>
  </si>
  <si>
    <t>2019-06-25</t>
  </si>
  <si>
    <t>渝[2019]32号-1</t>
  </si>
  <si>
    <t>两江新区悦来组团Q分区Q15-6、Q16-1号宗地</t>
  </si>
  <si>
    <t>2019-06-20</t>
  </si>
  <si>
    <t>渝[2019]30-1</t>
  </si>
  <si>
    <t>万科(重庆)企业有限公司</t>
  </si>
  <si>
    <t>两江新区悦来组团Q分区Q15-2、Q15-3号宗地</t>
  </si>
  <si>
    <t>两江新区悦来组团Q分区Q15-1、Q15-4号宗地</t>
  </si>
  <si>
    <t>2019-06-19</t>
  </si>
  <si>
    <t>渝[2019]29-2</t>
  </si>
  <si>
    <t>2星</t>
  </si>
  <si>
    <t>两江新区悦来组团Q分区Q20-1、Q21-1号宗地</t>
  </si>
  <si>
    <t>＞1并且≤1.2</t>
  </si>
  <si>
    <t>两江新区悦来组团Q分区Q18-2、Q19-1号宗地</t>
  </si>
  <si>
    <t>2019-06-18</t>
  </si>
  <si>
    <t>渝[2019]28号-2</t>
  </si>
  <si>
    <t>重庆同原房地产开发有限公司、重庆东毅之方企业管理咨询有限公司、深圳市盛钧投资管理有限公司</t>
  </si>
  <si>
    <t>渝北区两路组团S分区S20-1、S20-3、S20-4号宗地</t>
  </si>
  <si>
    <t>2019-06-17</t>
  </si>
  <si>
    <t>渝[2019]27号-1</t>
  </si>
  <si>
    <t>重庆龙湖企业拓展有限公司、深圳市盛钧投资管理有限公司</t>
  </si>
  <si>
    <t>渝北区两路组团S分区S17-1、S17-3、S18-1号宗地</t>
  </si>
  <si>
    <t>2019-06-13</t>
  </si>
  <si>
    <t>渝[2019]26号-2</t>
  </si>
  <si>
    <t>渝北区两路组团S分区S17-5、S17-6、S18-3号宗地</t>
  </si>
  <si>
    <t>两江新区悦来组团D分区D22-1、D22-3号宗地</t>
  </si>
  <si>
    <t>2019-05-30</t>
  </si>
  <si>
    <t>渝[2019]23号-2</t>
  </si>
  <si>
    <t>两江新区悦来组团D分区D25-1、D24-1-2号宗地</t>
  </si>
  <si>
    <t>两江新区悦来组团C分区C17-3、C17-4-1号宗地</t>
  </si>
  <si>
    <t>2019-05-29</t>
  </si>
  <si>
    <t>渝[2019]22号-3</t>
  </si>
  <si>
    <t>两江新区两路组团I分区I5-1/03、I5-2/03、I6-4/04、I7-3/04号宗地</t>
  </si>
  <si>
    <t>重庆金科宸居置业有限公司、重庆和彰企业管理咨询有限公司</t>
  </si>
  <si>
    <t>两江新区两路组团I分区I2-4/03、I3-3/03、I4-1/04、I4-3/04号宗地</t>
  </si>
  <si>
    <t>2019-05-16</t>
  </si>
  <si>
    <t>渝[2019]18号-2</t>
  </si>
  <si>
    <t>重庆旭辉房地产开发有限公司、重庆市金科宸居置业有限公司</t>
  </si>
  <si>
    <t>两江新区两路组团I分区I40-1/03、I40-2/03、I41-2/03、I42-1/03号宗地</t>
  </si>
  <si>
    <t>2019-05-10</t>
  </si>
  <si>
    <t>渝[2019]17号-2</t>
  </si>
  <si>
    <t>北京首钢房地产开发有限公司</t>
  </si>
  <si>
    <t>两江新区两路组团I分区I38-2-1/03、I38-2-2/03、I38-3-2/03号宗地</t>
  </si>
  <si>
    <t>渝[2019]16号-1</t>
  </si>
  <si>
    <t>两江新区两路组团C标准分区C12-1/04号宗地</t>
  </si>
  <si>
    <t>2019-04-25</t>
  </si>
  <si>
    <t>渝[2019]13号-1</t>
  </si>
  <si>
    <t>成都顶峰房地产开发有限公司、上海顶融置业有限公司</t>
  </si>
  <si>
    <t>渝北区两路组团E标准分区E89-3/02、E90-1号宗地</t>
  </si>
  <si>
    <t>2019-04-10</t>
  </si>
  <si>
    <t>渝[2019]7号-1</t>
  </si>
  <si>
    <t>重庆融永房地产开发有限公司</t>
  </si>
  <si>
    <t>商业40年,住宅50年</t>
  </si>
  <si>
    <t>渝北区两路组团I标准分区I20/04号宗地</t>
  </si>
  <si>
    <t>2019-03-29</t>
  </si>
  <si>
    <t>渝[2019]11号-2</t>
  </si>
  <si>
    <t>重庆正惠置业有限公司</t>
  </si>
  <si>
    <t>住宅50年,商业40年</t>
  </si>
  <si>
    <t>渝北区两路组团I标准分区I21-1/04号宗地</t>
  </si>
  <si>
    <t>重庆灿瑞置业有限公司</t>
  </si>
  <si>
    <t>渝北区两路组团S分区S19-2、S19-3、S19-4号宗地</t>
  </si>
  <si>
    <t>2019-03-28</t>
  </si>
  <si>
    <t>渝[2019]10号-1</t>
  </si>
  <si>
    <t>重庆市金科宸居置业有限公司、美的西南房地产发展有限公司</t>
  </si>
  <si>
    <t>渝北区两路组团S分区S16-2、S16-3号宗地</t>
  </si>
  <si>
    <t>北京北辰实业股份有限公司</t>
  </si>
  <si>
    <t>渝北区两路组团F分区F47-1、F48-1号宗地</t>
  </si>
  <si>
    <t>＞1并且≤1.7</t>
  </si>
  <si>
    <t>2019-03-27</t>
  </si>
  <si>
    <t>渝[2019]9号-2</t>
  </si>
  <si>
    <t>重庆市綦江区煦江房地产开发有限公司、阳光城中光电(重庆)实业有限公司</t>
  </si>
  <si>
    <t>两江新区礼嘉组团F标准分区F05-11/04号宗地</t>
  </si>
  <si>
    <t>＞1并且≤1.49</t>
  </si>
  <si>
    <t>2018-12-29</t>
  </si>
  <si>
    <t>渝[2018]50号-1</t>
  </si>
  <si>
    <t>绿城房地产集团有限公司</t>
  </si>
  <si>
    <t>两江新区礼嘉组团F标准分区F05-2/07号宗地</t>
  </si>
  <si>
    <t>卓越置业集团重庆两江有限公司、重庆瀚置北兴企业管理顾问有限公司</t>
  </si>
  <si>
    <t>两江新区悦来组团D分区D21-1/03、D21-2/03号宗地</t>
  </si>
  <si>
    <t>2018-12-28</t>
  </si>
  <si>
    <t>渝[2018]49号-1</t>
  </si>
  <si>
    <t>重庆瀚置新辰企业管理顾问有限公司、重庆怡置房地产开发有限公司</t>
  </si>
  <si>
    <t>两江新区悦来组团C分区C71-2/05、C74/05、C75-2/05、C81/05、C82/05、C83-3/05、C83-2/05、C84/05、C60-1/05、C61-2/05号宗地</t>
  </si>
  <si>
    <t>二类居住用地、服务设施用地、商业用地、商务用地</t>
  </si>
  <si>
    <t>＞1并且＜2.39</t>
  </si>
  <si>
    <t>2018-06-28</t>
  </si>
  <si>
    <t>渝[2018]23号-2</t>
  </si>
  <si>
    <t>重庆华宇业和实业有限公司、重庆辉沛企业管理有限公司、重庆华侨城实业发展有限公司</t>
  </si>
  <si>
    <t>两江新区悦来组团C分区C89/05、C60-2/06、C79-2/05、C78-2/05、C73/05、C76/05、C75-1/05号宗地</t>
  </si>
  <si>
    <t>二类居住用地、商业用地、商务用地、娱乐康体用地、其他商务用地</t>
  </si>
  <si>
    <t>＞1并且≤2.7</t>
  </si>
  <si>
    <t>2018-06-27</t>
  </si>
  <si>
    <t>渝[2018]22号-1</t>
  </si>
  <si>
    <t>重庆辉沛企业管理有限公司、重庆华宇集团有限公司、重庆华宇业帆实业有限公司、重庆华侨城实业发展有限公司</t>
  </si>
  <si>
    <t>两江新区两路组团C分区C133-1/03、C121-3/03、C122-1/03、C130-1/03、C130-4/03、C133-3/03、C135-1/03、C137-1/03、C137-4/03、C131-1/03、C121-1/03号宗地</t>
  </si>
  <si>
    <t>＞1并且≤1.789</t>
  </si>
  <si>
    <t>2018-06-19</t>
  </si>
  <si>
    <t>渝[2018]18号-2</t>
  </si>
  <si>
    <t>四川新希望房地产开发有限公司、保利(重庆)投资实业有限公司、江西省正荣房地产开发有限公司、宁波宁兴房地产开发集团有限公司</t>
  </si>
  <si>
    <t>两江新区两路组团I分区I6-5/03、I7-10/03、I8-4/03、I9-1/03、I9-3/03、I10-1-2/03、I44/03号宗地</t>
  </si>
  <si>
    <t>＞1并且≤1.87</t>
  </si>
  <si>
    <t>2018-05-30</t>
  </si>
  <si>
    <t>渝[2018]14号-3</t>
  </si>
  <si>
    <t>两江新区两路组团I分区I45-4/03、I45-1/03、I45-5/03、I45-7/03、I46-1/03、I48-3/03、I49-8/03、I49-17/03号宗地</t>
  </si>
  <si>
    <t>美的西南房地产发展有限公司</t>
  </si>
  <si>
    <t>两江新区两路组团I分区I6-1/03、I7-4/03、I7-5/03、I7-8/03、I10-3/03、I11-1/03、I11-2/03、I12-2/03、I16-3/04号宗地</t>
  </si>
  <si>
    <t>重庆金科房地产开发有限公司</t>
  </si>
  <si>
    <t>两江新区龙兴组团H分区H70-4/01、H72-1/01、H73-2/01、H74-1/01、H76/01、H77/01号宗地</t>
  </si>
  <si>
    <t>商业用地、商务用地、二类居住用地、社会停车场用地</t>
  </si>
  <si>
    <t>2018-05-04</t>
  </si>
  <si>
    <t>渝[2018]13号-2</t>
  </si>
  <si>
    <t>重庆两江新区龙湖新御置业发展有限公司</t>
  </si>
  <si>
    <t>两江新区悦来组团C分区C62-2/06、C62-3-3/05、C63/05、C64/05、C65-1/05、C66/05、C67/05、C68/05、C69-1/05、C69-2/05号宗地</t>
  </si>
  <si>
    <t>二类居住用地、娱乐康体用地、其他商务设施用地、文化设施用地、服务设施用地、商业用地</t>
  </si>
  <si>
    <t>＞1并且≤2.58</t>
  </si>
  <si>
    <t>2018-04-04</t>
  </si>
  <si>
    <t>渝[2018]9号</t>
  </si>
  <si>
    <t>重庆华侨城实业发展有限公司</t>
  </si>
  <si>
    <t>两江新区龙兴组团H分区H13-1/01、H16-1/01、H17-1/01、H17-2/01、H19-1/01、H26-1/01号宗地</t>
  </si>
  <si>
    <t>其他服务设施用地(民办学校)、二类居住用地、商业用地、行政办公用地</t>
  </si>
  <si>
    <t>＞1并且≤1.04</t>
  </si>
  <si>
    <t>2018-03-30</t>
  </si>
  <si>
    <t>渝[2018]8号-3</t>
  </si>
  <si>
    <t>重庆两江新区开发投资集团有限公司、重庆两江新区置业发展有限公司</t>
  </si>
  <si>
    <t>两江新区龙兴组团H分区H23-1/01、H18-2/01、H20-1/01、H21-1/01、H26-2/01、H26-3/01、H26-4/01、H28-3/01、H29-1/01号宗地</t>
  </si>
  <si>
    <t>其他服务设施用地(民办学校)、二类居住用地、商业用地、社会停车场用地</t>
  </si>
  <si>
    <t>≤0.95</t>
  </si>
  <si>
    <t>两江新区两路组团C分区C126-1-1/04、C126-1-2/04、C127-1/03、C128-1/03、C129-1/03号宗地</t>
  </si>
  <si>
    <t>2018-03-27</t>
  </si>
  <si>
    <t>渝[2018]7号-1</t>
  </si>
  <si>
    <t>万科(重庆)房地产有限公司</t>
  </si>
  <si>
    <t>两江新区两路组团C分区C119-1/03、C123-1/04、C120-1/03号宗地</t>
  </si>
  <si>
    <t>两江新区两路组团J分区J01-2/04、J02/04、J03-1/04、J04/04号宗地</t>
  </si>
  <si>
    <t>2018-02-27</t>
  </si>
  <si>
    <t>渝[2018]5号-1</t>
  </si>
  <si>
    <t>两江新区龙兴组团K、H分区K28-1/01、H1-3/01、H2-3/01、H3-2/01、H4-2/01、H14-2/01、H24-3/01号宗地</t>
  </si>
  <si>
    <t>二类居住用地、商业用地、商务用地、其他服务设施用地(民办学校)</t>
  </si>
  <si>
    <t>＞1并且≤1.48</t>
  </si>
  <si>
    <t>渝[2018]4号-3</t>
  </si>
  <si>
    <t>重庆协信远涪房地产开发有限公司、哈羅國際*(中國)管理服務有限公司</t>
  </si>
  <si>
    <t>两江新区龙兴组团K、H分区K27-1/01、K29-1/01、*K30-3/01、K31-1/01、K31-8/01、K33-2/01、H25-2/01号宗地</t>
  </si>
  <si>
    <t>二类居住用地、商业用地、其他服务设施用地(民办学校)</t>
  </si>
  <si>
    <t>＞1并且≤1.1</t>
  </si>
  <si>
    <t>两江新区大竹林组团G分区G10-1/05号宗地</t>
  </si>
  <si>
    <t>2018-01-04</t>
  </si>
  <si>
    <t>渝[2017]51号-1</t>
  </si>
  <si>
    <t>深圳安创投资管理有限公司、重庆龙湖地产发展有限公司</t>
  </si>
  <si>
    <t>两江新区悦来组团C分区C53/05号宗地</t>
  </si>
  <si>
    <t>两江新区悦来组团C分区C53/06号宗地</t>
  </si>
  <si>
    <t>2017-12-11</t>
  </si>
  <si>
    <t>渝[2017]45号-3</t>
  </si>
  <si>
    <t>宁波投创荣安置业有限公司</t>
  </si>
  <si>
    <t>渝北区两路组团F分区F110-5、F111-4、F113-1、F113-2号宗地</t>
  </si>
  <si>
    <t>＞1并且≤3.9</t>
  </si>
  <si>
    <t>2017-10-20</t>
  </si>
  <si>
    <t>渝[2017]40号-3</t>
  </si>
  <si>
    <t>重庆中新航旅实业有限公司、万科(重庆)房地产有限公司、海航集团西南总部有限公司</t>
  </si>
  <si>
    <t>渝北区两路组团F分区F108-3、F109-1、F112-1、F125-1、F126-1、F127-1、F128-1、F24-1号宗地</t>
  </si>
  <si>
    <t>＞1并且≤3.4</t>
  </si>
  <si>
    <t>2017-10-12</t>
  </si>
  <si>
    <t>渝[2017]38号-3</t>
  </si>
  <si>
    <t>重庆龙湖企业拓展有限公司、深圳联新投资管理有限公司</t>
  </si>
  <si>
    <t>两江新区龙兴组团C分区C51-1/01、C51-3/01、C51-4/01、C51-6/01、C51-8/01号宗地</t>
  </si>
  <si>
    <t>二类居住用地、其它商务用地(生产性服务业用地)</t>
  </si>
  <si>
    <t>2017-09-29</t>
  </si>
  <si>
    <t>渝[2017]36号-1</t>
  </si>
  <si>
    <t>重庆作平置业有限公司、重庆金可镂实业有限公司</t>
  </si>
  <si>
    <t>渝北区两路组团F分区F110-1/02、F111-1/02、F114-1/02、F114-2/02、F115-1/02、F115-2/02号宗地</t>
  </si>
  <si>
    <t>＞1并且≤3.6</t>
  </si>
  <si>
    <t>2017-09-28</t>
  </si>
  <si>
    <t>渝[2017]35号-3</t>
  </si>
  <si>
    <t>两江新区两路组团C标准分区C27-1/04、C28-1-1/04号宗地</t>
  </si>
  <si>
    <t>2017-09-27</t>
  </si>
  <si>
    <t>渝[2017]34号-2</t>
  </si>
  <si>
    <t>重庆康田置业(集团)有限公司</t>
  </si>
  <si>
    <t>渝北区两路组团F分区F134-1、F135-1、F129-1、F131-1、F131-2号宗地</t>
  </si>
  <si>
    <t>创滔有限公司</t>
  </si>
  <si>
    <t>渝北区两路组团F分区F108-1、F107-2、F58-2、F63-1、F63-2、F64-1号宗地</t>
  </si>
  <si>
    <t>上海新城万嘉房地产有限公司</t>
  </si>
  <si>
    <t>两江新区两路组团C标准分区C28-2-1/03、C28-2-4/03、C30-1-1/03、C28-2-3/03、C29-1-1/03(部分)、C30-1-3/03、C30-1-4/03号宗地</t>
  </si>
  <si>
    <t>＞1并且≤1.8</t>
  </si>
  <si>
    <t>渝北区观音桥组团C分区8-1/04、13-1/04、8-6/02号宗地</t>
  </si>
  <si>
    <t>二类居住用地、服务设施用地</t>
  </si>
  <si>
    <t>＞1并且≤4.3</t>
  </si>
  <si>
    <t>2017-09-08</t>
  </si>
  <si>
    <t>渝[2017]31号-1</t>
  </si>
  <si>
    <t>重庆象屿置业有限公司</t>
  </si>
  <si>
    <t>两江新区两路组团J分区J06-1/06号宗地</t>
  </si>
  <si>
    <t>≥1并且≤2.5</t>
  </si>
  <si>
    <t>2017-08-31</t>
  </si>
  <si>
    <t>渝[2017]30号-2</t>
  </si>
  <si>
    <t>浙江佳源房地产集团有限公司、重庆佳源中恒文化旅游开发有限公司、中农国信控股集团有限公司</t>
  </si>
  <si>
    <t>两江新区两路组团J分区J12-1/05、J01-17/05、J13-4/05、J13-13/05号宗地</t>
  </si>
  <si>
    <t>二类居住用地、医疗卫生用地</t>
  </si>
  <si>
    <t>≥1并且≤1.65</t>
  </si>
  <si>
    <t>两江新区两路组团I分区I49-5/03、I50-1/03、I51/03号宗地</t>
  </si>
  <si>
    <t>≥1并且≤2.7</t>
  </si>
  <si>
    <t>两江新区两路组团J分区J05/05号宗地</t>
  </si>
  <si>
    <t>两江新区大竹林组团O分区O01-4/05、O01-1/05、O01-2/05号宗地</t>
  </si>
  <si>
    <t>二类居住用地、一类居住用地、商业用地</t>
  </si>
  <si>
    <t>≥1并且≤1.13</t>
  </si>
  <si>
    <t>重庆怡置房地产开发有限公司、重庆新辰北兴企业管理有限公司</t>
  </si>
  <si>
    <t>两江新区礼嘉组团A标准分区A21-2-1/06、A23-2/05、A23-1/06号宗地</t>
  </si>
  <si>
    <t>一类居住用地、商业用地、二类居住用地</t>
  </si>
  <si>
    <t>≥1并且≤1.1</t>
  </si>
  <si>
    <t>2017-08-30</t>
  </si>
  <si>
    <t>渝[2017]29号-2</t>
  </si>
  <si>
    <t>金融街重庆置业有限公司</t>
  </si>
  <si>
    <t>两江新区礼嘉组团A标准分区A21-4-1/06、A21-4-2/06、A22-1/06、A22-2/06号宗地</t>
  </si>
  <si>
    <t>≥1并且≤1.35</t>
  </si>
  <si>
    <t>四川雅居乐房地产开发有限公司</t>
  </si>
  <si>
    <t>两江新区礼嘉组团A标准分区A23-7/06号宗地</t>
  </si>
  <si>
    <t>≥1并且≤1.2</t>
  </si>
  <si>
    <t>重庆招商依城房地产开发有限公司、重庆瀚置北翔企业管理顾问有限公司</t>
  </si>
  <si>
    <t>两江新区礼嘉组团A标准分区A05-4/05号宗地</t>
  </si>
  <si>
    <t>≥1并且≤1.8</t>
  </si>
  <si>
    <t>2017-08-29</t>
  </si>
  <si>
    <t>渝[2017]28号-2</t>
  </si>
  <si>
    <t>重庆金辉锦江房地产有限公司、重庆市金科骏凯房地产开发有限公司、贵阳市美的房地产发展有限公司</t>
  </si>
  <si>
    <t>两江新区礼嘉组团A标准分区A09-4-1/07号宗地</t>
  </si>
  <si>
    <t>≥1并且≤2</t>
  </si>
  <si>
    <t>北京方兴亦城置业有限公司、重庆市垫江县碧桂园房地产开发有限公司、重庆市金科骏凯房地产开发有限公司</t>
  </si>
  <si>
    <t>两江新区龙兴组团H分区H35-1/02、H38-1/02、H42-1/02、H44-1/02、H49-1/02号宗地</t>
  </si>
  <si>
    <t>2017-07-31</t>
  </si>
  <si>
    <t>渝[2017]25号-4</t>
  </si>
  <si>
    <t>天津保盛乾元企业管理合伙企业(有限合伙)、北京方兴亦城置业有限公司</t>
  </si>
  <si>
    <t>两江新区龙兴组团H分区H30-1/02、H30-6-1/02、H31-1/02、H31-3/02、H34-1/02、H37-1/02号宗地</t>
  </si>
  <si>
    <t>重庆市垫江县碧桂园房地产开发有限公司</t>
  </si>
  <si>
    <t>两江新区龙兴组团H分区H46-1/01、H47-2/01、H48-2/01、H50-1/01、H51-2/01、H52-2/01号宗地</t>
  </si>
  <si>
    <t>二类居住用地、商业用地</t>
  </si>
  <si>
    <t>≤0.7</t>
  </si>
  <si>
    <t>渝[2017]20号-2</t>
  </si>
  <si>
    <t>北京方兴亦城置业有限公司</t>
  </si>
  <si>
    <t>渝北区大石坝组团B分区27-1号宗地</t>
  </si>
  <si>
    <t>2017-06-27</t>
  </si>
  <si>
    <t>渝[2017]19号-1</t>
  </si>
  <si>
    <t>两江新区龙兴组团H分区H32-1/01、H32-3/01、H33-2/01、H33-4/01、H39-2/01、H40-1/01、H41-2/01、H45-1/01、H45-4/01号宗地</t>
  </si>
  <si>
    <t>其他普通商品住房用地</t>
  </si>
  <si>
    <t>＞1,≤1.1</t>
  </si>
  <si>
    <t>2017-04-21</t>
  </si>
  <si>
    <t>渝[2017]11号-2</t>
  </si>
  <si>
    <t>重庆中讯物业发展有限公司</t>
  </si>
  <si>
    <t>两江新区悦来组团C标准分区C11-2/05号宗地</t>
  </si>
  <si>
    <t>一类居住用地</t>
  </si>
  <si>
    <t>＞1,≤1</t>
  </si>
  <si>
    <t>2017-04-01</t>
  </si>
  <si>
    <t>渝[2017]8号-4</t>
  </si>
  <si>
    <t>渝北区两路组团A分区A062-1/03号宗地</t>
  </si>
  <si>
    <t>＞1,≤3.4</t>
  </si>
  <si>
    <t>渝[2017]8号-3</t>
  </si>
  <si>
    <t>两江新区两路组团C分区C66-2/02、*C67-4/03、C71-1/02、C72-1/02、C72-2/02、C72-3/02、C72-5/02、C85-1/03、C85-4/03、C85-7/03号宗地</t>
  </si>
  <si>
    <t>＞1,≤1.8</t>
  </si>
  <si>
    <t>2017-03-28</t>
  </si>
  <si>
    <t>渝[2017]7号-6</t>
  </si>
  <si>
    <t>渝北区两路组团A标准分区A104-2/03号宗地</t>
  </si>
  <si>
    <t>2017-02-16</t>
  </si>
  <si>
    <t>渝[2017]4号-3</t>
  </si>
  <si>
    <t>重庆市涪陵金宏房地产开发有限公司</t>
  </si>
  <si>
    <t>商业40年,住宅70年</t>
  </si>
  <si>
    <t>两江新区龙兴组团F标准分区F12-1/03号宗地</t>
  </si>
  <si>
    <t>≤1.0</t>
  </si>
  <si>
    <t>2017-02-15</t>
  </si>
  <si>
    <t>渝[2017]4号-1</t>
  </si>
  <si>
    <t>重庆两江新区置业发展有限公司</t>
  </si>
  <si>
    <t>70年</t>
  </si>
  <si>
    <t>两江新区悦来组团D分区D02-2/05、D04-4/05、D03-2/06、D04-1-1/07号宗地</t>
  </si>
  <si>
    <t>≤2.11</t>
  </si>
  <si>
    <t>2017-01-25</t>
  </si>
  <si>
    <t>渝国[2017]1号-1</t>
  </si>
  <si>
    <t>四川友华房地产开发有限公司、自贡市龙宇置业有限公司</t>
  </si>
  <si>
    <t>两江新区龙兴组团F分区F1-1/03、F5-1/04号宗地</t>
  </si>
  <si>
    <t>≤1.5</t>
  </si>
  <si>
    <t>2016-12-29</t>
  </si>
  <si>
    <t>渝国土房管告字[2016]45号-1</t>
  </si>
  <si>
    <t>重庆国瑞控股集团有限公司、重庆市明发房地产开发有限公司</t>
  </si>
  <si>
    <t>两江新区龙兴组团H分区H58-1/02、H63-1/02、H65-1/01、H69-1/01号宗地</t>
  </si>
  <si>
    <t>渝国土房管告字[2016]43号-4</t>
  </si>
  <si>
    <t>两江新区龙兴组团H分区H56-1/01、H62-1/01、H64-1/01、H68-1/01号宗地</t>
  </si>
  <si>
    <t>渝国土房管告字[2016]43号-5</t>
  </si>
  <si>
    <t>两江新区龙兴组团H标准分区H60-1/02、H61-1/02、H66-1/02、H67-1/01、H69-2/01号宗地</t>
  </si>
  <si>
    <t>渝国土房管告字[2016]43号-3</t>
  </si>
  <si>
    <t>两江新区两路组团C标准分区C75-1/04、C77-1/03、C79-1/02、C80-1/02、C82-3/03、C83-1/03号宗地</t>
  </si>
  <si>
    <t>≤2.8</t>
  </si>
  <si>
    <t>2016-12-26</t>
  </si>
  <si>
    <t>渝国土房管告字[2016]42号-2</t>
  </si>
  <si>
    <t>重庆金辉长江房地产有限公司</t>
  </si>
  <si>
    <t>两江新区两路组团C标准分区C65-3/03、C68-1/04、C74-2/04、C74-1/04、C69-1/02、C76-2/03、C76-1/03、C81-1/03号宗地</t>
  </si>
  <si>
    <t>≤2.7</t>
  </si>
  <si>
    <t>渝国土房管告字[2016]42号-1</t>
  </si>
  <si>
    <t>华润置地(成都)有限公司</t>
  </si>
  <si>
    <t>两江新区礼嘉组团A标准分区A37-4/05、A40-1/05、A40-4/05、A49-5/05(东侧部分)、A57-2/05、A58-1/05号宗地</t>
  </si>
  <si>
    <t>二类居住用地、商业用地、商务用地、娱乐康体用地</t>
  </si>
  <si>
    <t>≤2.56</t>
  </si>
  <si>
    <t>2016-12-23</t>
  </si>
  <si>
    <t>渝国土房管告字[2016]41号-1</t>
  </si>
  <si>
    <t>重庆龙湖地产发展有限公司</t>
  </si>
  <si>
    <t>两江新区礼嘉组团A标准分区A29-3/05、A29-4/05、A37-2/05、A37-5-1/05、A37-6-1/05、A39-1/05、A49-5/05(西侧部分)号宗地</t>
  </si>
  <si>
    <t>≤2.72</t>
  </si>
  <si>
    <t>渝国土房管告字[2016]41号-2</t>
  </si>
  <si>
    <t>重庆华宇集团有限公司</t>
  </si>
  <si>
    <t>两江新区悦来组团C分区C39-3/05、C41/05、C45-1/05、C45-3/05、C46/05、C48/05、C50/05、C51/05、C57-1/05、C58-1/05号宗地</t>
  </si>
  <si>
    <t>二类居住用地、服务设施用地、商业用地、娱乐康体用地</t>
  </si>
  <si>
    <t>2016-12-20</t>
  </si>
  <si>
    <t>渝国土房管告字[2016]40号-3</t>
  </si>
  <si>
    <t>重庆融创基业房地产开发有限公司</t>
  </si>
  <si>
    <t>70年、40年</t>
  </si>
  <si>
    <t>两江新区悦来组团C分区C27/05、C28-2/05、C29-2/05、C30-2/05、C31/05、C32/06、C37-1/07、C38/06、C39-1/06、C43-2/06、C70-1/05号宗地</t>
  </si>
  <si>
    <t>二类居住用地、服务设施用地、商业用地</t>
  </si>
  <si>
    <t>≤2.5</t>
  </si>
  <si>
    <t>渝国土房管告字[2016]40号-2</t>
  </si>
  <si>
    <t>北京城建重庆地产有限公司</t>
  </si>
  <si>
    <t>两江新区大竹林组团G标准分区G13-5-4/04号宗地</t>
  </si>
  <si>
    <t>2016-12-12</t>
  </si>
  <si>
    <t>渝国土房管告字[2016]38号-1</t>
  </si>
  <si>
    <r>
      <rPr>
        <sz val="10"/>
        <rFont val="宋体"/>
        <family val="3"/>
        <charset val="134"/>
      </rPr>
      <t>江北区唐家沱组团</t>
    </r>
    <r>
      <rPr>
        <sz val="10"/>
        <rFont val="Arial"/>
        <family val="2"/>
      </rPr>
      <t>K</t>
    </r>
    <r>
      <rPr>
        <sz val="10"/>
        <rFont val="宋体"/>
        <family val="3"/>
        <charset val="134"/>
      </rPr>
      <t>标准分区</t>
    </r>
    <r>
      <rPr>
        <sz val="10"/>
        <rFont val="Arial"/>
        <family val="2"/>
      </rPr>
      <t>K11-1-1/06</t>
    </r>
    <r>
      <rPr>
        <sz val="10"/>
        <rFont val="宋体"/>
        <family val="3"/>
        <charset val="134"/>
      </rPr>
      <t>、</t>
    </r>
    <r>
      <rPr>
        <sz val="10"/>
        <rFont val="Arial"/>
        <family val="2"/>
      </rPr>
      <t>K11-1-3/06</t>
    </r>
    <r>
      <rPr>
        <sz val="10"/>
        <rFont val="宋体"/>
        <family val="3"/>
        <charset val="134"/>
      </rPr>
      <t>号宗地</t>
    </r>
    <phoneticPr fontId="143" type="noConversion"/>
  </si>
  <si>
    <t>正常</t>
  </si>
  <si>
    <t>居住用地</t>
  </si>
  <si>
    <t>居住用地</t>
    <phoneticPr fontId="31" type="noConversion"/>
  </si>
  <si>
    <t>其他省市系数</t>
  </si>
  <si>
    <t>好</t>
  </si>
  <si>
    <t>较好</t>
  </si>
  <si>
    <t>一般</t>
  </si>
  <si>
    <t>未包含在土地购买价格中</t>
  </si>
  <si>
    <t>已包含在土地取得成本中</t>
  </si>
  <si>
    <t>两江新区鱼嘴组团H分区H34-1-2/03号宗地</t>
  </si>
  <si>
    <t>商业/办公用地</t>
  </si>
  <si>
    <t>加油站用地</t>
  </si>
  <si>
    <t>渝[2019]26号-1</t>
  </si>
  <si>
    <t>重庆天泽燃料有限公司</t>
  </si>
  <si>
    <t>1星</t>
  </si>
  <si>
    <t>江北区唐家沱组团K分区K9-1-2/04号宗地</t>
  </si>
  <si>
    <t>2018-09-26</t>
  </si>
  <si>
    <t>渝[2018]36号-2</t>
  </si>
  <si>
    <t>重庆恒宇华顿新能源开发有限公司</t>
  </si>
  <si>
    <t>两江新区鱼嘴组团P分区P7-1/01(部分)号宗地</t>
  </si>
  <si>
    <t>B29-其它商务用地(生产性服务业用地)</t>
  </si>
  <si>
    <t>渝[2018]7号-2</t>
  </si>
  <si>
    <t>重庆聚祥燃气有限公司、重庆长兴渝电力服务股份有限公司</t>
  </si>
  <si>
    <t>两江新区鱼嘴组团Q分区Q11-3/01号宗地</t>
  </si>
  <si>
    <t>2018-01-18</t>
  </si>
  <si>
    <t>渝[2017]52号-4</t>
  </si>
  <si>
    <t>重庆中油两江发展有限公司</t>
  </si>
  <si>
    <t>江北区大石坝组团L分区L10-12/02(部分)号宗地</t>
  </si>
  <si>
    <t>商业用地、商务用地</t>
  </si>
  <si>
    <t>≥1并且≤4.5</t>
  </si>
  <si>
    <t>2017-05-05</t>
  </si>
  <si>
    <t>渝[2017]12号-4</t>
  </si>
  <si>
    <t>重庆祺宝汽车销售服务有限公司</t>
  </si>
  <si>
    <t>两江新区龙兴组团M分区M22-1/03、M25-1/03、M27-1号宗地</t>
  </si>
  <si>
    <t>B29-其他商务用地(生产性服务业用地)、商业用地、商务用地</t>
  </si>
  <si>
    <t>≤0.77</t>
  </si>
  <si>
    <t>2019-10-21</t>
  </si>
  <si>
    <t>渝[2019]48-2</t>
  </si>
  <si>
    <t>重庆两江协同创新区建设投资发展有限公司</t>
  </si>
  <si>
    <t>渝北区人和组团B标准分区B31-4号宗地</t>
  </si>
  <si>
    <t>其它商务用地</t>
  </si>
  <si>
    <t>渝[2019]48-1</t>
  </si>
  <si>
    <t>重庆克路德智能科技产业发展有限公司</t>
  </si>
  <si>
    <t>两江新区龙兴组团J分区J48-1/04、J50-1/02号宗地</t>
  </si>
  <si>
    <t>B29-其他商务用地(生产性服务业用地)</t>
  </si>
  <si>
    <t>2019-08-30</t>
  </si>
  <si>
    <t>渝[2019]41号-1</t>
  </si>
  <si>
    <t>东方红卫星移动通信有限公司</t>
  </si>
  <si>
    <t>两江新区人和组团N分区N26-1/05(部分)号宗地</t>
  </si>
  <si>
    <t>＞1并且≤2.4</t>
  </si>
  <si>
    <t>2019-07-19</t>
  </si>
  <si>
    <t>渝[2019]36号-1</t>
  </si>
  <si>
    <t>成都铁路地产置业有限公司</t>
  </si>
  <si>
    <t>商业40年、办公40年</t>
  </si>
  <si>
    <t>渝北区唐家沱组团N分区N1-9/02号宗地</t>
  </si>
  <si>
    <t>重庆创新经济走廊开发建设有限公司</t>
  </si>
  <si>
    <t>渝北区两路组团F分区F133-3号宗地</t>
  </si>
  <si>
    <t>＞1并且≤3.2</t>
  </si>
  <si>
    <t>2019-06-10</t>
  </si>
  <si>
    <t>渝[2019]25号-3</t>
  </si>
  <si>
    <t>OPPO(重庆)智能科技有限公司</t>
  </si>
  <si>
    <t>渝北区两路组团F分区F134-2号宗地</t>
  </si>
  <si>
    <t>渝北区人和组团B标准分区B28-1(部分)号宗地</t>
  </si>
  <si>
    <t>2019-03-15</t>
  </si>
  <si>
    <t>渝[2019]5号-2</t>
  </si>
  <si>
    <t>和通汽车投资有限公司</t>
  </si>
  <si>
    <t>两江新区龙兴组团V分区V13-2/02号宗地</t>
  </si>
  <si>
    <t>加油加气站用地</t>
  </si>
  <si>
    <t>2019-01-21</t>
  </si>
  <si>
    <t>渝[2018]54号-2</t>
  </si>
  <si>
    <t>渝北区两路组团S标准分区S61-1(部分)、S64-1(部分)、S68-1/02、S69-3/02(部分)、S74-1(部分)、S75-1、S79-1/02、S80-1/02(部分)、S81-1/02(部分)号宗地</t>
  </si>
  <si>
    <t>商业用地、商务用地、社会停车场用地、公共交通场站用地</t>
  </si>
  <si>
    <t>重庆仙桃数据谷投资管理有限公司</t>
  </si>
  <si>
    <t>两江新区人和组团M分区M9-2/02号宗地</t>
  </si>
  <si>
    <t>其它商务用地、防护绿地</t>
  </si>
  <si>
    <t>2017-08-17</t>
  </si>
  <si>
    <t>渝[2017]26号-2</t>
  </si>
  <si>
    <t>渝北区人和组团B分区25-3号宗地</t>
  </si>
  <si>
    <t>＞1并且≤4</t>
  </si>
  <si>
    <t>重庆飞洋控股(集团)有限公司、重庆创拓房地产开发有限公司</t>
  </si>
  <si>
    <t>渝北区观音桥组团I分区I01-2/03号宗地</t>
  </si>
  <si>
    <t>＞1</t>
  </si>
  <si>
    <t>2017-07-21</t>
  </si>
  <si>
    <t>渝[2017]23号-1</t>
  </si>
  <si>
    <t>中国石油天然气股份有限公司重庆销售分公司</t>
  </si>
  <si>
    <t>两江新区礼嘉组团B标准分区B13-3-1/04、B21-4-2/07、B21-3-2/06、B13-4-2/06号宗地</t>
  </si>
  <si>
    <t>娱乐康体用地、商业用地</t>
  </si>
  <si>
    <t>≥1并且≤1.5</t>
  </si>
  <si>
    <t>2017-06-07</t>
  </si>
  <si>
    <t>渝[2017]16号-4</t>
  </si>
  <si>
    <t>两江新区大竹林组团O分区O9-7/05(部分)宗地</t>
  </si>
  <si>
    <t>商业商务用地</t>
  </si>
  <si>
    <t>2017-05-16</t>
  </si>
  <si>
    <t>渝[2017]13号-3</t>
  </si>
  <si>
    <t>重庆城市综合交通枢纽(集团)有限公司</t>
  </si>
  <si>
    <t>两江新区龙兴组团C标准分区C59-1/02、C60-1/02号宗地</t>
  </si>
  <si>
    <t>其他商服用地</t>
  </si>
  <si>
    <t>渝[2017]7号-5</t>
  </si>
  <si>
    <t>重庆两江新区产业发展集团有限公司</t>
  </si>
  <si>
    <t>两江新区龙兴组团C标准分区C64*-1/02号宗地</t>
  </si>
  <si>
    <t>渝[2017]7号-4</t>
  </si>
  <si>
    <t>两江新区两路组团J分区J15-1-2/05号宗地</t>
  </si>
  <si>
    <t>＞1且≤2</t>
  </si>
  <si>
    <t>2017-03-13</t>
  </si>
  <si>
    <t>渝[2017]5号-1</t>
  </si>
  <si>
    <t>重庆保税港区开发管理集团有限公司</t>
  </si>
  <si>
    <t>渝北区两路组团G分区G45-1-2/02号宗地</t>
  </si>
  <si>
    <t>≤2</t>
  </si>
  <si>
    <t>渝国土房管告字[2016]38号-2</t>
  </si>
  <si>
    <t>重庆华星锦业汽车销售服务有限公司、重庆北部农业开发(集团)有限公司</t>
  </si>
  <si>
    <t>九龙坡区大杨石组团Q分区QF2-6/03号宗地</t>
  </si>
  <si>
    <t>商业商务混合用地</t>
  </si>
  <si>
    <t>渝[2019]26号-3</t>
  </si>
  <si>
    <t>重庆烽凌实业有限公司、解沛松、张爽、钟晓玲、李松</t>
  </si>
  <si>
    <t>九龙坡区大杨石组团Q分区F2-3-1/04号宗地</t>
  </si>
  <si>
    <t>渝[2019]23号-1</t>
  </si>
  <si>
    <t>重庆九龙园高新产业集团有限公司</t>
  </si>
  <si>
    <t>九龙坡区西永组团D分区D12-1/02(部分2)号宗地</t>
  </si>
  <si>
    <t>2019-03-26</t>
  </si>
  <si>
    <t>渝[2019]8号-3</t>
  </si>
  <si>
    <t>陕西建工房地产开发集团有限公司、重庆高新区开发投资集团有限公司</t>
  </si>
  <si>
    <t>九龙坡区二郎科技新城组团A分区A2-1-2/04号宗地</t>
  </si>
  <si>
    <t>商务用地</t>
  </si>
  <si>
    <t>＞1并且≤2.34</t>
  </si>
  <si>
    <t>渝[2019]5号-1</t>
  </si>
  <si>
    <t>九龙坡区大渡口组团V分区V12-4/03号宗地</t>
  </si>
  <si>
    <t>2018-11-20</t>
  </si>
  <si>
    <t>渝[2018]44号-3</t>
  </si>
  <si>
    <t>重庆市九龙坡区九龙石油有限公司</t>
  </si>
  <si>
    <t>九龙坡区西彭组团R分区R57-7/02号宗地</t>
  </si>
  <si>
    <t>2018-10-22</t>
  </si>
  <si>
    <t>渝[2018]40号-4</t>
  </si>
  <si>
    <t>重庆福芝生石油销售有限公司</t>
  </si>
  <si>
    <t>九龙坡区大杨石组团G分区G13-8/03号宗地</t>
  </si>
  <si>
    <t>商务用地、商业用地</t>
  </si>
  <si>
    <t>2018-10-16</t>
  </si>
  <si>
    <t>渝[2018]39号-1</t>
  </si>
  <si>
    <t>重庆金鹏物业(集团)有限公司</t>
  </si>
  <si>
    <t>九龙坡区大渡口组团I分区I10-2-2/03号宗地</t>
  </si>
  <si>
    <t>2018-06-26</t>
  </si>
  <si>
    <t>渝[2018]21号-1</t>
  </si>
  <si>
    <t>重庆酒宜实业有限公司、重庆陆幺陆实业有限公司</t>
  </si>
  <si>
    <t>九龙坡区大杨石组团M分区M6-4/03号宗地</t>
  </si>
  <si>
    <t>2018-01-30</t>
  </si>
  <si>
    <t>渝[2018]1号-2</t>
  </si>
  <si>
    <t>重庆市蟠龙加油站有限公司</t>
  </si>
  <si>
    <t>九龙坡区大杨石组团H分区H10-2/02号宗地</t>
  </si>
  <si>
    <t>九龙坡区大杨石组团H分区H10-2/03号宗地</t>
  </si>
  <si>
    <t>≤6</t>
  </si>
  <si>
    <t>渝[2017]45号-2</t>
  </si>
  <si>
    <t>华硕电脑(重庆)有限公司</t>
  </si>
  <si>
    <t>九龙坡区大杨石组团W分区W01-3-2/05、W01-10/04(地下空间)号宗地</t>
  </si>
  <si>
    <t>商业商务混合用地、公园绿地兼容娱乐康体及社会停车场用地</t>
  </si>
  <si>
    <t>≤3.11</t>
  </si>
  <si>
    <t>渝国土房管告字[2016]46号-7</t>
  </si>
  <si>
    <t>重庆五洲世纪文化产业投资集团有限公司、重庆国洲文化产业有限公司</t>
  </si>
  <si>
    <t>沙坪坝区西永组团W标准分区W53-1-2/04号宗地</t>
  </si>
  <si>
    <t>渝[2019]28号-1</t>
  </si>
  <si>
    <t>重庆南山国际汽车港发展有限公司、苏州南山新吴房地产开发有限公司</t>
  </si>
  <si>
    <t>沙坪坝区西永组团W标准分区W52-5/04号宗地</t>
  </si>
  <si>
    <t>沙坪坝区西永组团X标准分区X21-01-1/04、X21-01-2/04、X21-01-3/04号宗地</t>
  </si>
  <si>
    <t>渝[2019]22号-1</t>
  </si>
  <si>
    <t>重庆园投仓储服务有限公司</t>
  </si>
  <si>
    <t>商业40年,办公40年</t>
  </si>
  <si>
    <t>沙坪坝区沙坪坝组团A标准分区A03-11/03号宗地</t>
  </si>
  <si>
    <t>≤0.8</t>
  </si>
  <si>
    <t>渝[2018]54号-1</t>
  </si>
  <si>
    <t>金融街重庆裕隆实业有限公司</t>
  </si>
  <si>
    <t>沙坪坝区西永组团I标准分区I64-01/05、I67-01/05号宗地</t>
  </si>
  <si>
    <t>零售商业用地</t>
  </si>
  <si>
    <t>≤1</t>
  </si>
  <si>
    <t>渝[2018]7号-3</t>
  </si>
  <si>
    <t>Summer*Rhythm*Limited</t>
  </si>
  <si>
    <t>沙坪坝区西永组团L标准分区L70/04(部分)号宗地</t>
  </si>
  <si>
    <t>娱乐健康用地、商业用地</t>
  </si>
  <si>
    <t>≤0.36</t>
  </si>
  <si>
    <t>2017-12-13</t>
  </si>
  <si>
    <t>渝[2017]46号-2</t>
  </si>
  <si>
    <t>大连万达商业地产股份有限公司</t>
  </si>
  <si>
    <t>沙坪坝区沙坪坝组团A标准分区A03-10/02号宗地</t>
  </si>
  <si>
    <t>渝[2017]26号-1</t>
  </si>
  <si>
    <t>沙坪坝区沙坪坝组团D分区D11-1/04、D11-2/04号</t>
  </si>
  <si>
    <t>≥1并且≤5.9</t>
  </si>
  <si>
    <t>2017-06-16</t>
  </si>
  <si>
    <t>渝[2017]18号-4</t>
  </si>
  <si>
    <t>沙坪坝区沙坪坝组团A标准分区A03-10/02、A03-11/02号宗地</t>
  </si>
  <si>
    <t>2017-02-09</t>
  </si>
  <si>
    <t>渝[2017]3号-4</t>
  </si>
  <si>
    <t>沙坪坝区西永组团L分区L70/04号宗地</t>
  </si>
  <si>
    <t>2017-01-26</t>
  </si>
  <si>
    <t>渝国[2017]2号-5</t>
  </si>
  <si>
    <t>沙坪坝区大杨石组团A分区A10/03号宗地</t>
  </si>
  <si>
    <t>≤2.73</t>
  </si>
  <si>
    <t>渝国土房管告字[2016]40号-1</t>
  </si>
  <si>
    <t>沙坪坝区西永组团J标准分区J12-01/02号宗地</t>
  </si>
  <si>
    <t>按规划要求</t>
  </si>
  <si>
    <t>2016-12-07</t>
  </si>
  <si>
    <t>渝国土房管告字[2016]36号-1</t>
  </si>
  <si>
    <t>商务商业用地</t>
  </si>
  <si>
    <t>商务商业用地</t>
    <phoneticPr fontId="143" type="noConversion"/>
  </si>
  <si>
    <t>成本法</t>
  </si>
  <si>
    <t>假设开发法</t>
  </si>
  <si>
    <t xml:space="preserve">《重庆市房产面积预测算报告书》
</t>
    <phoneticPr fontId="143" type="noConversion"/>
  </si>
  <si>
    <t>编号：XRFC201702062</t>
    <phoneticPr fontId="143" type="noConversion"/>
  </si>
  <si>
    <t>楼层</t>
    <phoneticPr fontId="3" type="noConversion"/>
  </si>
  <si>
    <t>比例</t>
    <phoneticPr fontId="3" type="noConversion"/>
  </si>
  <si>
    <t>租金</t>
    <phoneticPr fontId="3" type="noConversion"/>
  </si>
  <si>
    <t>商业</t>
    <phoneticPr fontId="3" type="noConversion"/>
  </si>
  <si>
    <t>平均</t>
    <phoneticPr fontId="3" type="noConversion"/>
  </si>
  <si>
    <t>复印件</t>
  </si>
  <si>
    <t>《不动产登记证明》</t>
    <phoneticPr fontId="87" type="noConversion"/>
  </si>
  <si>
    <t>否</t>
  </si>
  <si>
    <t>项目全部</t>
  </si>
  <si>
    <t>成本比率</t>
  </si>
  <si>
    <t>同一抵押权人同一抵押物续贷</t>
  </si>
  <si>
    <t>规划建筑面积</t>
  </si>
  <si>
    <t>土地面积</t>
  </si>
  <si>
    <t>住宅</t>
    <phoneticPr fontId="25" type="noConversion"/>
  </si>
  <si>
    <t>40-50（含）</t>
  </si>
  <si>
    <t>六通</t>
  </si>
  <si>
    <t>高层</t>
    <phoneticPr fontId="25" type="noConversion"/>
  </si>
  <si>
    <t>钢混</t>
    <phoneticPr fontId="25" type="noConversion"/>
  </si>
  <si>
    <t>中档</t>
  </si>
  <si>
    <t>中档</t>
    <phoneticPr fontId="25" type="noConversion"/>
  </si>
  <si>
    <t>精装修</t>
  </si>
  <si>
    <t>精装修</t>
    <phoneticPr fontId="25" type="noConversion"/>
  </si>
  <si>
    <t>专业</t>
  </si>
  <si>
    <t>专业</t>
    <phoneticPr fontId="25" type="noConversion"/>
  </si>
  <si>
    <t>六通</t>
    <phoneticPr fontId="25" type="noConversion"/>
  </si>
  <si>
    <t>平层</t>
  </si>
  <si>
    <t>平层</t>
    <phoneticPr fontId="25" type="noConversion"/>
  </si>
  <si>
    <t>精装</t>
  </si>
  <si>
    <t>精装</t>
    <phoneticPr fontId="25" type="noConversion"/>
  </si>
  <si>
    <t>简装</t>
    <phoneticPr fontId="25" type="noConversion"/>
  </si>
  <si>
    <t>毛坯</t>
  </si>
  <si>
    <t>毛坯</t>
    <phoneticPr fontId="25" type="noConversion"/>
  </si>
  <si>
    <t>中高档</t>
    <phoneticPr fontId="25" type="noConversion"/>
  </si>
  <si>
    <t>龙湖·唐宁ONE</t>
    <phoneticPr fontId="3" type="noConversion"/>
  </si>
  <si>
    <t>五星南路</t>
    <phoneticPr fontId="3" type="noConversion"/>
  </si>
  <si>
    <t>新华协信中心</t>
    <phoneticPr fontId="3" type="noConversion"/>
  </si>
  <si>
    <t>E客公寓</t>
    <phoneticPr fontId="3" type="noConversion"/>
  </si>
  <si>
    <t>30-40（含）</t>
  </si>
  <si>
    <t>公寓</t>
    <phoneticPr fontId="25" type="noConversion"/>
  </si>
  <si>
    <t>恒大御龙天峰</t>
    <phoneticPr fontId="3" type="noConversion"/>
  </si>
  <si>
    <t>售价</t>
  </si>
  <si>
    <t>商住</t>
  </si>
  <si>
    <t>商住</t>
    <phoneticPr fontId="31" type="noConversion"/>
  </si>
  <si>
    <t>钢混</t>
    <phoneticPr fontId="31" type="noConversion"/>
  </si>
  <si>
    <t>精装修</t>
    <phoneticPr fontId="31" type="noConversion"/>
  </si>
  <si>
    <t>五通</t>
  </si>
  <si>
    <t>五通</t>
    <phoneticPr fontId="31" type="noConversion"/>
  </si>
  <si>
    <t>标准层高</t>
  </si>
  <si>
    <t>标准层高</t>
    <phoneticPr fontId="31" type="noConversion"/>
  </si>
  <si>
    <t>毛坯</t>
    <phoneticPr fontId="31" type="noConversion"/>
  </si>
  <si>
    <t>精装</t>
    <phoneticPr fontId="31" type="noConversion"/>
  </si>
  <si>
    <t>简装</t>
    <phoneticPr fontId="31" type="noConversion"/>
  </si>
  <si>
    <r>
      <t>2017</t>
    </r>
    <r>
      <rPr>
        <b/>
        <sz val="10"/>
        <color indexed="8"/>
        <rFont val="宋体"/>
        <family val="3"/>
        <charset val="134"/>
      </rPr>
      <t>年评估值</t>
    </r>
    <phoneticPr fontId="8" type="noConversion"/>
  </si>
  <si>
    <t>万元</t>
    <phoneticPr fontId="8" type="noConversion"/>
  </si>
  <si>
    <r>
      <t>2017</t>
    </r>
    <r>
      <rPr>
        <b/>
        <sz val="9"/>
        <color indexed="8"/>
        <rFont val="宋体"/>
        <family val="3"/>
        <charset val="134"/>
      </rPr>
      <t>年物业单价</t>
    </r>
    <phoneticPr fontId="18" type="noConversion"/>
  </si>
  <si>
    <t>租金</t>
    <phoneticPr fontId="18" type="noConversion"/>
  </si>
  <si>
    <t>地上商业</t>
    <phoneticPr fontId="18" type="noConversion"/>
  </si>
  <si>
    <t>地下商业</t>
    <phoneticPr fontId="18" type="noConversion"/>
  </si>
  <si>
    <t>地下车库</t>
    <phoneticPr fontId="18" type="noConversion"/>
  </si>
  <si>
    <t>开发完成后房地产价值</t>
    <phoneticPr fontId="18" type="noConversion"/>
  </si>
  <si>
    <t>公寓（T1）</t>
    <phoneticPr fontId="18" type="noConversion"/>
  </si>
  <si>
    <t>办公（T2、T3）</t>
    <phoneticPr fontId="18" type="noConversion"/>
  </si>
  <si>
    <t>渝中区渝中组团H分区3-4/03、3-9-1/03、3-6/03号宗地</t>
  </si>
  <si>
    <t>公园绿地、商业用地、商务用地、社会停车场用地</t>
  </si>
  <si>
    <t>≤1.38</t>
  </si>
  <si>
    <t>2016-10-20</t>
  </si>
  <si>
    <t>渝国土房管告字[2016]31号-3</t>
  </si>
  <si>
    <t>杭州新天地集团有限公司</t>
  </si>
  <si>
    <t>40年、50年</t>
  </si>
  <si>
    <t>江北区大石坝组团A分区A2-1-2/02号宗地</t>
  </si>
  <si>
    <t>2016-09-09</t>
  </si>
  <si>
    <t>渝国土房管告字[2016]26号-1</t>
  </si>
  <si>
    <t>重庆中油现代交通油料有限责任公司</t>
  </si>
  <si>
    <t>江北区观音桥组团O07-1/02、O07-2/02号宗地</t>
  </si>
  <si>
    <t>商业用地、商务用地、社会停车场用地</t>
  </si>
  <si>
    <t>＞1且≤1.37</t>
  </si>
  <si>
    <t>2016-07-12</t>
  </si>
  <si>
    <t>渝国土房管告字[2016]19号-1</t>
  </si>
  <si>
    <t>重庆市澜凯房地产开发有限公司</t>
  </si>
  <si>
    <t>渝中区渝中组团J分区J9-2/03号宗地</t>
  </si>
  <si>
    <t>大于1并且小于或等于2.25</t>
  </si>
  <si>
    <t>2016-05-17</t>
  </si>
  <si>
    <t>渝国土房管告字[2016]11号</t>
  </si>
  <si>
    <t>重庆市诚投房地产开发有限公司</t>
  </si>
  <si>
    <t>两江新区鱼嘴组团Q分区Q13-3/01号宗地</t>
  </si>
  <si>
    <t>2016-01-13</t>
  </si>
  <si>
    <t>渝国土房管告字[2015]63号-2</t>
  </si>
  <si>
    <t>重庆两江新区鱼复工业园建设投资有限公司</t>
  </si>
  <si>
    <t>两江新区鱼嘴组团A分区A01-4/03号宗地</t>
  </si>
  <si>
    <t>渝国土房管告字[2015]63号-1</t>
  </si>
  <si>
    <t>两江新区鱼嘴组团C标准分区C7-3/01号宗地</t>
  </si>
  <si>
    <t>商业用地</t>
  </si>
  <si>
    <t>大于1并且小于或等于2</t>
  </si>
  <si>
    <t>2015-12-21</t>
  </si>
  <si>
    <t>渝国土房管告字[2015]56号-1</t>
  </si>
  <si>
    <t>两江新区鱼嘴组团M标准分区M21/01、M23-1/01号宗地</t>
  </si>
  <si>
    <t>大于1并且小于或等于2.5</t>
  </si>
  <si>
    <t>2015-12-04</t>
  </si>
  <si>
    <t>渝国土房管告字[2015]52号-2</t>
  </si>
  <si>
    <t>两江新区鱼嘴组团P标准分区P22-2/02、P26-2/03号宗地</t>
  </si>
  <si>
    <t>小于或等于2.1</t>
  </si>
  <si>
    <t>2015-11-27</t>
  </si>
  <si>
    <t>渝国土房管告字[2015]51号-4</t>
  </si>
  <si>
    <t>重庆两江新区格力地产有限公司</t>
  </si>
  <si>
    <t>渝中区渝中组团E分区E18-2号宗地</t>
  </si>
  <si>
    <t>文化设施用地、娱乐用地、商业用地、商务用地</t>
  </si>
  <si>
    <t>≤19.8</t>
  </si>
  <si>
    <t>2015-09-28</t>
  </si>
  <si>
    <t>渝国土房管告字[2015]41号-7</t>
  </si>
  <si>
    <t>重庆新华书店集团公司、重庆新华传媒有限公司、重庆北青实业有限公司</t>
  </si>
  <si>
    <t>江北区唐家沱组团E分区E28-1/02号宗地</t>
  </si>
  <si>
    <t>渝国土房管告字[2015]41号-1</t>
  </si>
  <si>
    <t>重庆市港城工业园区建设有限公司</t>
  </si>
  <si>
    <t>两江新区鱼嘴组团P标准分区P8-1/01、P8-3/01号宗地</t>
  </si>
  <si>
    <t>渝国土房管告字[2015]41号-8</t>
  </si>
  <si>
    <t>重庆绿满川农业发展有限公司</t>
  </si>
  <si>
    <t>江北区观音桥组团I分区I17-1-2/02号宗地</t>
  </si>
  <si>
    <t>大于或等于1并且小于或等于7.5</t>
  </si>
  <si>
    <t>2015-02-12</t>
  </si>
  <si>
    <t>渝国土房管告字[2015]2号-2</t>
  </si>
  <si>
    <t>重庆新协文实业有限公司</t>
  </si>
  <si>
    <t>两江新区鱼嘴组团P标准分区P22-2/01、P26-2/03号宗地</t>
  </si>
  <si>
    <t>商业用地、商业商务用地</t>
  </si>
  <si>
    <t>大于或等于1并且小于或等于2.93</t>
  </si>
  <si>
    <t>2015-02-04</t>
  </si>
  <si>
    <t>渝国土房管告字[2015]1号-4</t>
  </si>
  <si>
    <t>格力地产</t>
  </si>
  <si>
    <t>两江新区鱼嘴组团J标准分区J04-9/01号宗地</t>
  </si>
  <si>
    <t>2014-11-26</t>
  </si>
  <si>
    <t>渝国土房管告字[2014]50号-2</t>
  </si>
  <si>
    <t>两江新区鱼嘴组团P标准分区P7-1/01(部分一)号宗地</t>
  </si>
  <si>
    <t>大于1并且小于或等于1.5</t>
  </si>
  <si>
    <t>2014-11-10</t>
  </si>
  <si>
    <t>渝国土房管告字[2014]47号-3</t>
  </si>
  <si>
    <t>重庆市荣渝房地产开发有限责任公司</t>
  </si>
  <si>
    <t>两江新区鱼嘴组团P标准分区P7-1/01(部分二)号宗地</t>
  </si>
  <si>
    <t>渝国土房管告字[2014]47号-4</t>
  </si>
  <si>
    <t>张伟</t>
  </si>
  <si>
    <t>两江新区鱼嘴组团P分区P5-1/01号宗地</t>
  </si>
  <si>
    <t>渝国土房管告字[2014]47号-2</t>
  </si>
  <si>
    <t>重庆三峡联合国际实业发展有限公司</t>
  </si>
  <si>
    <t>两江新区唐家沱组团G分区G4-1/05号地块</t>
  </si>
  <si>
    <t>B1B2(商业商务用地)</t>
  </si>
  <si>
    <t>≤2.3</t>
  </si>
  <si>
    <t>2014-05-04</t>
  </si>
  <si>
    <t>渝国土房管告字[2014]12号-2</t>
  </si>
  <si>
    <t>重庆市保税港区世隆投资管理有限公司</t>
  </si>
  <si>
    <t>两江新区鱼复组团C标准分区C10-5/02号宗地</t>
  </si>
  <si>
    <t>渝国土房管告字[2014]13号-2</t>
  </si>
  <si>
    <t>两江新区鱼复组团C标准分区C6-6/01号宗地</t>
  </si>
  <si>
    <t>渝国土房管告字[2014]13号-1</t>
  </si>
  <si>
    <t>两江新区鱼嘴组团P标准分区P12-2/02、P16-3/01、P19-1/01、P21-1/03宗地</t>
  </si>
  <si>
    <t>＞1、≤1.7</t>
  </si>
  <si>
    <t>2014-01-20</t>
  </si>
  <si>
    <t>渝国土房管告字[2013]71号-6</t>
  </si>
  <si>
    <t>渝中区大杨石组团I分区I-6-1宗地</t>
  </si>
  <si>
    <t>≤0.9</t>
  </si>
  <si>
    <t>2013-12-03</t>
  </si>
  <si>
    <t>渝国土房管告字[2013]59号-8</t>
  </si>
  <si>
    <t>重庆渝地投资有限公司</t>
  </si>
  <si>
    <t>两江新区鱼嘴组团P分区P6-1/01号地块</t>
  </si>
  <si>
    <t>＞1、≤1.5</t>
  </si>
  <si>
    <t>2013-11-20</t>
  </si>
  <si>
    <t>渝国土房管告字[2013]56号-6</t>
  </si>
  <si>
    <t>江北区大石坝组团G分区G15-4-2/04号宗地(1号地块)</t>
  </si>
  <si>
    <t>＞1、≤2</t>
  </si>
  <si>
    <t>2013-10-21</t>
  </si>
  <si>
    <t>渝国土房管告字[2013]52号-7</t>
  </si>
  <si>
    <t>重庆市德源水电开发(集团)有限公司、重庆飞龙科技集团</t>
  </si>
  <si>
    <t>渝中区渝中组团F分区F20-2/02宗地</t>
  </si>
  <si>
    <t>＞1、≤10</t>
  </si>
  <si>
    <t>渝国土房管告字[2013]52号-1</t>
  </si>
  <si>
    <t>重庆浙商新业置业发展有限公司</t>
  </si>
  <si>
    <t>渝中区大杨石组团A分区A38-1/08宗地</t>
  </si>
  <si>
    <t>＞1、≤2.4</t>
  </si>
  <si>
    <t>2013-10-18</t>
  </si>
  <si>
    <t>渝国土房管告字[2013]51号-1</t>
  </si>
  <si>
    <t>重庆渝中总部经济建设投资有限公司</t>
  </si>
  <si>
    <t>两江新区鱼复片区组团P标准分区P13-1/01、P17-1/01宗地</t>
  </si>
  <si>
    <t>＞1、≤2.3</t>
  </si>
  <si>
    <t>2013-09-18</t>
  </si>
  <si>
    <t>渝国土房管告字[2013]42号-2</t>
  </si>
  <si>
    <t>两江新区鱼嘴组团C分区C59-1/01、C60-1/01宗地</t>
  </si>
  <si>
    <t>＞1、≤1.8</t>
  </si>
  <si>
    <t>渝国土房管告字[2013]42号-3</t>
  </si>
  <si>
    <t>重庆同景置业有限公司</t>
  </si>
  <si>
    <t>两江新区鱼嘴组团P分区P1-1/01(部分二)</t>
  </si>
  <si>
    <t>2013-09-05</t>
  </si>
  <si>
    <t>渝国土房管告字[2013]41号-2</t>
  </si>
  <si>
    <t>重庆智和地产有限公司</t>
  </si>
  <si>
    <t>渝中区渝中半岛组团E分区E35-1宗地</t>
  </si>
  <si>
    <t>≤10.6</t>
  </si>
  <si>
    <t>2013-09-03</t>
  </si>
  <si>
    <t>渝国土房管告字[2013]39号</t>
  </si>
  <si>
    <t>重庆市渝中地产经营投资有限公司、上海艺京投资有限公司</t>
  </si>
  <si>
    <t>两江新区鱼嘴组团P分区P1-1/01(部分一)宗地</t>
  </si>
  <si>
    <t>2013-08-29</t>
  </si>
  <si>
    <t>渝国土房管告字[2013]38号-8</t>
  </si>
  <si>
    <t>重庆清泽实业有限公司</t>
  </si>
  <si>
    <t>两江新区鱼嘴组团P分区P3-1/01宗地</t>
  </si>
  <si>
    <t>≤1.8</t>
  </si>
  <si>
    <t>渝国土房管告字[2013]38号-6</t>
  </si>
  <si>
    <t>江北区观音桥组团E分区E6-1-7/03号宗地</t>
  </si>
  <si>
    <t>商务金融用地</t>
  </si>
  <si>
    <t>小于或等于4</t>
  </si>
  <si>
    <t>2012-12-04</t>
  </si>
  <si>
    <t>渝国土房管告字[2012]40号</t>
  </si>
  <si>
    <t>重庆中瑞实业有限公司</t>
  </si>
  <si>
    <t>江北区唐家沱组团I分区I8-2/02号宗地</t>
  </si>
  <si>
    <t>2012-10-17</t>
  </si>
  <si>
    <t>中维地产重庆有限公司</t>
  </si>
  <si>
    <t>江北区江北城组团A分区A13-1/05号宗地</t>
  </si>
  <si>
    <t>小于或等于18.88</t>
  </si>
  <si>
    <t>2012-10-15</t>
  </si>
  <si>
    <t>重庆华城富丽房地产开发有限公司</t>
  </si>
  <si>
    <t>江北区大石坝组团B分区B8-3/03号宗地</t>
  </si>
  <si>
    <t>批发零售用地</t>
  </si>
  <si>
    <t>小于或等于1.5</t>
  </si>
  <si>
    <t>2012-03-14</t>
  </si>
  <si>
    <t>两江新区鱼嘴组团B、C标准分区(汽车城南区)C7-3/01号宗地</t>
  </si>
  <si>
    <t>小于或等于2</t>
  </si>
  <si>
    <t>2012-02-01</t>
  </si>
  <si>
    <t>重庆天龙房地产开发有限公司</t>
  </si>
  <si>
    <t>两江新区组团A、F、I、J标准分区A01-2/03号宗地</t>
  </si>
  <si>
    <t>2012-01-16</t>
  </si>
  <si>
    <t>江北区观音桥组团L分区L01-4/02、L01-3/02号宗地</t>
  </si>
  <si>
    <t>≤4.5</t>
  </si>
  <si>
    <t>2011-12-30</t>
  </si>
  <si>
    <t>重庆中鹏实业有限公司、新华信托股份有限公司</t>
  </si>
  <si>
    <t>江北区观音桥组团J分区J15-2/01号宗地(地下)</t>
  </si>
  <si>
    <t>商业(地下)</t>
  </si>
  <si>
    <t>2011-12-28</t>
  </si>
  <si>
    <t>重庆海洋公园有限公司</t>
  </si>
  <si>
    <t>江北区观音桥组团M分区M21-3/04号宗地</t>
  </si>
  <si>
    <t>2011-12-19</t>
  </si>
  <si>
    <t>重庆北部土地整治有限责任公司、重庆鼎升房地产开发有限公司</t>
  </si>
  <si>
    <t>江北区观音桥组团I分区I02-2-2/03号宗地</t>
  </si>
  <si>
    <t>≤4</t>
  </si>
  <si>
    <t>2011-12-15</t>
  </si>
  <si>
    <t>重庆中耀房地产开发有限公司</t>
  </si>
  <si>
    <t>两江新区鱼嘴组团C标准分区C11-2-4/01号宗地</t>
  </si>
  <si>
    <t>≤1.4</t>
  </si>
  <si>
    <t>2011-12-02</t>
  </si>
  <si>
    <t>两江新区鱼嘴组团A、F、I、J标准分区F08-6/02号宗地</t>
  </si>
  <si>
    <t>≤2.2</t>
  </si>
  <si>
    <t>重庆渝闽投资有限公司</t>
  </si>
  <si>
    <t>2016-3</t>
    <phoneticPr fontId="143" type="noConversion"/>
  </si>
  <si>
    <t>2016-2</t>
    <phoneticPr fontId="143" type="noConversion"/>
  </si>
  <si>
    <t>2016-1</t>
    <phoneticPr fontId="143" type="noConversion"/>
  </si>
  <si>
    <t>2015-4</t>
    <phoneticPr fontId="143" type="noConversion"/>
  </si>
  <si>
    <t>2015-3</t>
    <phoneticPr fontId="143" type="noConversion"/>
  </si>
  <si>
    <t>2015-2</t>
    <phoneticPr fontId="143" type="noConversion"/>
  </si>
  <si>
    <t>2015-1</t>
    <phoneticPr fontId="143" type="noConversion"/>
  </si>
  <si>
    <t>合计</t>
    <phoneticPr fontId="18" type="noConversion"/>
  </si>
  <si>
    <t>住宅</t>
    <phoneticPr fontId="18" type="noConversion"/>
  </si>
  <si>
    <t>公寓</t>
    <phoneticPr fontId="18" type="noConversion"/>
  </si>
  <si>
    <t>商业</t>
    <phoneticPr fontId="18" type="noConversion"/>
  </si>
  <si>
    <t>车库</t>
    <phoneticPr fontId="18" type="noConversion"/>
  </si>
  <si>
    <r>
      <t>21000</t>
    </r>
    <r>
      <rPr>
        <b/>
        <sz val="9"/>
        <color indexed="8"/>
        <rFont val="宋体"/>
        <family val="3"/>
        <charset val="134"/>
      </rPr>
      <t>往上（精装）</t>
    </r>
    <phoneticPr fontId="18" type="noConversion"/>
  </si>
  <si>
    <r>
      <t>18500</t>
    </r>
    <r>
      <rPr>
        <b/>
        <sz val="9"/>
        <color indexed="8"/>
        <rFont val="宋体"/>
        <family val="3"/>
        <charset val="134"/>
      </rPr>
      <t>（毛坯）</t>
    </r>
    <phoneticPr fontId="18" type="noConversion"/>
  </si>
  <si>
    <t>租金可支撑</t>
    <phoneticPr fontId="18" type="noConversion"/>
  </si>
  <si>
    <t>车位数</t>
    <phoneticPr fontId="18" type="noConversion"/>
  </si>
  <si>
    <r>
      <rPr>
        <sz val="10"/>
        <rFont val="宋体"/>
        <family val="3"/>
        <charset val="134"/>
      </rPr>
      <t>江北区观音桥组团</t>
    </r>
    <r>
      <rPr>
        <sz val="10"/>
        <rFont val="Arial"/>
        <family val="2"/>
      </rPr>
      <t>I</t>
    </r>
    <r>
      <rPr>
        <sz val="10"/>
        <rFont val="宋体"/>
        <family val="3"/>
        <charset val="134"/>
      </rPr>
      <t>分区</t>
    </r>
    <r>
      <rPr>
        <sz val="10"/>
        <rFont val="Arial"/>
        <family val="2"/>
      </rPr>
      <t>I17-1-2/02</t>
    </r>
    <r>
      <rPr>
        <sz val="10"/>
        <rFont val="宋体"/>
        <family val="3"/>
        <charset val="134"/>
      </rPr>
      <t>号宗地</t>
    </r>
    <phoneticPr fontId="143" type="noConversion"/>
  </si>
  <si>
    <t>较规则</t>
  </si>
  <si>
    <t>较规则</t>
    <phoneticPr fontId="31" type="noConversion"/>
  </si>
  <si>
    <t>较适宜</t>
  </si>
  <si>
    <t>较适宜</t>
    <phoneticPr fontId="31" type="noConversion"/>
  </si>
  <si>
    <t>五通一平</t>
  </si>
  <si>
    <t>五通一平</t>
    <phoneticPr fontId="31" type="noConversion"/>
  </si>
  <si>
    <t>较好</t>
    <phoneticPr fontId="31" type="noConversion"/>
  </si>
  <si>
    <t>工程地质条件</t>
  </si>
  <si>
    <t>六通一平</t>
  </si>
  <si>
    <t>六通一平</t>
    <phoneticPr fontId="31" type="noConversion"/>
  </si>
  <si>
    <t>新华协信中心</t>
    <phoneticPr fontId="143" type="noConversion"/>
  </si>
  <si>
    <t>金融街融景城</t>
    <phoneticPr fontId="3" type="noConversion"/>
  </si>
  <si>
    <t>卓越皇后道</t>
    <phoneticPr fontId="3" type="noConversion"/>
  </si>
  <si>
    <t>E客公寓</t>
    <phoneticPr fontId="3" type="noConversion"/>
  </si>
  <si>
    <t>恒大嘉州城</t>
    <phoneticPr fontId="3" type="noConversion"/>
  </si>
  <si>
    <t>较好</t>
    <phoneticPr fontId="31" type="noConversion"/>
  </si>
  <si>
    <t>一般</t>
    <phoneticPr fontId="31" type="noConversion"/>
  </si>
  <si>
    <t>建筑品质</t>
    <phoneticPr fontId="31" type="noConversion"/>
  </si>
  <si>
    <t>建字第500105201900030号</t>
    <phoneticPr fontId="143" type="noConversion"/>
  </si>
  <si>
    <t>合计</t>
    <phoneticPr fontId="143" type="noConversion"/>
  </si>
  <si>
    <t>地下</t>
    <phoneticPr fontId="143" type="noConversion"/>
  </si>
  <si>
    <t>1层</t>
    <phoneticPr fontId="143" type="noConversion"/>
  </si>
  <si>
    <t>商业</t>
    <phoneticPr fontId="143" type="noConversion"/>
  </si>
  <si>
    <t>设备</t>
    <phoneticPr fontId="143" type="noConversion"/>
  </si>
  <si>
    <t>其他（通道）</t>
    <phoneticPr fontId="143" type="noConversion"/>
  </si>
  <si>
    <t>2层</t>
    <phoneticPr fontId="143" type="noConversion"/>
  </si>
  <si>
    <t>物管用房</t>
    <phoneticPr fontId="143" type="noConversion"/>
  </si>
  <si>
    <t>垃圾站</t>
    <phoneticPr fontId="143" type="noConversion"/>
  </si>
  <si>
    <t>车库</t>
    <phoneticPr fontId="143" type="noConversion"/>
  </si>
  <si>
    <t>设备用房</t>
    <phoneticPr fontId="143" type="noConversion"/>
  </si>
  <si>
    <t>3层</t>
    <phoneticPr fontId="143" type="noConversion"/>
  </si>
  <si>
    <t>车库</t>
    <phoneticPr fontId="143" type="noConversion"/>
  </si>
  <si>
    <t>设备用房</t>
    <phoneticPr fontId="143" type="noConversion"/>
  </si>
  <si>
    <t>公厕</t>
    <phoneticPr fontId="143" type="noConversion"/>
  </si>
  <si>
    <t>其他（通道）</t>
    <phoneticPr fontId="143" type="noConversion"/>
  </si>
  <si>
    <t>4层</t>
    <phoneticPr fontId="143" type="noConversion"/>
  </si>
  <si>
    <t>车库</t>
    <phoneticPr fontId="143" type="noConversion"/>
  </si>
  <si>
    <t>车库</t>
    <phoneticPr fontId="143" type="noConversion"/>
  </si>
  <si>
    <t>5层</t>
    <phoneticPr fontId="143" type="noConversion"/>
  </si>
  <si>
    <t>6层</t>
    <phoneticPr fontId="143" type="noConversion"/>
  </si>
  <si>
    <t>7层</t>
    <phoneticPr fontId="143" type="noConversion"/>
  </si>
  <si>
    <t>地下1层商业</t>
    <phoneticPr fontId="143" type="noConversion"/>
  </si>
  <si>
    <t>地下2层商业</t>
    <phoneticPr fontId="143" type="noConversion"/>
  </si>
  <si>
    <t>地下车库</t>
    <phoneticPr fontId="143" type="noConversion"/>
  </si>
  <si>
    <t>设备</t>
    <phoneticPr fontId="143" type="noConversion"/>
  </si>
  <si>
    <t>物管用房</t>
    <phoneticPr fontId="143" type="noConversion"/>
  </si>
  <si>
    <t>合计</t>
    <phoneticPr fontId="143" type="noConversion"/>
  </si>
  <si>
    <t>T2、T3公寓</t>
    <phoneticPr fontId="143" type="noConversion"/>
  </si>
  <si>
    <t>地上商业</t>
    <phoneticPr fontId="143" type="noConversion"/>
  </si>
  <si>
    <t>避难间</t>
    <phoneticPr fontId="143" type="noConversion"/>
  </si>
  <si>
    <t>派出所</t>
    <phoneticPr fontId="143" type="noConversion"/>
  </si>
  <si>
    <t>设备及其他</t>
    <phoneticPr fontId="143" type="noConversion"/>
  </si>
  <si>
    <t>规证计容</t>
    <phoneticPr fontId="7" type="noConversion"/>
  </si>
  <si>
    <t>030规证</t>
    <phoneticPr fontId="143" type="noConversion"/>
  </si>
  <si>
    <t>办公</t>
    <phoneticPr fontId="143" type="noConversion"/>
  </si>
  <si>
    <t>设备</t>
    <phoneticPr fontId="143" type="noConversion"/>
  </si>
  <si>
    <t>避难层</t>
    <phoneticPr fontId="143" type="noConversion"/>
  </si>
  <si>
    <t>合计</t>
    <phoneticPr fontId="143" type="noConversion"/>
  </si>
  <si>
    <t>T1（6-54层）</t>
    <phoneticPr fontId="143" type="noConversion"/>
  </si>
  <si>
    <t>T2（6-33层）</t>
    <phoneticPr fontId="143" type="noConversion"/>
  </si>
  <si>
    <t>T3（6-33层）</t>
    <phoneticPr fontId="143" type="noConversion"/>
  </si>
  <si>
    <t>商业裙楼北</t>
    <phoneticPr fontId="143" type="noConversion"/>
  </si>
  <si>
    <t>商业裙楼南</t>
    <phoneticPr fontId="143" type="noConversion"/>
  </si>
  <si>
    <t>商业（负2-负1层）</t>
    <phoneticPr fontId="143" type="noConversion"/>
  </si>
  <si>
    <t>车库（负7-负3层）</t>
    <phoneticPr fontId="143" type="noConversion"/>
  </si>
  <si>
    <t>周转库房（负2-负1层）</t>
    <phoneticPr fontId="143" type="noConversion"/>
  </si>
  <si>
    <t>物管用房（负7、负2层）</t>
    <phoneticPr fontId="143" type="noConversion"/>
  </si>
  <si>
    <t>非经营性</t>
    <phoneticPr fontId="143" type="noConversion"/>
  </si>
  <si>
    <t>设备用房</t>
    <phoneticPr fontId="143" type="noConversion"/>
  </si>
  <si>
    <t>人防</t>
    <phoneticPr fontId="143" type="noConversion"/>
  </si>
  <si>
    <t>合计</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</si>
</sst>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微软雅黑"/>
      <family val="2"/>
      <charset val="134"/>
    </font>
    <font>
      <b/>
      <sz val="9"/>
      <color theme="1"/>
      <name val="微软雅黑"/>
      <family val="2"/>
      <charset val="134"/>
    </font>
    <font>
      <b/>
      <sz val="9"/>
      <color indexed="8"/>
      <name val="宋体"/>
      <family val="3"/>
      <charset val="134"/>
    </font>
    <font>
      <b/>
      <sz val="9"/>
      <color indexed="8"/>
      <name val="Arial"/>
      <family val="2"/>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FFC000"/>
        <bgColor indexed="64"/>
      </patternFill>
    </fill>
    <fill>
      <patternFill patternType="solid">
        <fgColor theme="0" tint="-0.49998474074526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9" fontId="258" fillId="0" borderId="0" applyFont="0" applyFill="0" applyBorder="0" applyAlignment="0" applyProtection="0">
      <alignment vertical="center"/>
    </xf>
  </cellStyleXfs>
  <cellXfs count="34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05" fillId="6" borderId="23" xfId="0" applyFont="1" applyFill="1" applyBorder="1" applyAlignment="1" applyProtection="1">
      <alignment horizontal="center" vertical="center"/>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254" fillId="0" borderId="0" xfId="0" applyFont="1" applyAlignment="1">
      <alignment horizontal="left" vertical="top" wrapText="1"/>
    </xf>
    <xf numFmtId="0" fontId="255" fillId="0" borderId="0" xfId="0" applyFont="1" applyAlignment="1">
      <alignment horizontal="left" vertical="top" wrapText="1"/>
    </xf>
    <xf numFmtId="0" fontId="254" fillId="0" borderId="0" xfId="0" applyFont="1" applyBorder="1" applyAlignment="1">
      <alignment horizontal="left" vertical="top" wrapText="1"/>
    </xf>
    <xf numFmtId="0" fontId="255" fillId="0" borderId="0" xfId="0" applyFont="1" applyBorder="1" applyAlignment="1">
      <alignment horizontal="left" vertical="top" wrapText="1"/>
    </xf>
    <xf numFmtId="0" fontId="254" fillId="0" borderId="16" xfId="0" applyFont="1" applyBorder="1" applyAlignment="1">
      <alignment horizontal="left" vertical="top" wrapText="1"/>
    </xf>
    <xf numFmtId="0" fontId="254" fillId="0" borderId="19" xfId="0" applyFont="1" applyBorder="1" applyAlignment="1">
      <alignment horizontal="left" vertical="top" wrapText="1"/>
    </xf>
    <xf numFmtId="0" fontId="254" fillId="0" borderId="31" xfId="0" applyFont="1" applyBorder="1" applyAlignment="1">
      <alignment horizontal="left" vertical="top" wrapText="1"/>
    </xf>
    <xf numFmtId="0" fontId="254" fillId="0" borderId="18" xfId="0" applyFont="1" applyBorder="1" applyAlignment="1">
      <alignment horizontal="left" vertical="top" wrapText="1"/>
    </xf>
    <xf numFmtId="0" fontId="254" fillId="0" borderId="56" xfId="0" applyFont="1" applyBorder="1" applyAlignment="1">
      <alignment horizontal="left" vertical="top" wrapText="1"/>
    </xf>
    <xf numFmtId="0" fontId="254" fillId="0" borderId="42" xfId="0" applyFont="1" applyBorder="1" applyAlignment="1">
      <alignment horizontal="left" vertical="top" wrapText="1"/>
    </xf>
    <xf numFmtId="0" fontId="254" fillId="0" borderId="47" xfId="0" applyFont="1" applyBorder="1" applyAlignment="1">
      <alignment horizontal="left" vertical="top" wrapText="1"/>
    </xf>
    <xf numFmtId="0" fontId="254" fillId="0" borderId="43" xfId="0" applyFont="1" applyBorder="1" applyAlignment="1">
      <alignment horizontal="left" vertical="top" wrapText="1"/>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83" fillId="0" borderId="1" xfId="0" applyFont="1" applyFill="1" applyBorder="1" applyAlignment="1" applyProtection="1">
      <alignment horizontal="center" vertical="center" wrapText="1"/>
      <protection locked="0"/>
    </xf>
    <xf numFmtId="0" fontId="0" fillId="0" borderId="1" xfId="0" applyBorder="1" applyAlignment="1" applyProtection="1">
      <alignment vertical="center" wrapText="1"/>
      <protection locked="0"/>
    </xf>
    <xf numFmtId="0" fontId="80" fillId="0" borderId="1" xfId="0" applyFont="1" applyFill="1" applyBorder="1" applyAlignment="1" applyProtection="1">
      <alignment vertical="center" wrapText="1"/>
      <protection locked="0"/>
    </xf>
    <xf numFmtId="0" fontId="0" fillId="0" borderId="0" xfId="0" applyAlignment="1">
      <alignment horizontal="left" vertical="top"/>
    </xf>
    <xf numFmtId="0" fontId="56" fillId="0" borderId="0" xfId="17" applyAlignment="1">
      <alignment horizontal="left" vertical="top"/>
    </xf>
    <xf numFmtId="0" fontId="0" fillId="17" borderId="0" xfId="0" applyFill="1" applyAlignment="1">
      <alignment horizontal="left" vertical="top"/>
    </xf>
    <xf numFmtId="0" fontId="57" fillId="18" borderId="0" xfId="17" applyFont="1" applyFill="1" applyAlignment="1">
      <alignment horizontal="left" vertical="top"/>
    </xf>
    <xf numFmtId="0" fontId="100" fillId="18" borderId="0" xfId="0" applyFont="1" applyFill="1" applyAlignment="1">
      <alignment horizontal="left" vertical="top"/>
    </xf>
    <xf numFmtId="0" fontId="98" fillId="0" borderId="9" xfId="0" applyNumberFormat="1" applyFont="1" applyFill="1" applyBorder="1" applyAlignment="1" applyProtection="1">
      <alignment horizontal="center" vertical="center" wrapText="1"/>
      <protection locked="0"/>
    </xf>
    <xf numFmtId="0" fontId="56" fillId="0" borderId="0" xfId="17"/>
    <xf numFmtId="0" fontId="56" fillId="0" borderId="0" xfId="17"/>
    <xf numFmtId="0" fontId="56" fillId="0" borderId="0" xfId="17"/>
    <xf numFmtId="0" fontId="56" fillId="0" borderId="0" xfId="17"/>
    <xf numFmtId="0" fontId="0" fillId="17" borderId="0" xfId="0" applyFill="1">
      <alignment vertical="center"/>
    </xf>
    <xf numFmtId="0" fontId="57" fillId="18" borderId="0" xfId="17" applyFont="1" applyFill="1"/>
    <xf numFmtId="0" fontId="100" fillId="18" borderId="0" xfId="0" applyFont="1" applyFill="1">
      <alignment vertical="center"/>
    </xf>
    <xf numFmtId="0" fontId="254" fillId="8" borderId="0" xfId="0" applyFont="1" applyFill="1" applyBorder="1" applyAlignment="1">
      <alignment horizontal="left" vertical="top" wrapText="1"/>
    </xf>
    <xf numFmtId="0" fontId="80" fillId="6" borderId="0" xfId="0" applyFont="1" applyFill="1" applyAlignment="1" applyProtection="1">
      <alignment vertical="center"/>
      <protection locked="0"/>
    </xf>
    <xf numFmtId="0" fontId="241" fillId="0" borderId="23"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10" fontId="50" fillId="0" borderId="1" xfId="0" applyNumberFormat="1" applyFont="1" applyBorder="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6" borderId="0" xfId="0" applyFont="1" applyFill="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105" fillId="6" borderId="23"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5" fillId="8" borderId="0" xfId="0" applyFont="1" applyFill="1" applyProtection="1">
      <alignment vertical="center"/>
      <protection locked="0"/>
    </xf>
    <xf numFmtId="0" fontId="83" fillId="8" borderId="0" xfId="0" applyFont="1" applyFill="1" applyProtection="1">
      <alignment vertical="center"/>
      <protection locked="0"/>
    </xf>
    <xf numFmtId="0" fontId="257" fillId="7" borderId="0" xfId="0" applyFont="1" applyFill="1" applyAlignment="1" applyProtection="1">
      <alignment horizontal="left" vertical="center"/>
      <protection locked="0"/>
    </xf>
    <xf numFmtId="0" fontId="256" fillId="7" borderId="0" xfId="0" applyFont="1" applyFill="1" applyAlignment="1" applyProtection="1">
      <alignment horizontal="left" vertical="center"/>
      <protection locked="0"/>
    </xf>
    <xf numFmtId="0" fontId="0" fillId="5" borderId="0" xfId="0" applyFill="1">
      <alignment vertical="center"/>
    </xf>
    <xf numFmtId="0" fontId="56" fillId="5" borderId="0" xfId="17" applyFill="1"/>
    <xf numFmtId="0" fontId="56" fillId="0" borderId="0" xfId="17"/>
    <xf numFmtId="0" fontId="0" fillId="0" borderId="1" xfId="0" applyBorder="1" applyAlignment="1">
      <alignment horizontal="left" vertical="top"/>
    </xf>
    <xf numFmtId="0" fontId="0" fillId="0" borderId="24" xfId="0" applyBorder="1" applyAlignment="1">
      <alignment horizontal="left" vertical="top"/>
    </xf>
    <xf numFmtId="0" fontId="0" fillId="0" borderId="23" xfId="0" applyBorder="1" applyAlignment="1">
      <alignment horizontal="left" vertical="top"/>
    </xf>
    <xf numFmtId="0" fontId="0" fillId="0" borderId="25" xfId="0" applyBorder="1" applyAlignment="1">
      <alignment horizontal="left" vertical="top"/>
    </xf>
    <xf numFmtId="0" fontId="0" fillId="0" borderId="32" xfId="0" applyBorder="1" applyAlignment="1">
      <alignment horizontal="left" vertical="top"/>
    </xf>
    <xf numFmtId="0" fontId="0" fillId="0" borderId="49" xfId="0" applyBorder="1" applyAlignment="1">
      <alignment horizontal="left" vertical="top"/>
    </xf>
    <xf numFmtId="0" fontId="47" fillId="8" borderId="10" xfId="0" applyNumberFormat="1" applyFont="1" applyFill="1" applyBorder="1" applyAlignment="1" applyProtection="1">
      <alignment horizontal="center" vertical="center" wrapText="1"/>
    </xf>
    <xf numFmtId="0" fontId="67" fillId="6" borderId="0" xfId="0" applyFont="1" applyFill="1" applyBorder="1" applyAlignment="1" applyProtection="1">
      <alignment vertical="center"/>
      <protection locked="0"/>
    </xf>
    <xf numFmtId="0" fontId="73" fillId="0" borderId="51" xfId="0" applyNumberFormat="1" applyFont="1" applyFill="1" applyBorder="1" applyAlignment="1" applyProtection="1">
      <alignment vertical="center" wrapText="1"/>
      <protection locked="0"/>
    </xf>
    <xf numFmtId="0" fontId="73" fillId="0" borderId="20" xfId="0" applyNumberFormat="1" applyFont="1" applyFill="1" applyBorder="1" applyAlignment="1" applyProtection="1">
      <alignment vertical="center" wrapText="1"/>
      <protection locked="0"/>
    </xf>
    <xf numFmtId="0" fontId="61" fillId="19" borderId="48" xfId="0" applyNumberFormat="1" applyFont="1" applyFill="1" applyBorder="1" applyAlignment="1" applyProtection="1">
      <alignment horizontal="center" vertical="center" wrapText="1"/>
      <protection locked="0"/>
    </xf>
    <xf numFmtId="0" fontId="61" fillId="19" borderId="72" xfId="0" applyNumberFormat="1" applyFont="1" applyFill="1" applyBorder="1" applyAlignment="1" applyProtection="1">
      <alignment horizontal="center" vertical="center" wrapText="1"/>
      <protection locked="0"/>
    </xf>
    <xf numFmtId="10" fontId="50" fillId="6" borderId="0" xfId="18" applyNumberFormat="1" applyFont="1" applyFill="1" applyProtection="1">
      <alignment vertical="center"/>
      <protection locked="0"/>
    </xf>
    <xf numFmtId="0" fontId="50" fillId="19" borderId="0" xfId="0" applyFont="1" applyFill="1" applyAlignment="1" applyProtection="1">
      <alignment vertical="center"/>
      <protection locked="0"/>
    </xf>
    <xf numFmtId="0" fontId="80" fillId="6" borderId="36" xfId="0" applyFont="1" applyFill="1" applyBorder="1" applyAlignment="1" applyProtection="1">
      <alignment vertical="center"/>
      <protection locked="0"/>
    </xf>
    <xf numFmtId="0" fontId="50" fillId="6" borderId="36" xfId="0" applyFont="1" applyFill="1" applyBorder="1" applyAlignment="1" applyProtection="1">
      <alignment vertical="center"/>
      <protection locked="0"/>
    </xf>
    <xf numFmtId="0" fontId="80" fillId="6" borderId="60" xfId="0" applyFont="1" applyFill="1" applyBorder="1" applyAlignment="1" applyProtection="1">
      <alignment vertical="center"/>
      <protection locked="0"/>
    </xf>
    <xf numFmtId="0" fontId="137" fillId="19" borderId="5" xfId="0" applyFont="1" applyFill="1" applyBorder="1" applyAlignment="1" applyProtection="1">
      <alignment horizontal="center" vertical="center" wrapText="1"/>
      <protection locked="0"/>
    </xf>
    <xf numFmtId="0" fontId="98" fillId="19" borderId="37" xfId="0" applyNumberFormat="1" applyFont="1" applyFill="1" applyBorder="1" applyAlignment="1" applyProtection="1">
      <alignment horizontal="center" vertical="center" wrapText="1"/>
      <protection locked="0"/>
    </xf>
    <xf numFmtId="0" fontId="54" fillId="19" borderId="24" xfId="0" applyNumberFormat="1" applyFont="1" applyFill="1" applyBorder="1" applyAlignment="1" applyProtection="1">
      <alignment horizontal="center" vertical="center" wrapText="1"/>
    </xf>
    <xf numFmtId="0" fontId="54" fillId="19" borderId="5" xfId="0" applyNumberFormat="1" applyFont="1" applyFill="1" applyBorder="1" applyAlignment="1" applyProtection="1">
      <alignment horizontal="center" vertical="center" wrapText="1"/>
    </xf>
    <xf numFmtId="179" fontId="50" fillId="6" borderId="0" xfId="0" applyNumberFormat="1"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0" fontId="61" fillId="19" borderId="3" xfId="0" applyNumberFormat="1" applyFont="1" applyFill="1" applyBorder="1" applyAlignment="1" applyProtection="1">
      <alignment horizontal="center" vertical="center" wrapText="1"/>
      <protection locked="0"/>
    </xf>
    <xf numFmtId="10" fontId="50" fillId="19" borderId="1" xfId="0" applyNumberFormat="1" applyFont="1" applyFill="1" applyBorder="1" applyAlignment="1" applyProtection="1">
      <alignment horizontal="center" vertical="center"/>
      <protection locked="0"/>
    </xf>
    <xf numFmtId="183" fontId="50" fillId="19" borderId="1" xfId="0" applyNumberFormat="1" applyFont="1" applyFill="1" applyBorder="1" applyAlignment="1" applyProtection="1">
      <alignment horizontal="center" vertical="center"/>
      <protection locked="0"/>
    </xf>
    <xf numFmtId="181" fontId="50" fillId="19" borderId="10" xfId="0" applyNumberFormat="1" applyFont="1" applyFill="1" applyBorder="1" applyAlignment="1" applyProtection="1">
      <alignment horizontal="center" vertical="center"/>
      <protection locked="0"/>
    </xf>
    <xf numFmtId="0" fontId="50" fillId="6" borderId="82" xfId="0" applyFont="1" applyFill="1" applyBorder="1" applyAlignment="1" applyProtection="1">
      <alignment vertical="center"/>
      <protection locked="0"/>
    </xf>
    <xf numFmtId="177" fontId="47" fillId="19" borderId="1" xfId="1" applyNumberFormat="1" applyFont="1" applyFill="1" applyBorder="1" applyAlignment="1" applyProtection="1">
      <alignment horizontal="center" vertical="center"/>
      <protection locked="0"/>
    </xf>
    <xf numFmtId="0" fontId="254" fillId="0" borderId="0" xfId="0" applyFont="1" applyAlignment="1">
      <alignment horizontal="left" vertical="top" wrapText="1"/>
    </xf>
    <xf numFmtId="0" fontId="254" fillId="0" borderId="18" xfId="0" applyFont="1" applyBorder="1" applyAlignment="1">
      <alignment horizontal="left" vertical="top" wrapText="1"/>
    </xf>
    <xf numFmtId="0" fontId="254" fillId="0" borderId="0" xfId="0" applyFont="1" applyAlignment="1">
      <alignment horizontal="left" vertical="top" wrapText="1"/>
    </xf>
    <xf numFmtId="0" fontId="254" fillId="20" borderId="0" xfId="0" applyFont="1" applyFill="1" applyAlignment="1">
      <alignment horizontal="left" vertical="top" wrapText="1"/>
    </xf>
    <xf numFmtId="0" fontId="255" fillId="0" borderId="18" xfId="0" applyFont="1" applyBorder="1" applyAlignment="1">
      <alignment horizontal="left" vertical="top" wrapText="1"/>
    </xf>
    <xf numFmtId="0" fontId="254" fillId="0" borderId="16" xfId="0" applyFont="1" applyFill="1" applyBorder="1" applyAlignment="1">
      <alignment horizontal="left" vertical="top" wrapText="1"/>
    </xf>
    <xf numFmtId="0" fontId="254" fillId="0" borderId="31" xfId="0" applyFont="1" applyFill="1" applyBorder="1" applyAlignment="1">
      <alignment horizontal="left" vertical="top" wrapText="1"/>
    </xf>
    <xf numFmtId="0" fontId="254" fillId="0" borderId="18" xfId="0" applyFont="1" applyFill="1" applyBorder="1" applyAlignment="1">
      <alignment horizontal="left" vertical="top" wrapText="1"/>
    </xf>
    <xf numFmtId="0" fontId="254" fillId="0" borderId="56" xfId="0" applyFont="1" applyFill="1" applyBorder="1" applyAlignment="1">
      <alignment horizontal="left" vertical="top" wrapText="1"/>
    </xf>
    <xf numFmtId="0" fontId="254" fillId="0" borderId="42" xfId="0" applyFont="1" applyFill="1" applyBorder="1" applyAlignment="1">
      <alignment horizontal="left" vertical="top" wrapText="1"/>
    </xf>
    <xf numFmtId="0" fontId="254" fillId="0" borderId="43" xfId="0" applyFont="1" applyFill="1" applyBorder="1" applyAlignment="1">
      <alignment horizontal="left" vertical="top" wrapText="1"/>
    </xf>
    <xf numFmtId="0" fontId="254" fillId="0" borderId="19" xfId="0" applyFont="1" applyFill="1" applyBorder="1" applyAlignment="1">
      <alignment horizontal="left" vertical="top" wrapText="1"/>
    </xf>
    <xf numFmtId="0" fontId="254" fillId="0" borderId="0" xfId="0" applyFont="1" applyFill="1" applyBorder="1" applyAlignment="1">
      <alignment horizontal="left" vertical="top" wrapText="1"/>
    </xf>
    <xf numFmtId="0" fontId="254" fillId="0" borderId="47" xfId="0" applyFont="1" applyFill="1" applyBorder="1" applyAlignment="1">
      <alignment horizontal="left" vertical="top" wrapText="1"/>
    </xf>
    <xf numFmtId="0" fontId="137" fillId="0" borderId="0" xfId="0" applyFont="1" applyProtection="1">
      <alignment vertical="center"/>
      <protection locked="0"/>
    </xf>
    <xf numFmtId="0" fontId="254" fillId="0" borderId="18" xfId="0" applyFont="1" applyBorder="1" applyAlignment="1">
      <alignment horizontal="left" vertical="top" wrapText="1"/>
    </xf>
    <xf numFmtId="0" fontId="254" fillId="0" borderId="16" xfId="0" applyFont="1" applyBorder="1" applyAlignment="1">
      <alignment horizontal="left" vertical="top"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4" fillId="0" borderId="0" xfId="0" applyFont="1" applyAlignment="1">
      <alignment horizontal="left" vertical="top" wrapText="1"/>
    </xf>
    <xf numFmtId="0" fontId="254" fillId="0" borderId="18" xfId="0" applyFont="1" applyBorder="1" applyAlignment="1">
      <alignment horizontal="left" vertical="top" wrapText="1"/>
    </xf>
    <xf numFmtId="0" fontId="254" fillId="0" borderId="16" xfId="0" applyFont="1" applyBorder="1" applyAlignment="1">
      <alignment horizontal="left" vertical="top" wrapText="1"/>
    </xf>
    <xf numFmtId="0" fontId="254" fillId="0" borderId="19" xfId="0" applyFont="1" applyFill="1" applyBorder="1" applyAlignment="1">
      <alignment horizontal="left" vertical="top" wrapText="1"/>
    </xf>
    <xf numFmtId="0" fontId="254" fillId="0" borderId="0" xfId="0" applyFont="1" applyFill="1" applyBorder="1" applyAlignment="1">
      <alignment horizontal="left" vertical="top" wrapText="1"/>
    </xf>
    <xf numFmtId="0" fontId="254" fillId="0" borderId="16" xfId="0" applyFont="1" applyFill="1" applyBorder="1" applyAlignment="1">
      <alignment horizontal="left" vertical="top" wrapText="1"/>
    </xf>
    <xf numFmtId="0" fontId="254" fillId="0" borderId="18" xfId="0" applyFont="1" applyFill="1" applyBorder="1" applyAlignment="1">
      <alignment horizontal="left" vertical="top" wrapText="1"/>
    </xf>
    <xf numFmtId="0" fontId="254" fillId="0" borderId="42" xfId="0" applyFont="1" applyFill="1" applyBorder="1" applyAlignment="1">
      <alignment horizontal="left" vertical="top" wrapText="1"/>
    </xf>
    <xf numFmtId="0" fontId="254" fillId="0" borderId="47" xfId="0" applyFont="1" applyFill="1" applyBorder="1" applyAlignment="1">
      <alignment horizontal="left" vertical="top" wrapText="1"/>
    </xf>
    <xf numFmtId="0" fontId="254" fillId="0" borderId="0" xfId="0" applyFont="1" applyBorder="1" applyAlignment="1">
      <alignment horizontal="left" vertical="top"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3" fillId="0" borderId="1" xfId="0" applyFont="1" applyFill="1" applyBorder="1" applyAlignment="1" applyProtection="1">
      <alignment horizontal="center" vertical="center"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19"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19" borderId="13" xfId="0" applyFont="1" applyFill="1" applyBorder="1" applyAlignment="1" applyProtection="1">
      <alignment horizontal="center" vertical="center"/>
      <protection locked="0"/>
    </xf>
    <xf numFmtId="0" fontId="47" fillId="19" borderId="15" xfId="0" applyFont="1" applyFill="1" applyBorder="1" applyAlignment="1" applyProtection="1">
      <alignment horizontal="center" vertical="center"/>
      <protection locked="0"/>
    </xf>
    <xf numFmtId="0" fontId="47" fillId="19"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0" fillId="0" borderId="6" xfId="0" applyBorder="1" applyAlignment="1">
      <alignment horizontal="left" vertical="top"/>
    </xf>
    <xf numFmtId="0" fontId="0" fillId="0" borderId="9" xfId="0" applyBorder="1" applyAlignment="1">
      <alignment horizontal="left" vertical="top"/>
    </xf>
    <xf numFmtId="0" fontId="0" fillId="0" borderId="10" xfId="0" applyBorder="1" applyAlignment="1">
      <alignment horizontal="left" vertical="top"/>
    </xf>
    <xf numFmtId="0" fontId="0" fillId="0" borderId="23" xfId="0" applyBorder="1" applyAlignment="1">
      <alignment horizontal="left" vertical="top"/>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8" builtinId="5"/>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108556</xdr:colOff>
      <xdr:row>9</xdr:row>
      <xdr:rowOff>362790</xdr:rowOff>
    </xdr:from>
    <xdr:to>
      <xdr:col>21</xdr:col>
      <xdr:colOff>371528</xdr:colOff>
      <xdr:row>18</xdr:row>
      <xdr:rowOff>230561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586806" y="4625228"/>
          <a:ext cx="6478035" cy="2944346"/>
        </a:xfrm>
        <a:prstGeom prst="rect">
          <a:avLst/>
        </a:prstGeom>
      </xdr:spPr>
    </xdr:pic>
    <xdr:clientData/>
  </xdr:twoCellAnchor>
  <xdr:twoCellAnchor editAs="oneCell">
    <xdr:from>
      <xdr:col>12</xdr:col>
      <xdr:colOff>103654</xdr:colOff>
      <xdr:row>1</xdr:row>
      <xdr:rowOff>79841</xdr:rowOff>
    </xdr:from>
    <xdr:to>
      <xdr:col>21</xdr:col>
      <xdr:colOff>314324</xdr:colOff>
      <xdr:row>10</xdr:row>
      <xdr:rowOff>199464</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581904" y="222716"/>
          <a:ext cx="6425733" cy="44201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315686</xdr:colOff>
      <xdr:row>20</xdr:row>
      <xdr:rowOff>111578</xdr:rowOff>
    </xdr:from>
    <xdr:to>
      <xdr:col>17</xdr:col>
      <xdr:colOff>131990</xdr:colOff>
      <xdr:row>56</xdr:row>
      <xdr:rowOff>93589</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46615" y="3486149"/>
          <a:ext cx="9994446" cy="6350154"/>
        </a:xfrm>
        <a:prstGeom prst="rect">
          <a:avLst/>
        </a:prstGeom>
      </xdr:spPr>
    </xdr:pic>
    <xdr:clientData/>
  </xdr:twoCellAnchor>
  <xdr:twoCellAnchor>
    <xdr:from>
      <xdr:col>11</xdr:col>
      <xdr:colOff>661306</xdr:colOff>
      <xdr:row>39</xdr:row>
      <xdr:rowOff>47624</xdr:rowOff>
    </xdr:from>
    <xdr:to>
      <xdr:col>14</xdr:col>
      <xdr:colOff>352425</xdr:colOff>
      <xdr:row>43</xdr:row>
      <xdr:rowOff>85725</xdr:rowOff>
    </xdr:to>
    <xdr:sp macro="" textlink="">
      <xdr:nvSpPr>
        <xdr:cNvPr id="4" name="矩形标注 3"/>
        <xdr:cNvSpPr/>
      </xdr:nvSpPr>
      <xdr:spPr>
        <a:xfrm>
          <a:off x="9338581" y="6657974"/>
          <a:ext cx="1748519" cy="723901"/>
        </a:xfrm>
        <a:prstGeom prst="wedgeRectCallout">
          <a:avLst>
            <a:gd name="adj1" fmla="val -47278"/>
            <a:gd name="adj2" fmla="val -64678"/>
          </a:avLst>
        </a:prstGeom>
        <a:solidFill>
          <a:schemeClr val="bg1"/>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zh-CN" sz="900" b="1" u="sng">
              <a:solidFill>
                <a:srgbClr val="C00000"/>
              </a:solidFill>
              <a:effectLst/>
              <a:latin typeface="+mn-ea"/>
              <a:ea typeface="+mn-ea"/>
              <a:cs typeface="+mn-cs"/>
            </a:rPr>
            <a:t>渝中区渝中组团</a:t>
          </a:r>
          <a:r>
            <a:rPr lang="en-US" altLang="zh-CN" sz="900" b="1" u="sng">
              <a:solidFill>
                <a:srgbClr val="C00000"/>
              </a:solidFill>
              <a:effectLst/>
              <a:latin typeface="+mn-ea"/>
              <a:ea typeface="+mn-ea"/>
              <a:cs typeface="+mn-cs"/>
            </a:rPr>
            <a:t>C</a:t>
          </a:r>
          <a:r>
            <a:rPr lang="zh-CN" altLang="zh-CN" sz="900" b="1" u="sng">
              <a:solidFill>
                <a:srgbClr val="C00000"/>
              </a:solidFill>
              <a:effectLst/>
              <a:latin typeface="+mn-ea"/>
              <a:ea typeface="+mn-ea"/>
              <a:cs typeface="+mn-cs"/>
            </a:rPr>
            <a:t>分区</a:t>
          </a:r>
          <a:r>
            <a:rPr lang="en-US" altLang="zh-CN" sz="900" b="1" u="sng">
              <a:solidFill>
                <a:srgbClr val="C00000"/>
              </a:solidFill>
              <a:effectLst/>
              <a:latin typeface="+mn-ea"/>
              <a:ea typeface="+mn-ea"/>
              <a:cs typeface="+mn-cs"/>
            </a:rPr>
            <a:t>C29-7</a:t>
          </a:r>
          <a:r>
            <a:rPr lang="zh-CN" altLang="zh-CN" sz="900" b="1" u="sng">
              <a:solidFill>
                <a:srgbClr val="C00000"/>
              </a:solidFill>
              <a:effectLst/>
              <a:latin typeface="+mn-ea"/>
              <a:ea typeface="+mn-ea"/>
              <a:cs typeface="+mn-cs"/>
            </a:rPr>
            <a:t>号宗地（合景泰富</a:t>
          </a:r>
          <a:r>
            <a:rPr lang="en-US" altLang="zh-CN" sz="900" b="1" u="sng">
              <a:solidFill>
                <a:srgbClr val="C00000"/>
              </a:solidFill>
              <a:effectLst/>
              <a:latin typeface="+mn-ea"/>
              <a:ea typeface="+mn-ea"/>
              <a:cs typeface="+mn-cs"/>
            </a:rPr>
            <a:t>-17</a:t>
          </a:r>
          <a:r>
            <a:rPr lang="zh-CN" altLang="zh-CN" sz="900" b="1" u="sng">
              <a:solidFill>
                <a:srgbClr val="C00000"/>
              </a:solidFill>
              <a:effectLst/>
              <a:latin typeface="+mn-ea"/>
              <a:ea typeface="+mn-ea"/>
              <a:cs typeface="+mn-cs"/>
            </a:rPr>
            <a:t>年）</a:t>
          </a:r>
          <a:r>
            <a:rPr lang="en-US" altLang="zh-CN" sz="900" b="1" u="sng">
              <a:solidFill>
                <a:srgbClr val="C00000"/>
              </a:solidFill>
              <a:effectLst/>
              <a:latin typeface="+mn-ea"/>
              <a:ea typeface="+mn-ea"/>
              <a:cs typeface="+mn-cs"/>
            </a:rPr>
            <a:t>C</a:t>
          </a:r>
          <a:endParaRPr lang="zh-CN" altLang="zh-CN" sz="900" b="1" u="sng">
            <a:solidFill>
              <a:srgbClr val="C00000"/>
            </a:solidFill>
            <a:effectLst/>
            <a:latin typeface="+mn-ea"/>
            <a:ea typeface="+mn-ea"/>
            <a:cs typeface="+mn-cs"/>
          </a:endParaRPr>
        </a:p>
        <a:p>
          <a:r>
            <a:rPr lang="en-US" altLang="zh-CN" sz="900" u="sng">
              <a:solidFill>
                <a:srgbClr val="C00000"/>
              </a:solidFill>
              <a:effectLst/>
              <a:latin typeface="+mn-ea"/>
              <a:ea typeface="+mn-ea"/>
              <a:cs typeface="+mn-cs"/>
            </a:rPr>
            <a:t>R4.5</a:t>
          </a:r>
          <a:r>
            <a:rPr lang="zh-CN" altLang="zh-CN" sz="900" u="sng">
              <a:solidFill>
                <a:srgbClr val="C00000"/>
              </a:solidFill>
              <a:effectLst/>
              <a:latin typeface="+mn-ea"/>
              <a:ea typeface="+mn-ea"/>
              <a:cs typeface="+mn-cs"/>
            </a:rPr>
            <a:t>，</a:t>
          </a:r>
          <a:r>
            <a:rPr lang="en-US" altLang="zh-CN" sz="900" u="sng">
              <a:solidFill>
                <a:srgbClr val="C00000"/>
              </a:solidFill>
              <a:effectLst/>
              <a:latin typeface="+mn-ea"/>
              <a:ea typeface="+mn-ea"/>
              <a:cs typeface="+mn-cs"/>
            </a:rPr>
            <a:t>3031</a:t>
          </a:r>
          <a:r>
            <a:rPr lang="zh-CN" altLang="zh-CN" sz="900" u="sng">
              <a:solidFill>
                <a:srgbClr val="C00000"/>
              </a:solidFill>
              <a:effectLst/>
              <a:latin typeface="+mn-ea"/>
              <a:ea typeface="+mn-ea"/>
              <a:cs typeface="+mn-cs"/>
            </a:rPr>
            <a:t>万元</a:t>
          </a:r>
          <a:r>
            <a:rPr lang="en-US" altLang="zh-CN" sz="900" u="sng">
              <a:solidFill>
                <a:srgbClr val="C00000"/>
              </a:solidFill>
              <a:effectLst/>
              <a:latin typeface="+mn-ea"/>
              <a:ea typeface="+mn-ea"/>
              <a:cs typeface="+mn-cs"/>
            </a:rPr>
            <a:t>/</a:t>
          </a:r>
          <a:r>
            <a:rPr lang="zh-CN" altLang="zh-CN" sz="900" u="sng">
              <a:solidFill>
                <a:srgbClr val="C00000"/>
              </a:solidFill>
              <a:effectLst/>
              <a:latin typeface="+mn-ea"/>
              <a:ea typeface="+mn-ea"/>
              <a:cs typeface="+mn-cs"/>
            </a:rPr>
            <a:t>亩，</a:t>
          </a:r>
          <a:r>
            <a:rPr lang="en-US" altLang="zh-CN" sz="900" u="sng">
              <a:solidFill>
                <a:srgbClr val="C00000"/>
              </a:solidFill>
              <a:effectLst/>
              <a:latin typeface="+mn-ea"/>
              <a:ea typeface="+mn-ea"/>
              <a:cs typeface="+mn-cs"/>
            </a:rPr>
            <a:t>10103</a:t>
          </a:r>
          <a:r>
            <a:rPr lang="zh-CN" altLang="zh-CN" sz="900" u="sng">
              <a:solidFill>
                <a:srgbClr val="C00000"/>
              </a:solidFill>
              <a:effectLst/>
              <a:latin typeface="+mn-ea"/>
              <a:ea typeface="+mn-ea"/>
              <a:cs typeface="+mn-cs"/>
            </a:rPr>
            <a:t>元</a:t>
          </a:r>
          <a:r>
            <a:rPr lang="en-US" altLang="zh-CN" sz="900" u="sng">
              <a:solidFill>
                <a:srgbClr val="C00000"/>
              </a:solidFill>
              <a:effectLst/>
              <a:latin typeface="+mn-ea"/>
              <a:ea typeface="+mn-ea"/>
              <a:cs typeface="+mn-cs"/>
            </a:rPr>
            <a:t>/</a:t>
          </a:r>
          <a:r>
            <a:rPr lang="zh-CN" altLang="zh-CN" sz="900" u="sng">
              <a:solidFill>
                <a:srgbClr val="C00000"/>
              </a:solidFill>
              <a:effectLst/>
              <a:latin typeface="+mn-ea"/>
              <a:ea typeface="+mn-ea"/>
              <a:cs typeface="+mn-cs"/>
            </a:rPr>
            <a:t>㎡，溢价</a:t>
          </a:r>
          <a:r>
            <a:rPr lang="en-US" altLang="zh-CN" sz="900" u="sng">
              <a:solidFill>
                <a:srgbClr val="C00000"/>
              </a:solidFill>
              <a:effectLst/>
              <a:latin typeface="+mn-ea"/>
              <a:ea typeface="+mn-ea"/>
              <a:cs typeface="+mn-cs"/>
            </a:rPr>
            <a:t>26%</a:t>
          </a:r>
          <a:r>
            <a:rPr lang="zh-CN" altLang="zh-CN" sz="900" u="sng">
              <a:solidFill>
                <a:srgbClr val="C00000"/>
              </a:solidFill>
              <a:effectLst/>
              <a:latin typeface="+mn-ea"/>
              <a:ea typeface="+mn-ea"/>
              <a:cs typeface="+mn-cs"/>
            </a:rPr>
            <a:t>，住宅占比</a:t>
          </a:r>
          <a:r>
            <a:rPr lang="en-US" altLang="zh-CN" sz="900" u="sng">
              <a:solidFill>
                <a:srgbClr val="C00000"/>
              </a:solidFill>
              <a:effectLst/>
              <a:latin typeface="+mn-ea"/>
              <a:ea typeface="+mn-ea"/>
              <a:cs typeface="+mn-cs"/>
            </a:rPr>
            <a:t>80%</a:t>
          </a:r>
          <a:endParaRPr lang="zh-CN" altLang="zh-CN" sz="900" u="sng">
            <a:solidFill>
              <a:srgbClr val="C00000"/>
            </a:solidFill>
            <a:effectLst/>
            <a:latin typeface="+mn-ea"/>
            <a:ea typeface="+mn-ea"/>
            <a:cs typeface="+mn-cs"/>
          </a:endParaRPr>
        </a:p>
      </xdr:txBody>
    </xdr:sp>
    <xdr:clientData/>
  </xdr:twoCellAnchor>
  <xdr:twoCellAnchor>
    <xdr:from>
      <xdr:col>11</xdr:col>
      <xdr:colOff>244926</xdr:colOff>
      <xdr:row>28</xdr:row>
      <xdr:rowOff>145598</xdr:rowOff>
    </xdr:from>
    <xdr:to>
      <xdr:col>14</xdr:col>
      <xdr:colOff>542925</xdr:colOff>
      <xdr:row>33</xdr:row>
      <xdr:rowOff>123825</xdr:rowOff>
    </xdr:to>
    <xdr:sp macro="" textlink="">
      <xdr:nvSpPr>
        <xdr:cNvPr id="5" name="矩形标注 4"/>
        <xdr:cNvSpPr/>
      </xdr:nvSpPr>
      <xdr:spPr>
        <a:xfrm>
          <a:off x="8922201" y="4869998"/>
          <a:ext cx="2355399" cy="835477"/>
        </a:xfrm>
        <a:prstGeom prst="wedgeRectCallout">
          <a:avLst>
            <a:gd name="adj1" fmla="val -47872"/>
            <a:gd name="adj2" fmla="val -59838"/>
          </a:avLst>
        </a:prstGeom>
        <a:solidFill>
          <a:schemeClr val="bg1"/>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en-US" sz="900" b="1">
              <a:solidFill>
                <a:sysClr val="windowText" lastClr="000000"/>
              </a:solidFill>
              <a:effectLst/>
              <a:latin typeface="+mn-ea"/>
              <a:ea typeface="+mn-ea"/>
              <a:cs typeface="+mn-cs"/>
            </a:rPr>
            <a:t>江北区观音桥组团</a:t>
          </a:r>
          <a:r>
            <a:rPr lang="en-US" altLang="zh-CN" sz="900" b="1">
              <a:solidFill>
                <a:sysClr val="windowText" lastClr="000000"/>
              </a:solidFill>
              <a:effectLst/>
              <a:latin typeface="+mn-ea"/>
              <a:ea typeface="+mn-ea"/>
              <a:cs typeface="+mn-cs"/>
            </a:rPr>
            <a:t>F</a:t>
          </a:r>
          <a:r>
            <a:rPr lang="zh-CN" altLang="en-US" sz="900" b="1">
              <a:solidFill>
                <a:sysClr val="windowText" lastClr="000000"/>
              </a:solidFill>
              <a:effectLst/>
              <a:latin typeface="+mn-ea"/>
              <a:ea typeface="+mn-ea"/>
              <a:cs typeface="+mn-cs"/>
            </a:rPr>
            <a:t>分区</a:t>
          </a:r>
          <a:r>
            <a:rPr lang="en-US" altLang="zh-CN" sz="900" b="1">
              <a:solidFill>
                <a:sysClr val="windowText" lastClr="000000"/>
              </a:solidFill>
              <a:effectLst/>
              <a:latin typeface="+mn-ea"/>
              <a:ea typeface="+mn-ea"/>
              <a:cs typeface="+mn-cs"/>
            </a:rPr>
            <a:t>FJ03-1-1/04</a:t>
          </a:r>
          <a:r>
            <a:rPr lang="zh-CN" altLang="en-US" sz="900" b="1">
              <a:solidFill>
                <a:sysClr val="windowText" lastClr="000000"/>
              </a:solidFill>
              <a:effectLst/>
              <a:latin typeface="+mn-ea"/>
              <a:ea typeface="+mn-ea"/>
              <a:cs typeface="+mn-cs"/>
            </a:rPr>
            <a:t>、</a:t>
          </a:r>
          <a:r>
            <a:rPr lang="en-US" altLang="zh-CN" sz="900" b="1">
              <a:solidFill>
                <a:sysClr val="windowText" lastClr="000000"/>
              </a:solidFill>
              <a:effectLst/>
              <a:latin typeface="+mn-ea"/>
              <a:ea typeface="+mn-ea"/>
              <a:cs typeface="+mn-cs"/>
            </a:rPr>
            <a:t>FJ03-1-2/04</a:t>
          </a:r>
          <a:r>
            <a:rPr lang="zh-CN" altLang="en-US" sz="900" b="1">
              <a:solidFill>
                <a:sysClr val="windowText" lastClr="000000"/>
              </a:solidFill>
              <a:effectLst/>
              <a:latin typeface="+mn-ea"/>
              <a:ea typeface="+mn-ea"/>
              <a:cs typeface="+mn-cs"/>
            </a:rPr>
            <a:t>号宗地（中海</a:t>
          </a:r>
          <a:r>
            <a:rPr lang="en-US" altLang="zh-CN" sz="900" b="1">
              <a:solidFill>
                <a:sysClr val="windowText" lastClr="000000"/>
              </a:solidFill>
              <a:effectLst/>
              <a:latin typeface="+mn-ea"/>
              <a:ea typeface="+mn-ea"/>
              <a:cs typeface="+mn-cs"/>
            </a:rPr>
            <a:t>-16</a:t>
          </a:r>
          <a:r>
            <a:rPr lang="zh-CN" altLang="en-US" sz="900" b="1">
              <a:solidFill>
                <a:sysClr val="windowText" lastClr="000000"/>
              </a:solidFill>
              <a:effectLst/>
              <a:latin typeface="+mn-ea"/>
              <a:ea typeface="+mn-ea"/>
              <a:cs typeface="+mn-cs"/>
            </a:rPr>
            <a:t>年）</a:t>
          </a:r>
        </a:p>
        <a:p>
          <a:r>
            <a:rPr lang="en-US" altLang="zh-CN" sz="900">
              <a:solidFill>
                <a:sysClr val="windowText" lastClr="000000"/>
              </a:solidFill>
              <a:effectLst/>
              <a:latin typeface="+mn-ea"/>
              <a:ea typeface="+mn-ea"/>
              <a:cs typeface="+mn-cs"/>
            </a:rPr>
            <a:t>R3</a:t>
          </a:r>
          <a:r>
            <a:rPr lang="zh-CN" altLang="en-US" sz="900">
              <a:solidFill>
                <a:sysClr val="windowText" lastClr="000000"/>
              </a:solidFill>
              <a:effectLst/>
              <a:latin typeface="+mn-ea"/>
              <a:ea typeface="+mn-ea"/>
              <a:cs typeface="+mn-cs"/>
            </a:rPr>
            <a:t>，</a:t>
          </a:r>
          <a:r>
            <a:rPr lang="en-US" altLang="zh-CN" sz="900">
              <a:solidFill>
                <a:sysClr val="windowText" lastClr="000000"/>
              </a:solidFill>
              <a:effectLst/>
              <a:latin typeface="+mn-ea"/>
              <a:ea typeface="+mn-ea"/>
              <a:cs typeface="+mn-cs"/>
            </a:rPr>
            <a:t>1393</a:t>
          </a:r>
          <a:r>
            <a:rPr lang="zh-CN" altLang="en-US" sz="900">
              <a:solidFill>
                <a:sysClr val="windowText" lastClr="000000"/>
              </a:solidFill>
              <a:effectLst/>
              <a:latin typeface="+mn-ea"/>
              <a:ea typeface="+mn-ea"/>
              <a:cs typeface="+mn-cs"/>
            </a:rPr>
            <a:t>万元</a:t>
          </a:r>
          <a:r>
            <a:rPr lang="en-US" altLang="zh-CN" sz="900">
              <a:solidFill>
                <a:sysClr val="windowText" lastClr="000000"/>
              </a:solidFill>
              <a:effectLst/>
              <a:latin typeface="+mn-ea"/>
              <a:ea typeface="+mn-ea"/>
              <a:cs typeface="+mn-cs"/>
            </a:rPr>
            <a:t>/</a:t>
          </a:r>
          <a:r>
            <a:rPr lang="zh-CN" altLang="en-US" sz="900">
              <a:solidFill>
                <a:sysClr val="windowText" lastClr="000000"/>
              </a:solidFill>
              <a:effectLst/>
              <a:latin typeface="+mn-ea"/>
              <a:ea typeface="+mn-ea"/>
              <a:cs typeface="+mn-cs"/>
            </a:rPr>
            <a:t>亩，</a:t>
          </a:r>
          <a:r>
            <a:rPr lang="en-US" altLang="zh-CN" sz="900">
              <a:solidFill>
                <a:sysClr val="windowText" lastClr="000000"/>
              </a:solidFill>
              <a:effectLst/>
              <a:latin typeface="+mn-ea"/>
              <a:ea typeface="+mn-ea"/>
              <a:cs typeface="+mn-cs"/>
            </a:rPr>
            <a:t>6966</a:t>
          </a:r>
          <a:r>
            <a:rPr lang="zh-CN" altLang="en-US" sz="900">
              <a:solidFill>
                <a:sysClr val="windowText" lastClr="000000"/>
              </a:solidFill>
              <a:effectLst/>
              <a:latin typeface="+mn-ea"/>
              <a:ea typeface="+mn-ea"/>
              <a:cs typeface="+mn-cs"/>
            </a:rPr>
            <a:t>元</a:t>
          </a:r>
          <a:r>
            <a:rPr lang="en-US" altLang="zh-CN" sz="900">
              <a:solidFill>
                <a:sysClr val="windowText" lastClr="000000"/>
              </a:solidFill>
              <a:effectLst/>
              <a:latin typeface="+mn-ea"/>
              <a:ea typeface="+mn-ea"/>
              <a:cs typeface="+mn-cs"/>
            </a:rPr>
            <a:t>/㎡</a:t>
          </a:r>
          <a:r>
            <a:rPr lang="zh-CN" altLang="en-US" sz="900">
              <a:solidFill>
                <a:sysClr val="windowText" lastClr="000000"/>
              </a:solidFill>
              <a:effectLst/>
              <a:latin typeface="+mn-ea"/>
              <a:ea typeface="+mn-ea"/>
              <a:cs typeface="+mn-cs"/>
            </a:rPr>
            <a:t>，溢价</a:t>
          </a:r>
          <a:r>
            <a:rPr lang="en-US" altLang="zh-CN" sz="900">
              <a:solidFill>
                <a:sysClr val="windowText" lastClr="000000"/>
              </a:solidFill>
              <a:effectLst/>
              <a:latin typeface="+mn-ea"/>
              <a:ea typeface="+mn-ea"/>
              <a:cs typeface="+mn-cs"/>
            </a:rPr>
            <a:t>80%</a:t>
          </a:r>
          <a:r>
            <a:rPr lang="zh-CN" altLang="en-US" sz="900">
              <a:solidFill>
                <a:sysClr val="windowText" lastClr="000000"/>
              </a:solidFill>
              <a:effectLst/>
              <a:latin typeface="+mn-ea"/>
              <a:ea typeface="+mn-ea"/>
              <a:cs typeface="+mn-cs"/>
            </a:rPr>
            <a:t>，住宅占比</a:t>
          </a:r>
          <a:r>
            <a:rPr lang="en-US" altLang="zh-CN" sz="900">
              <a:solidFill>
                <a:sysClr val="windowText" lastClr="000000"/>
              </a:solidFill>
              <a:effectLst/>
              <a:latin typeface="+mn-ea"/>
              <a:ea typeface="+mn-ea"/>
              <a:cs typeface="+mn-cs"/>
            </a:rPr>
            <a:t>65%</a:t>
          </a:r>
        </a:p>
        <a:p>
          <a:r>
            <a:rPr lang="zh-CN" altLang="en-US" sz="900" b="1" i="0">
              <a:solidFill>
                <a:sysClr val="windowText" lastClr="000000"/>
              </a:solidFill>
              <a:effectLst/>
              <a:latin typeface="+mn-ea"/>
              <a:ea typeface="+mn-ea"/>
              <a:cs typeface="+mn-cs"/>
            </a:rPr>
            <a:t>中海天钻</a:t>
          </a:r>
          <a:r>
            <a:rPr lang="en-US" altLang="zh-CN" sz="900" b="1" i="0">
              <a:solidFill>
                <a:sysClr val="windowText" lastClr="000000"/>
              </a:solidFill>
              <a:effectLst/>
              <a:latin typeface="+mn-ea"/>
              <a:ea typeface="+mn-ea"/>
              <a:cs typeface="+mn-cs"/>
            </a:rPr>
            <a:t>-</a:t>
          </a:r>
          <a:r>
            <a:rPr lang="zh-CN" altLang="en-US" sz="900" b="1" i="0">
              <a:solidFill>
                <a:sysClr val="windowText" lastClr="000000"/>
              </a:solidFill>
              <a:effectLst/>
              <a:latin typeface="+mn-ea"/>
              <a:ea typeface="+mn-ea"/>
              <a:cs typeface="+mn-cs"/>
            </a:rPr>
            <a:t>建面</a:t>
          </a:r>
          <a:r>
            <a:rPr lang="en-US" altLang="zh-CN" sz="900" b="1" i="0">
              <a:solidFill>
                <a:sysClr val="windowText" lastClr="000000"/>
              </a:solidFill>
              <a:effectLst/>
              <a:latin typeface="+mn-ea"/>
              <a:ea typeface="+mn-ea"/>
              <a:cs typeface="+mn-cs"/>
            </a:rPr>
            <a:t>17000-18000</a:t>
          </a:r>
          <a:r>
            <a:rPr lang="zh-CN" altLang="en-US" sz="900" b="1" i="0">
              <a:solidFill>
                <a:sysClr val="windowText" lastClr="000000"/>
              </a:solidFill>
              <a:effectLst/>
              <a:latin typeface="+mn-ea"/>
              <a:ea typeface="+mn-ea"/>
              <a:cs typeface="+mn-cs"/>
            </a:rPr>
            <a:t>元</a:t>
          </a:r>
          <a:r>
            <a:rPr lang="en-US" altLang="zh-CN" sz="900" b="1" i="0">
              <a:solidFill>
                <a:sysClr val="windowText" lastClr="000000"/>
              </a:solidFill>
              <a:effectLst/>
              <a:latin typeface="+mn-ea"/>
              <a:ea typeface="+mn-ea"/>
              <a:cs typeface="+mn-cs"/>
            </a:rPr>
            <a:t>/</a:t>
          </a:r>
          <a:r>
            <a:rPr lang="zh-CN" altLang="en-US" sz="900" b="1" i="0">
              <a:solidFill>
                <a:sysClr val="windowText" lastClr="000000"/>
              </a:solidFill>
              <a:effectLst/>
              <a:latin typeface="+mn-ea"/>
              <a:ea typeface="+mn-ea"/>
              <a:cs typeface="+mn-cs"/>
            </a:rPr>
            <a:t>平方米</a:t>
          </a:r>
          <a:endParaRPr lang="zh-CN" altLang="en-US" sz="900" i="1">
            <a:solidFill>
              <a:sysClr val="windowText" lastClr="000000"/>
            </a:solidFill>
            <a:effectLst/>
            <a:latin typeface="+mn-ea"/>
            <a:ea typeface="+mn-ea"/>
            <a:cs typeface="+mn-cs"/>
          </a:endParaRPr>
        </a:p>
        <a:p>
          <a:pPr algn="l"/>
          <a:endParaRPr lang="zh-CN" altLang="en-US" sz="900">
            <a:solidFill>
              <a:sysClr val="windowText" lastClr="000000"/>
            </a:solidFill>
            <a:latin typeface="+mn-ea"/>
            <a:ea typeface="+mn-ea"/>
          </a:endParaRPr>
        </a:p>
      </xdr:txBody>
    </xdr:sp>
    <xdr:clientData/>
  </xdr:twoCellAnchor>
  <xdr:twoCellAnchor>
    <xdr:from>
      <xdr:col>6</xdr:col>
      <xdr:colOff>338819</xdr:colOff>
      <xdr:row>37</xdr:row>
      <xdr:rowOff>92528</xdr:rowOff>
    </xdr:from>
    <xdr:to>
      <xdr:col>8</xdr:col>
      <xdr:colOff>619126</xdr:colOff>
      <xdr:row>43</xdr:row>
      <xdr:rowOff>95249</xdr:rowOff>
    </xdr:to>
    <xdr:sp macro="" textlink="">
      <xdr:nvSpPr>
        <xdr:cNvPr id="6" name="矩形标注 5"/>
        <xdr:cNvSpPr/>
      </xdr:nvSpPr>
      <xdr:spPr>
        <a:xfrm>
          <a:off x="5425169" y="6359978"/>
          <a:ext cx="1813832" cy="1031421"/>
        </a:xfrm>
        <a:prstGeom prst="wedgeRectCallout">
          <a:avLst>
            <a:gd name="adj1" fmla="val 19767"/>
            <a:gd name="adj2" fmla="val -63562"/>
          </a:avLst>
        </a:prstGeom>
        <a:solidFill>
          <a:schemeClr val="bg1"/>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en-US" sz="900" b="1" u="sng">
              <a:solidFill>
                <a:srgbClr val="C00000"/>
              </a:solidFill>
              <a:effectLst/>
              <a:latin typeface="+mn-ea"/>
              <a:ea typeface="+mn-ea"/>
              <a:cs typeface="+mn-cs"/>
            </a:rPr>
            <a:t>江北区观音桥组团</a:t>
          </a:r>
          <a:r>
            <a:rPr lang="en-US" altLang="zh-CN" sz="900" b="1" u="sng">
              <a:solidFill>
                <a:srgbClr val="C00000"/>
              </a:solidFill>
              <a:effectLst/>
              <a:latin typeface="+mn-ea"/>
              <a:ea typeface="+mn-ea"/>
              <a:cs typeface="+mn-cs"/>
            </a:rPr>
            <a:t>M</a:t>
          </a:r>
          <a:r>
            <a:rPr lang="zh-CN" altLang="en-US" sz="900" b="1" u="sng">
              <a:solidFill>
                <a:srgbClr val="C00000"/>
              </a:solidFill>
              <a:effectLst/>
              <a:latin typeface="+mn-ea"/>
              <a:ea typeface="+mn-ea"/>
              <a:cs typeface="+mn-cs"/>
            </a:rPr>
            <a:t>分区</a:t>
          </a:r>
          <a:r>
            <a:rPr lang="en-US" altLang="zh-CN" sz="900" b="1" u="sng">
              <a:solidFill>
                <a:srgbClr val="C00000"/>
              </a:solidFill>
              <a:effectLst/>
              <a:latin typeface="+mn-ea"/>
              <a:ea typeface="+mn-ea"/>
              <a:cs typeface="+mn-cs"/>
            </a:rPr>
            <a:t>M09-4/02</a:t>
          </a:r>
          <a:r>
            <a:rPr lang="zh-CN" altLang="en-US" sz="900" b="1" u="sng">
              <a:solidFill>
                <a:srgbClr val="C00000"/>
              </a:solidFill>
              <a:effectLst/>
              <a:latin typeface="+mn-ea"/>
              <a:ea typeface="+mn-ea"/>
              <a:cs typeface="+mn-cs"/>
            </a:rPr>
            <a:t>号宗地（招商</a:t>
          </a:r>
          <a:r>
            <a:rPr lang="en-US" altLang="zh-CN" sz="900" b="1" u="sng">
              <a:solidFill>
                <a:srgbClr val="C00000"/>
              </a:solidFill>
              <a:effectLst/>
              <a:latin typeface="+mn-ea"/>
              <a:ea typeface="+mn-ea"/>
              <a:cs typeface="+mn-cs"/>
            </a:rPr>
            <a:t>-18</a:t>
          </a:r>
          <a:r>
            <a:rPr lang="zh-CN" altLang="en-US" sz="900" b="1" u="sng">
              <a:solidFill>
                <a:srgbClr val="C00000"/>
              </a:solidFill>
              <a:effectLst/>
              <a:latin typeface="+mn-ea"/>
              <a:ea typeface="+mn-ea"/>
              <a:cs typeface="+mn-cs"/>
            </a:rPr>
            <a:t>年）</a:t>
          </a:r>
          <a:r>
            <a:rPr lang="en-US" altLang="zh-CN" sz="900" b="1" u="sng">
              <a:solidFill>
                <a:srgbClr val="C00000"/>
              </a:solidFill>
              <a:effectLst/>
              <a:latin typeface="+mn-ea"/>
              <a:ea typeface="+mn-ea"/>
              <a:cs typeface="+mn-cs"/>
            </a:rPr>
            <a:t>A</a:t>
          </a:r>
          <a:endParaRPr lang="zh-CN" altLang="en-US" sz="900" b="1" u="sng">
            <a:solidFill>
              <a:srgbClr val="C00000"/>
            </a:solidFill>
            <a:effectLst/>
            <a:latin typeface="+mn-ea"/>
            <a:ea typeface="+mn-ea"/>
            <a:cs typeface="+mn-cs"/>
          </a:endParaRPr>
        </a:p>
        <a:p>
          <a:r>
            <a:rPr lang="en-US" altLang="zh-CN" sz="900" u="sng">
              <a:solidFill>
                <a:srgbClr val="C00000"/>
              </a:solidFill>
              <a:effectLst/>
              <a:latin typeface="+mn-ea"/>
              <a:ea typeface="+mn-ea"/>
              <a:cs typeface="+mn-cs"/>
            </a:rPr>
            <a:t>R3</a:t>
          </a:r>
          <a:r>
            <a:rPr lang="zh-CN" altLang="en-US" sz="900" u="sng">
              <a:solidFill>
                <a:srgbClr val="C00000"/>
              </a:solidFill>
              <a:effectLst/>
              <a:latin typeface="+mn-ea"/>
              <a:ea typeface="+mn-ea"/>
              <a:cs typeface="+mn-cs"/>
            </a:rPr>
            <a:t>，</a:t>
          </a:r>
          <a:r>
            <a:rPr lang="en-US" altLang="zh-CN" sz="900" u="sng">
              <a:solidFill>
                <a:srgbClr val="C00000"/>
              </a:solidFill>
              <a:effectLst/>
              <a:latin typeface="+mn-ea"/>
              <a:ea typeface="+mn-ea"/>
              <a:cs typeface="+mn-cs"/>
            </a:rPr>
            <a:t>1764</a:t>
          </a:r>
          <a:r>
            <a:rPr lang="zh-CN" altLang="en-US" sz="900" u="sng">
              <a:solidFill>
                <a:srgbClr val="C00000"/>
              </a:solidFill>
              <a:effectLst/>
              <a:latin typeface="+mn-ea"/>
              <a:ea typeface="+mn-ea"/>
              <a:cs typeface="+mn-cs"/>
            </a:rPr>
            <a:t>万元</a:t>
          </a:r>
          <a:r>
            <a:rPr lang="en-US" altLang="zh-CN" sz="900" u="sng">
              <a:solidFill>
                <a:srgbClr val="C00000"/>
              </a:solidFill>
              <a:effectLst/>
              <a:latin typeface="+mn-ea"/>
              <a:ea typeface="+mn-ea"/>
              <a:cs typeface="+mn-cs"/>
            </a:rPr>
            <a:t>/</a:t>
          </a:r>
          <a:r>
            <a:rPr lang="zh-CN" altLang="en-US" sz="900" u="sng">
              <a:solidFill>
                <a:srgbClr val="C00000"/>
              </a:solidFill>
              <a:effectLst/>
              <a:latin typeface="+mn-ea"/>
              <a:ea typeface="+mn-ea"/>
              <a:cs typeface="+mn-cs"/>
            </a:rPr>
            <a:t>亩，</a:t>
          </a:r>
          <a:r>
            <a:rPr lang="en-US" altLang="zh-CN" sz="900" u="sng">
              <a:solidFill>
                <a:srgbClr val="C00000"/>
              </a:solidFill>
              <a:effectLst/>
              <a:latin typeface="+mn-ea"/>
              <a:ea typeface="+mn-ea"/>
              <a:cs typeface="+mn-cs"/>
            </a:rPr>
            <a:t>8823</a:t>
          </a:r>
          <a:r>
            <a:rPr lang="zh-CN" altLang="en-US" sz="900" u="sng">
              <a:solidFill>
                <a:srgbClr val="C00000"/>
              </a:solidFill>
              <a:effectLst/>
              <a:latin typeface="+mn-ea"/>
              <a:ea typeface="+mn-ea"/>
              <a:cs typeface="+mn-cs"/>
            </a:rPr>
            <a:t>元</a:t>
          </a:r>
          <a:r>
            <a:rPr lang="en-US" altLang="zh-CN" sz="900" u="sng">
              <a:solidFill>
                <a:srgbClr val="C00000"/>
              </a:solidFill>
              <a:effectLst/>
              <a:latin typeface="+mn-ea"/>
              <a:ea typeface="+mn-ea"/>
              <a:cs typeface="+mn-cs"/>
            </a:rPr>
            <a:t>/㎡</a:t>
          </a:r>
          <a:r>
            <a:rPr lang="zh-CN" altLang="en-US" sz="900" u="sng">
              <a:solidFill>
                <a:srgbClr val="C00000"/>
              </a:solidFill>
              <a:effectLst/>
              <a:latin typeface="+mn-ea"/>
              <a:ea typeface="+mn-ea"/>
              <a:cs typeface="+mn-cs"/>
            </a:rPr>
            <a:t>，溢价</a:t>
          </a:r>
          <a:r>
            <a:rPr lang="en-US" altLang="zh-CN" sz="900" u="sng">
              <a:solidFill>
                <a:srgbClr val="C00000"/>
              </a:solidFill>
              <a:effectLst/>
              <a:latin typeface="+mn-ea"/>
              <a:ea typeface="+mn-ea"/>
              <a:cs typeface="+mn-cs"/>
            </a:rPr>
            <a:t>25%</a:t>
          </a:r>
        </a:p>
        <a:p>
          <a:r>
            <a:rPr lang="zh-CN" altLang="en-US" sz="900" b="1" u="sng">
              <a:solidFill>
                <a:srgbClr val="C00000"/>
              </a:solidFill>
              <a:effectLst/>
              <a:latin typeface="+mn-ea"/>
              <a:ea typeface="+mn-ea"/>
              <a:cs typeface="+mn-cs"/>
            </a:rPr>
            <a:t>招商</a:t>
          </a:r>
          <a:r>
            <a:rPr lang="en-US" altLang="zh-CN" sz="900" b="1" u="sng">
              <a:solidFill>
                <a:srgbClr val="C00000"/>
              </a:solidFill>
              <a:effectLst/>
              <a:latin typeface="+mn-ea"/>
              <a:ea typeface="+mn-ea"/>
              <a:cs typeface="+mn-cs"/>
            </a:rPr>
            <a:t>·</a:t>
          </a:r>
          <a:r>
            <a:rPr lang="zh-CN" altLang="en-US" sz="900" b="1" u="sng">
              <a:solidFill>
                <a:srgbClr val="C00000"/>
              </a:solidFill>
              <a:effectLst/>
              <a:latin typeface="+mn-ea"/>
              <a:ea typeface="+mn-ea"/>
              <a:cs typeface="+mn-cs"/>
            </a:rPr>
            <a:t>城市主场</a:t>
          </a:r>
          <a:r>
            <a:rPr lang="en-US" altLang="zh-CN" sz="900" b="1" u="sng">
              <a:solidFill>
                <a:srgbClr val="C00000"/>
              </a:solidFill>
              <a:effectLst/>
              <a:latin typeface="+mn-ea"/>
              <a:ea typeface="+mn-ea"/>
              <a:cs typeface="+mn-cs"/>
            </a:rPr>
            <a:t>-</a:t>
          </a:r>
          <a:r>
            <a:rPr lang="zh-CN" altLang="en-US" sz="900" b="1" u="sng">
              <a:solidFill>
                <a:srgbClr val="C00000"/>
              </a:solidFill>
              <a:effectLst/>
              <a:latin typeface="+mn-ea"/>
              <a:ea typeface="+mn-ea"/>
              <a:cs typeface="+mn-cs"/>
            </a:rPr>
            <a:t>建面</a:t>
          </a:r>
          <a:r>
            <a:rPr lang="en-US" altLang="zh-CN" sz="900" b="1" u="sng">
              <a:solidFill>
                <a:srgbClr val="C00000"/>
              </a:solidFill>
              <a:effectLst/>
              <a:latin typeface="+mn-ea"/>
              <a:ea typeface="+mn-ea"/>
              <a:cs typeface="+mn-cs"/>
            </a:rPr>
            <a:t>18500</a:t>
          </a:r>
          <a:r>
            <a:rPr lang="zh-CN" altLang="en-US" sz="900" b="1" u="sng">
              <a:solidFill>
                <a:srgbClr val="C00000"/>
              </a:solidFill>
              <a:effectLst/>
              <a:latin typeface="+mn-ea"/>
              <a:ea typeface="+mn-ea"/>
              <a:cs typeface="+mn-cs"/>
            </a:rPr>
            <a:t>元</a:t>
          </a:r>
          <a:r>
            <a:rPr lang="en-US" altLang="zh-CN" sz="900" b="1" u="sng">
              <a:solidFill>
                <a:srgbClr val="C00000"/>
              </a:solidFill>
              <a:effectLst/>
              <a:latin typeface="+mn-ea"/>
              <a:ea typeface="+mn-ea"/>
              <a:cs typeface="+mn-cs"/>
            </a:rPr>
            <a:t>/</a:t>
          </a:r>
          <a:r>
            <a:rPr lang="zh-CN" altLang="en-US" sz="900" b="1" u="sng">
              <a:solidFill>
                <a:srgbClr val="C00000"/>
              </a:solidFill>
              <a:effectLst/>
              <a:latin typeface="+mn-ea"/>
              <a:ea typeface="+mn-ea"/>
              <a:cs typeface="+mn-cs"/>
            </a:rPr>
            <a:t>平方米</a:t>
          </a:r>
        </a:p>
        <a:p>
          <a:pPr algn="l"/>
          <a:endParaRPr lang="zh-CN" altLang="en-US" sz="900">
            <a:solidFill>
              <a:sysClr val="windowText" lastClr="000000"/>
            </a:solidFill>
            <a:latin typeface="+mn-ea"/>
            <a:ea typeface="+mn-ea"/>
          </a:endParaRPr>
        </a:p>
      </xdr:txBody>
    </xdr:sp>
    <xdr:clientData/>
  </xdr:twoCellAnchor>
  <xdr:twoCellAnchor>
    <xdr:from>
      <xdr:col>8</xdr:col>
      <xdr:colOff>175533</xdr:colOff>
      <xdr:row>24</xdr:row>
      <xdr:rowOff>95251</xdr:rowOff>
    </xdr:from>
    <xdr:to>
      <xdr:col>10</xdr:col>
      <xdr:colOff>514351</xdr:colOff>
      <xdr:row>28</xdr:row>
      <xdr:rowOff>133351</xdr:rowOff>
    </xdr:to>
    <xdr:sp macro="" textlink="">
      <xdr:nvSpPr>
        <xdr:cNvPr id="7" name="矩形标注 6"/>
        <xdr:cNvSpPr/>
      </xdr:nvSpPr>
      <xdr:spPr>
        <a:xfrm>
          <a:off x="6795408" y="4133851"/>
          <a:ext cx="1710418" cy="723900"/>
        </a:xfrm>
        <a:prstGeom prst="wedgeRectCallout">
          <a:avLst>
            <a:gd name="adj1" fmla="val -56078"/>
            <a:gd name="adj2" fmla="val 62594"/>
          </a:avLst>
        </a:prstGeom>
        <a:solidFill>
          <a:schemeClr val="bg1"/>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en-US" sz="900" b="1">
              <a:solidFill>
                <a:sysClr val="windowText" lastClr="000000"/>
              </a:solidFill>
              <a:effectLst/>
              <a:latin typeface="+mn-ea"/>
              <a:ea typeface="+mn-ea"/>
              <a:cs typeface="+mn-cs"/>
            </a:rPr>
            <a:t>江北区观音桥组团</a:t>
          </a:r>
          <a:r>
            <a:rPr lang="en-US" altLang="zh-CN" sz="900" b="1">
              <a:solidFill>
                <a:sysClr val="windowText" lastClr="000000"/>
              </a:solidFill>
              <a:effectLst/>
              <a:latin typeface="+mn-ea"/>
              <a:ea typeface="+mn-ea"/>
              <a:cs typeface="+mn-cs"/>
            </a:rPr>
            <a:t>I</a:t>
          </a:r>
          <a:r>
            <a:rPr lang="zh-CN" altLang="en-US" sz="900" b="1">
              <a:solidFill>
                <a:sysClr val="windowText" lastClr="000000"/>
              </a:solidFill>
              <a:effectLst/>
              <a:latin typeface="+mn-ea"/>
              <a:ea typeface="+mn-ea"/>
              <a:cs typeface="+mn-cs"/>
            </a:rPr>
            <a:t>分区</a:t>
          </a:r>
          <a:r>
            <a:rPr lang="en-US" altLang="zh-CN" sz="900" b="1">
              <a:solidFill>
                <a:sysClr val="windowText" lastClr="000000"/>
              </a:solidFill>
              <a:effectLst/>
              <a:latin typeface="+mn-ea"/>
              <a:ea typeface="+mn-ea"/>
              <a:cs typeface="+mn-cs"/>
            </a:rPr>
            <a:t>I02-1/03</a:t>
          </a:r>
          <a:r>
            <a:rPr lang="zh-CN" altLang="en-US" sz="900" b="1">
              <a:solidFill>
                <a:sysClr val="windowText" lastClr="000000"/>
              </a:solidFill>
              <a:effectLst/>
              <a:latin typeface="+mn-ea"/>
              <a:ea typeface="+mn-ea"/>
              <a:cs typeface="+mn-cs"/>
            </a:rPr>
            <a:t>号宗地（重庆河东</a:t>
          </a:r>
          <a:r>
            <a:rPr lang="en-US" altLang="zh-CN" sz="900" b="1">
              <a:solidFill>
                <a:sysClr val="windowText" lastClr="000000"/>
              </a:solidFill>
              <a:effectLst/>
              <a:latin typeface="+mn-ea"/>
              <a:ea typeface="+mn-ea"/>
              <a:cs typeface="+mn-cs"/>
            </a:rPr>
            <a:t>-16</a:t>
          </a:r>
          <a:r>
            <a:rPr lang="zh-CN" altLang="en-US" sz="900" b="1">
              <a:solidFill>
                <a:sysClr val="windowText" lastClr="000000"/>
              </a:solidFill>
              <a:effectLst/>
              <a:latin typeface="+mn-ea"/>
              <a:ea typeface="+mn-ea"/>
              <a:cs typeface="+mn-cs"/>
            </a:rPr>
            <a:t>年）</a:t>
          </a:r>
        </a:p>
        <a:p>
          <a:r>
            <a:rPr lang="en-US" altLang="zh-CN" sz="900">
              <a:solidFill>
                <a:sysClr val="windowText" lastClr="000000"/>
              </a:solidFill>
              <a:effectLst/>
              <a:latin typeface="+mn-ea"/>
              <a:ea typeface="+mn-ea"/>
              <a:cs typeface="+mn-cs"/>
            </a:rPr>
            <a:t>R3.5</a:t>
          </a:r>
          <a:r>
            <a:rPr lang="zh-CN" altLang="en-US" sz="900">
              <a:solidFill>
                <a:sysClr val="windowText" lastClr="000000"/>
              </a:solidFill>
              <a:effectLst/>
              <a:latin typeface="+mn-ea"/>
              <a:ea typeface="+mn-ea"/>
              <a:cs typeface="+mn-cs"/>
            </a:rPr>
            <a:t>，</a:t>
          </a:r>
          <a:r>
            <a:rPr lang="en-US" altLang="zh-CN" sz="900">
              <a:solidFill>
                <a:sysClr val="windowText" lastClr="000000"/>
              </a:solidFill>
              <a:effectLst/>
              <a:latin typeface="+mn-ea"/>
              <a:ea typeface="+mn-ea"/>
              <a:cs typeface="+mn-cs"/>
            </a:rPr>
            <a:t>1227</a:t>
          </a:r>
          <a:r>
            <a:rPr lang="zh-CN" altLang="en-US" sz="900">
              <a:solidFill>
                <a:sysClr val="windowText" lastClr="000000"/>
              </a:solidFill>
              <a:effectLst/>
              <a:latin typeface="+mn-ea"/>
              <a:ea typeface="+mn-ea"/>
              <a:cs typeface="+mn-cs"/>
            </a:rPr>
            <a:t>万元</a:t>
          </a:r>
          <a:r>
            <a:rPr lang="en-US" altLang="zh-CN" sz="900">
              <a:solidFill>
                <a:sysClr val="windowText" lastClr="000000"/>
              </a:solidFill>
              <a:effectLst/>
              <a:latin typeface="+mn-ea"/>
              <a:ea typeface="+mn-ea"/>
              <a:cs typeface="+mn-cs"/>
            </a:rPr>
            <a:t>/</a:t>
          </a:r>
          <a:r>
            <a:rPr lang="zh-CN" altLang="en-US" sz="900">
              <a:solidFill>
                <a:sysClr val="windowText" lastClr="000000"/>
              </a:solidFill>
              <a:effectLst/>
              <a:latin typeface="+mn-ea"/>
              <a:ea typeface="+mn-ea"/>
              <a:cs typeface="+mn-cs"/>
            </a:rPr>
            <a:t>亩，</a:t>
          </a:r>
          <a:r>
            <a:rPr lang="en-US" altLang="zh-CN" sz="900">
              <a:solidFill>
                <a:sysClr val="windowText" lastClr="000000"/>
              </a:solidFill>
              <a:effectLst/>
              <a:latin typeface="+mn-ea"/>
              <a:ea typeface="+mn-ea"/>
              <a:cs typeface="+mn-cs"/>
            </a:rPr>
            <a:t>5259</a:t>
          </a:r>
          <a:r>
            <a:rPr lang="zh-CN" altLang="en-US" sz="900">
              <a:solidFill>
                <a:sysClr val="windowText" lastClr="000000"/>
              </a:solidFill>
              <a:effectLst/>
              <a:latin typeface="+mn-ea"/>
              <a:ea typeface="+mn-ea"/>
              <a:cs typeface="+mn-cs"/>
            </a:rPr>
            <a:t>元</a:t>
          </a:r>
          <a:r>
            <a:rPr lang="en-US" altLang="zh-CN" sz="900">
              <a:solidFill>
                <a:sysClr val="windowText" lastClr="000000"/>
              </a:solidFill>
              <a:effectLst/>
              <a:latin typeface="+mn-ea"/>
              <a:ea typeface="+mn-ea"/>
              <a:cs typeface="+mn-cs"/>
            </a:rPr>
            <a:t>/㎡</a:t>
          </a:r>
          <a:r>
            <a:rPr lang="zh-CN" altLang="en-US" sz="900">
              <a:solidFill>
                <a:sysClr val="windowText" lastClr="000000"/>
              </a:solidFill>
              <a:effectLst/>
              <a:latin typeface="+mn-ea"/>
              <a:ea typeface="+mn-ea"/>
              <a:cs typeface="+mn-cs"/>
            </a:rPr>
            <a:t>，溢价</a:t>
          </a:r>
          <a:r>
            <a:rPr lang="en-US" altLang="zh-CN" sz="900">
              <a:solidFill>
                <a:sysClr val="windowText" lastClr="000000"/>
              </a:solidFill>
              <a:effectLst/>
              <a:latin typeface="+mn-ea"/>
              <a:ea typeface="+mn-ea"/>
              <a:cs typeface="+mn-cs"/>
            </a:rPr>
            <a:t>0%</a:t>
          </a:r>
          <a:r>
            <a:rPr lang="zh-CN" altLang="en-US" sz="900">
              <a:solidFill>
                <a:sysClr val="windowText" lastClr="000000"/>
              </a:solidFill>
              <a:effectLst/>
              <a:latin typeface="+mn-ea"/>
              <a:ea typeface="+mn-ea"/>
              <a:cs typeface="+mn-cs"/>
            </a:rPr>
            <a:t>，住宅占比</a:t>
          </a:r>
          <a:r>
            <a:rPr lang="en-US" altLang="zh-CN" sz="900">
              <a:solidFill>
                <a:sysClr val="windowText" lastClr="000000"/>
              </a:solidFill>
              <a:effectLst/>
              <a:latin typeface="+mn-ea"/>
              <a:ea typeface="+mn-ea"/>
              <a:cs typeface="+mn-cs"/>
            </a:rPr>
            <a:t>30%</a:t>
          </a:r>
        </a:p>
      </xdr:txBody>
    </xdr:sp>
    <xdr:clientData/>
  </xdr:twoCellAnchor>
  <xdr:twoCellAnchor>
    <xdr:from>
      <xdr:col>4</xdr:col>
      <xdr:colOff>676276</xdr:colOff>
      <xdr:row>17</xdr:row>
      <xdr:rowOff>123826</xdr:rowOff>
    </xdr:from>
    <xdr:to>
      <xdr:col>9</xdr:col>
      <xdr:colOff>581025</xdr:colOff>
      <xdr:row>23</xdr:row>
      <xdr:rowOff>142876</xdr:rowOff>
    </xdr:to>
    <xdr:sp macro="" textlink="">
      <xdr:nvSpPr>
        <xdr:cNvPr id="8" name="矩形标注 7"/>
        <xdr:cNvSpPr/>
      </xdr:nvSpPr>
      <xdr:spPr>
        <a:xfrm>
          <a:off x="4067176" y="2962276"/>
          <a:ext cx="3819524" cy="1047750"/>
        </a:xfrm>
        <a:prstGeom prst="wedgeRectCallout">
          <a:avLst>
            <a:gd name="adj1" fmla="val 1438"/>
            <a:gd name="adj2" fmla="val 81312"/>
          </a:avLst>
        </a:prstGeom>
        <a:solidFill>
          <a:schemeClr val="bg1"/>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en-US" sz="900" b="1">
              <a:solidFill>
                <a:sysClr val="windowText" lastClr="000000"/>
              </a:solidFill>
              <a:effectLst/>
              <a:latin typeface="+mn-ea"/>
              <a:ea typeface="+mn-ea"/>
              <a:cs typeface="+mn-cs"/>
            </a:rPr>
            <a:t>渝北区观音桥组团</a:t>
          </a:r>
          <a:r>
            <a:rPr lang="en-US" altLang="zh-CN" sz="900" b="1">
              <a:solidFill>
                <a:sysClr val="windowText" lastClr="000000"/>
              </a:solidFill>
              <a:effectLst/>
              <a:latin typeface="+mn-ea"/>
              <a:ea typeface="+mn-ea"/>
              <a:cs typeface="+mn-cs"/>
            </a:rPr>
            <a:t>C</a:t>
          </a:r>
          <a:r>
            <a:rPr lang="zh-CN" altLang="en-US" sz="900" b="1">
              <a:solidFill>
                <a:sysClr val="windowText" lastClr="000000"/>
              </a:solidFill>
              <a:effectLst/>
              <a:latin typeface="+mn-ea"/>
              <a:ea typeface="+mn-ea"/>
              <a:cs typeface="+mn-cs"/>
            </a:rPr>
            <a:t>分区</a:t>
          </a:r>
          <a:r>
            <a:rPr lang="en-US" altLang="zh-CN" sz="900" b="1">
              <a:solidFill>
                <a:sysClr val="windowText" lastClr="000000"/>
              </a:solidFill>
              <a:effectLst/>
              <a:latin typeface="+mn-ea"/>
              <a:ea typeface="+mn-ea"/>
              <a:cs typeface="+mn-cs"/>
            </a:rPr>
            <a:t>C6-1</a:t>
          </a:r>
          <a:r>
            <a:rPr lang="zh-CN" altLang="en-US" sz="900" b="1">
              <a:solidFill>
                <a:sysClr val="windowText" lastClr="000000"/>
              </a:solidFill>
              <a:effectLst/>
              <a:latin typeface="+mn-ea"/>
              <a:ea typeface="+mn-ea"/>
              <a:cs typeface="+mn-cs"/>
            </a:rPr>
            <a:t>、</a:t>
          </a:r>
          <a:r>
            <a:rPr lang="en-US" altLang="zh-CN" sz="900" b="1">
              <a:solidFill>
                <a:sysClr val="windowText" lastClr="000000"/>
              </a:solidFill>
              <a:effectLst/>
              <a:latin typeface="+mn-ea"/>
              <a:ea typeface="+mn-ea"/>
              <a:cs typeface="+mn-cs"/>
            </a:rPr>
            <a:t>C5-1</a:t>
          </a:r>
          <a:r>
            <a:rPr lang="zh-CN" altLang="en-US" sz="900" b="1">
              <a:solidFill>
                <a:sysClr val="windowText" lastClr="000000"/>
              </a:solidFill>
              <a:effectLst/>
              <a:latin typeface="+mn-ea"/>
              <a:ea typeface="+mn-ea"/>
              <a:cs typeface="+mn-cs"/>
            </a:rPr>
            <a:t>号宗地（深圳合能</a:t>
          </a:r>
          <a:r>
            <a:rPr lang="en-US" altLang="zh-CN" sz="900" b="1">
              <a:solidFill>
                <a:sysClr val="windowText" lastClr="000000"/>
              </a:solidFill>
              <a:effectLst/>
              <a:latin typeface="+mn-ea"/>
              <a:ea typeface="+mn-ea"/>
              <a:cs typeface="+mn-cs"/>
            </a:rPr>
            <a:t>-19</a:t>
          </a:r>
          <a:r>
            <a:rPr lang="zh-CN" altLang="en-US" sz="900" b="1">
              <a:solidFill>
                <a:sysClr val="windowText" lastClr="000000"/>
              </a:solidFill>
              <a:effectLst/>
              <a:latin typeface="+mn-ea"/>
              <a:ea typeface="+mn-ea"/>
              <a:cs typeface="+mn-cs"/>
            </a:rPr>
            <a:t>年）</a:t>
          </a:r>
        </a:p>
        <a:p>
          <a:r>
            <a:rPr lang="en-US" altLang="zh-CN" sz="900">
              <a:solidFill>
                <a:sysClr val="windowText" lastClr="000000"/>
              </a:solidFill>
              <a:effectLst/>
              <a:latin typeface="+mn-ea"/>
              <a:ea typeface="+mn-ea"/>
              <a:cs typeface="+mn-cs"/>
            </a:rPr>
            <a:t>R1.9</a:t>
          </a:r>
          <a:r>
            <a:rPr lang="zh-CN" altLang="en-US" sz="900">
              <a:solidFill>
                <a:sysClr val="windowText" lastClr="000000"/>
              </a:solidFill>
              <a:effectLst/>
              <a:latin typeface="+mn-ea"/>
              <a:ea typeface="+mn-ea"/>
              <a:cs typeface="+mn-cs"/>
            </a:rPr>
            <a:t>，</a:t>
          </a:r>
          <a:r>
            <a:rPr lang="en-US" altLang="zh-CN" sz="900">
              <a:solidFill>
                <a:sysClr val="windowText" lastClr="000000"/>
              </a:solidFill>
              <a:effectLst/>
              <a:latin typeface="+mn-ea"/>
              <a:ea typeface="+mn-ea"/>
              <a:cs typeface="+mn-cs"/>
            </a:rPr>
            <a:t>1692</a:t>
          </a:r>
          <a:r>
            <a:rPr lang="zh-CN" altLang="en-US" sz="900">
              <a:solidFill>
                <a:sysClr val="windowText" lastClr="000000"/>
              </a:solidFill>
              <a:effectLst/>
              <a:latin typeface="+mn-ea"/>
              <a:ea typeface="+mn-ea"/>
              <a:cs typeface="+mn-cs"/>
            </a:rPr>
            <a:t>万元</a:t>
          </a:r>
          <a:r>
            <a:rPr lang="en-US" altLang="zh-CN" sz="900">
              <a:solidFill>
                <a:sysClr val="windowText" lastClr="000000"/>
              </a:solidFill>
              <a:effectLst/>
              <a:latin typeface="+mn-ea"/>
              <a:ea typeface="+mn-ea"/>
              <a:cs typeface="+mn-cs"/>
            </a:rPr>
            <a:t>/</a:t>
          </a:r>
          <a:r>
            <a:rPr lang="zh-CN" altLang="en-US" sz="900">
              <a:solidFill>
                <a:sysClr val="windowText" lastClr="000000"/>
              </a:solidFill>
              <a:effectLst/>
              <a:latin typeface="+mn-ea"/>
              <a:ea typeface="+mn-ea"/>
              <a:cs typeface="+mn-cs"/>
            </a:rPr>
            <a:t>亩，</a:t>
          </a:r>
          <a:r>
            <a:rPr lang="en-US" altLang="zh-CN" sz="900">
              <a:solidFill>
                <a:sysClr val="windowText" lastClr="000000"/>
              </a:solidFill>
              <a:effectLst/>
              <a:latin typeface="+mn-ea"/>
              <a:ea typeface="+mn-ea"/>
              <a:cs typeface="+mn-cs"/>
            </a:rPr>
            <a:t>13166</a:t>
          </a:r>
          <a:r>
            <a:rPr lang="zh-CN" altLang="en-US" sz="900">
              <a:solidFill>
                <a:sysClr val="windowText" lastClr="000000"/>
              </a:solidFill>
              <a:effectLst/>
              <a:latin typeface="+mn-ea"/>
              <a:ea typeface="+mn-ea"/>
              <a:cs typeface="+mn-cs"/>
            </a:rPr>
            <a:t>元</a:t>
          </a:r>
          <a:r>
            <a:rPr lang="en-US" altLang="zh-CN" sz="900">
              <a:solidFill>
                <a:sysClr val="windowText" lastClr="000000"/>
              </a:solidFill>
              <a:effectLst/>
              <a:latin typeface="+mn-ea"/>
              <a:ea typeface="+mn-ea"/>
              <a:cs typeface="+mn-cs"/>
            </a:rPr>
            <a:t>/㎡</a:t>
          </a:r>
          <a:r>
            <a:rPr lang="zh-CN" altLang="en-US" sz="900">
              <a:solidFill>
                <a:sysClr val="windowText" lastClr="000000"/>
              </a:solidFill>
              <a:effectLst/>
              <a:latin typeface="+mn-ea"/>
              <a:ea typeface="+mn-ea"/>
              <a:cs typeface="+mn-cs"/>
            </a:rPr>
            <a:t>，溢价</a:t>
          </a:r>
          <a:r>
            <a:rPr lang="en-US" altLang="zh-CN" sz="900">
              <a:solidFill>
                <a:sysClr val="windowText" lastClr="000000"/>
              </a:solidFill>
              <a:effectLst/>
              <a:latin typeface="+mn-ea"/>
              <a:ea typeface="+mn-ea"/>
              <a:cs typeface="+mn-cs"/>
            </a:rPr>
            <a:t>35%</a:t>
          </a:r>
          <a:endParaRPr lang="en-US" altLang="zh-CN" sz="900" i="1">
            <a:solidFill>
              <a:sysClr val="windowText" lastClr="000000"/>
            </a:solidFill>
            <a:effectLst/>
            <a:latin typeface="+mn-ea"/>
            <a:ea typeface="+mn-ea"/>
            <a:cs typeface="+mn-cs"/>
          </a:endParaRPr>
        </a:p>
        <a:p>
          <a:endParaRPr lang="zh-CN" altLang="en-US" sz="900">
            <a:solidFill>
              <a:sysClr val="windowText" lastClr="000000"/>
            </a:solidFill>
            <a:effectLst/>
            <a:latin typeface="+mn-ea"/>
            <a:ea typeface="+mn-ea"/>
            <a:cs typeface="+mn-cs"/>
          </a:endParaRPr>
        </a:p>
        <a:p>
          <a:r>
            <a:rPr lang="zh-CN" altLang="en-US" sz="900" b="1">
              <a:solidFill>
                <a:sysClr val="windowText" lastClr="000000"/>
              </a:solidFill>
              <a:effectLst/>
              <a:latin typeface="+mn-ea"/>
              <a:ea typeface="+mn-ea"/>
              <a:cs typeface="+mn-cs"/>
            </a:rPr>
            <a:t>渝北区观音桥组团</a:t>
          </a:r>
          <a:r>
            <a:rPr lang="en-US" altLang="zh-CN" sz="900" b="1">
              <a:solidFill>
                <a:sysClr val="windowText" lastClr="000000"/>
              </a:solidFill>
              <a:effectLst/>
              <a:latin typeface="+mn-ea"/>
              <a:ea typeface="+mn-ea"/>
              <a:cs typeface="+mn-cs"/>
            </a:rPr>
            <a:t>C</a:t>
          </a:r>
          <a:r>
            <a:rPr lang="zh-CN" altLang="en-US" sz="900" b="1">
              <a:solidFill>
                <a:sysClr val="windowText" lastClr="000000"/>
              </a:solidFill>
              <a:effectLst/>
              <a:latin typeface="+mn-ea"/>
              <a:ea typeface="+mn-ea"/>
              <a:cs typeface="+mn-cs"/>
            </a:rPr>
            <a:t>分区</a:t>
          </a:r>
          <a:r>
            <a:rPr lang="en-US" altLang="zh-CN" sz="900" b="1">
              <a:solidFill>
                <a:sysClr val="windowText" lastClr="000000"/>
              </a:solidFill>
              <a:effectLst/>
              <a:latin typeface="+mn-ea"/>
              <a:ea typeface="+mn-ea"/>
              <a:cs typeface="+mn-cs"/>
            </a:rPr>
            <a:t>8-1/04</a:t>
          </a:r>
          <a:r>
            <a:rPr lang="zh-CN" altLang="en-US" sz="900" b="1">
              <a:solidFill>
                <a:sysClr val="windowText" lastClr="000000"/>
              </a:solidFill>
              <a:effectLst/>
              <a:latin typeface="+mn-ea"/>
              <a:ea typeface="+mn-ea"/>
              <a:cs typeface="+mn-cs"/>
            </a:rPr>
            <a:t>、</a:t>
          </a:r>
          <a:r>
            <a:rPr lang="en-US" altLang="zh-CN" sz="900" b="1">
              <a:solidFill>
                <a:sysClr val="windowText" lastClr="000000"/>
              </a:solidFill>
              <a:effectLst/>
              <a:latin typeface="+mn-ea"/>
              <a:ea typeface="+mn-ea"/>
              <a:cs typeface="+mn-cs"/>
            </a:rPr>
            <a:t>13-1/04</a:t>
          </a:r>
          <a:r>
            <a:rPr lang="zh-CN" altLang="en-US" sz="900" b="1">
              <a:solidFill>
                <a:sysClr val="windowText" lastClr="000000"/>
              </a:solidFill>
              <a:effectLst/>
              <a:latin typeface="+mn-ea"/>
              <a:ea typeface="+mn-ea"/>
              <a:cs typeface="+mn-cs"/>
            </a:rPr>
            <a:t>、</a:t>
          </a:r>
          <a:r>
            <a:rPr lang="en-US" altLang="zh-CN" sz="900" b="1">
              <a:solidFill>
                <a:sysClr val="windowText" lastClr="000000"/>
              </a:solidFill>
              <a:effectLst/>
              <a:latin typeface="+mn-ea"/>
              <a:ea typeface="+mn-ea"/>
              <a:cs typeface="+mn-cs"/>
            </a:rPr>
            <a:t>8-6/02</a:t>
          </a:r>
          <a:r>
            <a:rPr lang="zh-CN" altLang="en-US" sz="900" b="1">
              <a:solidFill>
                <a:sysClr val="windowText" lastClr="000000"/>
              </a:solidFill>
              <a:effectLst/>
              <a:latin typeface="+mn-ea"/>
              <a:ea typeface="+mn-ea"/>
              <a:cs typeface="+mn-cs"/>
            </a:rPr>
            <a:t>号宗地（象屿</a:t>
          </a:r>
          <a:r>
            <a:rPr lang="en-US" altLang="zh-CN" sz="900" b="1">
              <a:solidFill>
                <a:sysClr val="windowText" lastClr="000000"/>
              </a:solidFill>
              <a:effectLst/>
              <a:latin typeface="+mn-ea"/>
              <a:ea typeface="+mn-ea"/>
              <a:cs typeface="+mn-cs"/>
            </a:rPr>
            <a:t>-17</a:t>
          </a:r>
          <a:r>
            <a:rPr lang="zh-CN" altLang="en-US" sz="900" b="1">
              <a:solidFill>
                <a:sysClr val="windowText" lastClr="000000"/>
              </a:solidFill>
              <a:effectLst/>
              <a:latin typeface="+mn-ea"/>
              <a:ea typeface="+mn-ea"/>
              <a:cs typeface="+mn-cs"/>
            </a:rPr>
            <a:t>年）</a:t>
          </a:r>
        </a:p>
        <a:p>
          <a:r>
            <a:rPr lang="en-US" altLang="zh-CN" sz="900">
              <a:solidFill>
                <a:sysClr val="windowText" lastClr="000000"/>
              </a:solidFill>
              <a:effectLst/>
              <a:latin typeface="+mn-ea"/>
              <a:ea typeface="+mn-ea"/>
              <a:cs typeface="+mn-cs"/>
            </a:rPr>
            <a:t>R4.3</a:t>
          </a:r>
          <a:r>
            <a:rPr lang="zh-CN" altLang="en-US" sz="900">
              <a:solidFill>
                <a:sysClr val="windowText" lastClr="000000"/>
              </a:solidFill>
              <a:effectLst/>
              <a:latin typeface="+mn-ea"/>
              <a:ea typeface="+mn-ea"/>
              <a:cs typeface="+mn-cs"/>
            </a:rPr>
            <a:t>，</a:t>
          </a:r>
          <a:r>
            <a:rPr lang="en-US" altLang="zh-CN" sz="900">
              <a:solidFill>
                <a:sysClr val="windowText" lastClr="000000"/>
              </a:solidFill>
              <a:effectLst/>
              <a:latin typeface="+mn-ea"/>
              <a:ea typeface="+mn-ea"/>
              <a:cs typeface="+mn-cs"/>
            </a:rPr>
            <a:t>2737</a:t>
          </a:r>
          <a:r>
            <a:rPr lang="zh-CN" altLang="en-US" sz="900">
              <a:solidFill>
                <a:sysClr val="windowText" lastClr="000000"/>
              </a:solidFill>
              <a:effectLst/>
              <a:latin typeface="+mn-ea"/>
              <a:ea typeface="+mn-ea"/>
              <a:cs typeface="+mn-cs"/>
            </a:rPr>
            <a:t>万元</a:t>
          </a:r>
          <a:r>
            <a:rPr lang="en-US" altLang="zh-CN" sz="900">
              <a:solidFill>
                <a:sysClr val="windowText" lastClr="000000"/>
              </a:solidFill>
              <a:effectLst/>
              <a:latin typeface="+mn-ea"/>
              <a:ea typeface="+mn-ea"/>
              <a:cs typeface="+mn-cs"/>
            </a:rPr>
            <a:t>/</a:t>
          </a:r>
          <a:r>
            <a:rPr lang="zh-CN" altLang="en-US" sz="900">
              <a:solidFill>
                <a:sysClr val="windowText" lastClr="000000"/>
              </a:solidFill>
              <a:effectLst/>
              <a:latin typeface="+mn-ea"/>
              <a:ea typeface="+mn-ea"/>
              <a:cs typeface="+mn-cs"/>
            </a:rPr>
            <a:t>亩，</a:t>
          </a:r>
          <a:r>
            <a:rPr lang="en-US" altLang="zh-CN" sz="900">
              <a:solidFill>
                <a:sysClr val="windowText" lastClr="000000"/>
              </a:solidFill>
              <a:effectLst/>
              <a:latin typeface="+mn-ea"/>
              <a:ea typeface="+mn-ea"/>
              <a:cs typeface="+mn-cs"/>
            </a:rPr>
            <a:t>9530</a:t>
          </a:r>
          <a:r>
            <a:rPr lang="zh-CN" altLang="en-US" sz="900">
              <a:solidFill>
                <a:sysClr val="windowText" lastClr="000000"/>
              </a:solidFill>
              <a:effectLst/>
              <a:latin typeface="+mn-ea"/>
              <a:ea typeface="+mn-ea"/>
              <a:cs typeface="+mn-cs"/>
            </a:rPr>
            <a:t>元</a:t>
          </a:r>
          <a:r>
            <a:rPr lang="en-US" altLang="zh-CN" sz="900">
              <a:solidFill>
                <a:sysClr val="windowText" lastClr="000000"/>
              </a:solidFill>
              <a:effectLst/>
              <a:latin typeface="+mn-ea"/>
              <a:ea typeface="+mn-ea"/>
              <a:cs typeface="+mn-cs"/>
            </a:rPr>
            <a:t>/㎡</a:t>
          </a:r>
          <a:r>
            <a:rPr lang="zh-CN" altLang="en-US" sz="900">
              <a:solidFill>
                <a:sysClr val="windowText" lastClr="000000"/>
              </a:solidFill>
              <a:effectLst/>
              <a:latin typeface="+mn-ea"/>
              <a:ea typeface="+mn-ea"/>
              <a:cs typeface="+mn-cs"/>
            </a:rPr>
            <a:t>，溢价</a:t>
          </a:r>
          <a:r>
            <a:rPr lang="en-US" altLang="zh-CN" sz="900">
              <a:solidFill>
                <a:sysClr val="windowText" lastClr="000000"/>
              </a:solidFill>
              <a:effectLst/>
              <a:latin typeface="+mn-ea"/>
              <a:ea typeface="+mn-ea"/>
              <a:cs typeface="+mn-cs"/>
            </a:rPr>
            <a:t>19%</a:t>
          </a:r>
          <a:r>
            <a:rPr lang="zh-CN" altLang="en-US" sz="900">
              <a:solidFill>
                <a:sysClr val="windowText" lastClr="000000"/>
              </a:solidFill>
              <a:effectLst/>
              <a:latin typeface="+mn-ea"/>
              <a:ea typeface="+mn-ea"/>
              <a:cs typeface="+mn-cs"/>
            </a:rPr>
            <a:t>，住宅占比</a:t>
          </a:r>
          <a:r>
            <a:rPr lang="en-US" altLang="zh-CN" sz="900">
              <a:solidFill>
                <a:sysClr val="windowText" lastClr="000000"/>
              </a:solidFill>
              <a:effectLst/>
              <a:latin typeface="+mn-ea"/>
              <a:ea typeface="+mn-ea"/>
              <a:cs typeface="+mn-cs"/>
            </a:rPr>
            <a:t>98%</a:t>
          </a:r>
        </a:p>
        <a:p>
          <a:r>
            <a:rPr lang="zh-CN" altLang="en-US" sz="900" b="1" i="0">
              <a:solidFill>
                <a:sysClr val="windowText" lastClr="000000"/>
              </a:solidFill>
              <a:effectLst/>
              <a:latin typeface="+mn-ea"/>
              <a:ea typeface="+mn-ea"/>
              <a:cs typeface="+mn-cs"/>
            </a:rPr>
            <a:t>象屿观悦府</a:t>
          </a:r>
          <a:r>
            <a:rPr lang="en-US" altLang="zh-CN" sz="900" b="1" i="0">
              <a:solidFill>
                <a:sysClr val="windowText" lastClr="000000"/>
              </a:solidFill>
              <a:effectLst/>
              <a:latin typeface="+mn-ea"/>
              <a:ea typeface="+mn-ea"/>
              <a:cs typeface="+mn-cs"/>
            </a:rPr>
            <a:t>-</a:t>
          </a:r>
          <a:r>
            <a:rPr lang="zh-CN" altLang="en-US" sz="900" b="1" i="0">
              <a:solidFill>
                <a:sysClr val="windowText" lastClr="000000"/>
              </a:solidFill>
              <a:effectLst/>
              <a:latin typeface="+mn-ea"/>
              <a:ea typeface="+mn-ea"/>
              <a:cs typeface="+mn-cs"/>
            </a:rPr>
            <a:t>建面</a:t>
          </a:r>
          <a:r>
            <a:rPr lang="en-US" altLang="zh-CN" sz="900" b="1" i="0">
              <a:solidFill>
                <a:sysClr val="windowText" lastClr="000000"/>
              </a:solidFill>
              <a:effectLst/>
              <a:latin typeface="+mn-ea"/>
              <a:ea typeface="+mn-ea"/>
              <a:cs typeface="+mn-cs"/>
            </a:rPr>
            <a:t>17500</a:t>
          </a:r>
          <a:r>
            <a:rPr lang="zh-CN" altLang="en-US" sz="900" b="1" i="0">
              <a:solidFill>
                <a:sysClr val="windowText" lastClr="000000"/>
              </a:solidFill>
              <a:effectLst/>
              <a:latin typeface="+mn-ea"/>
              <a:ea typeface="+mn-ea"/>
              <a:cs typeface="+mn-cs"/>
            </a:rPr>
            <a:t>元</a:t>
          </a:r>
          <a:r>
            <a:rPr lang="en-US" altLang="zh-CN" sz="900" b="1" i="0">
              <a:solidFill>
                <a:sysClr val="windowText" lastClr="000000"/>
              </a:solidFill>
              <a:effectLst/>
              <a:latin typeface="+mn-ea"/>
              <a:ea typeface="+mn-ea"/>
              <a:cs typeface="+mn-cs"/>
            </a:rPr>
            <a:t>/</a:t>
          </a:r>
          <a:r>
            <a:rPr lang="zh-CN" altLang="en-US" sz="900" b="1" i="0">
              <a:solidFill>
                <a:sysClr val="windowText" lastClr="000000"/>
              </a:solidFill>
              <a:effectLst/>
              <a:latin typeface="+mn-ea"/>
              <a:ea typeface="+mn-ea"/>
              <a:cs typeface="+mn-cs"/>
            </a:rPr>
            <a:t>平方米</a:t>
          </a:r>
        </a:p>
        <a:p>
          <a:endParaRPr lang="zh-CN" altLang="en-US" sz="900" i="1">
            <a:solidFill>
              <a:sysClr val="windowText" lastClr="000000"/>
            </a:solidFill>
            <a:effectLst/>
            <a:latin typeface="+mn-ea"/>
            <a:ea typeface="+mn-ea"/>
            <a:cs typeface="+mn-cs"/>
          </a:endParaRPr>
        </a:p>
      </xdr:txBody>
    </xdr:sp>
    <xdr:clientData/>
  </xdr:twoCellAnchor>
  <xdr:twoCellAnchor>
    <xdr:from>
      <xdr:col>1</xdr:col>
      <xdr:colOff>85725</xdr:colOff>
      <xdr:row>22</xdr:row>
      <xdr:rowOff>95250</xdr:rowOff>
    </xdr:from>
    <xdr:to>
      <xdr:col>4</xdr:col>
      <xdr:colOff>276225</xdr:colOff>
      <xdr:row>37</xdr:row>
      <xdr:rowOff>47625</xdr:rowOff>
    </xdr:to>
    <xdr:sp macro="" textlink="">
      <xdr:nvSpPr>
        <xdr:cNvPr id="9" name="矩形标注 8"/>
        <xdr:cNvSpPr/>
      </xdr:nvSpPr>
      <xdr:spPr>
        <a:xfrm>
          <a:off x="933450" y="3790950"/>
          <a:ext cx="2733675" cy="2524125"/>
        </a:xfrm>
        <a:prstGeom prst="wedgeRectCallout">
          <a:avLst>
            <a:gd name="adj1" fmla="val 61928"/>
            <a:gd name="adj2" fmla="val -10337"/>
          </a:avLst>
        </a:prstGeom>
        <a:solidFill>
          <a:schemeClr val="bg1"/>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en-US" sz="900" b="1" i="0">
              <a:solidFill>
                <a:sysClr val="windowText" lastClr="000000"/>
              </a:solidFill>
              <a:effectLst/>
              <a:latin typeface="+mn-ea"/>
              <a:ea typeface="+mn-ea"/>
              <a:cs typeface="+mn-cs"/>
            </a:rPr>
            <a:t>渝北区大石坝组团</a:t>
          </a:r>
          <a:r>
            <a:rPr lang="en-US" altLang="zh-CN" sz="900" b="1" i="0">
              <a:solidFill>
                <a:sysClr val="windowText" lastClr="000000"/>
              </a:solidFill>
              <a:effectLst/>
              <a:latin typeface="+mn-ea"/>
              <a:ea typeface="+mn-ea"/>
              <a:cs typeface="+mn-cs"/>
            </a:rPr>
            <a:t>B</a:t>
          </a:r>
          <a:r>
            <a:rPr lang="zh-CN" altLang="en-US" sz="900" b="1" i="0">
              <a:solidFill>
                <a:sysClr val="windowText" lastClr="000000"/>
              </a:solidFill>
              <a:effectLst/>
              <a:latin typeface="+mn-ea"/>
              <a:ea typeface="+mn-ea"/>
              <a:cs typeface="+mn-cs"/>
            </a:rPr>
            <a:t>分区</a:t>
          </a:r>
          <a:r>
            <a:rPr lang="en-US" altLang="zh-CN" sz="900" b="1" i="0">
              <a:solidFill>
                <a:sysClr val="windowText" lastClr="000000"/>
              </a:solidFill>
              <a:effectLst/>
              <a:latin typeface="+mn-ea"/>
              <a:ea typeface="+mn-ea"/>
              <a:cs typeface="+mn-cs"/>
            </a:rPr>
            <a:t>27-1</a:t>
          </a:r>
          <a:r>
            <a:rPr lang="zh-CN" altLang="en-US" sz="900" b="1" i="0">
              <a:solidFill>
                <a:sysClr val="windowText" lastClr="000000"/>
              </a:solidFill>
              <a:effectLst/>
              <a:latin typeface="+mn-ea"/>
              <a:ea typeface="+mn-ea"/>
              <a:cs typeface="+mn-cs"/>
            </a:rPr>
            <a:t>号宗地（绿城</a:t>
          </a:r>
          <a:r>
            <a:rPr lang="en-US" altLang="zh-CN" sz="900" b="1" i="0">
              <a:solidFill>
                <a:sysClr val="windowText" lastClr="000000"/>
              </a:solidFill>
              <a:effectLst/>
              <a:latin typeface="+mn-ea"/>
              <a:ea typeface="+mn-ea"/>
              <a:cs typeface="+mn-cs"/>
            </a:rPr>
            <a:t>-17</a:t>
          </a:r>
          <a:r>
            <a:rPr lang="zh-CN" altLang="en-US" sz="900" b="1" i="0">
              <a:solidFill>
                <a:sysClr val="windowText" lastClr="000000"/>
              </a:solidFill>
              <a:effectLst/>
              <a:latin typeface="+mn-ea"/>
              <a:ea typeface="+mn-ea"/>
              <a:cs typeface="+mn-cs"/>
            </a:rPr>
            <a:t>年）</a:t>
          </a:r>
        </a:p>
        <a:p>
          <a:r>
            <a:rPr lang="en-US" altLang="zh-CN" sz="900" i="0">
              <a:solidFill>
                <a:sysClr val="windowText" lastClr="000000"/>
              </a:solidFill>
              <a:effectLst/>
              <a:latin typeface="+mn-ea"/>
              <a:ea typeface="+mn-ea"/>
              <a:cs typeface="+mn-cs"/>
            </a:rPr>
            <a:t>R2.5</a:t>
          </a:r>
          <a:r>
            <a:rPr lang="zh-CN" altLang="en-US" sz="900" i="0">
              <a:solidFill>
                <a:sysClr val="windowText" lastClr="000000"/>
              </a:solidFill>
              <a:effectLst/>
              <a:latin typeface="+mn-ea"/>
              <a:ea typeface="+mn-ea"/>
              <a:cs typeface="+mn-cs"/>
            </a:rPr>
            <a:t>，</a:t>
          </a:r>
          <a:r>
            <a:rPr lang="en-US" altLang="zh-CN" sz="900" i="0">
              <a:solidFill>
                <a:sysClr val="windowText" lastClr="000000"/>
              </a:solidFill>
              <a:effectLst/>
              <a:latin typeface="+mn-ea"/>
              <a:ea typeface="+mn-ea"/>
              <a:cs typeface="+mn-cs"/>
            </a:rPr>
            <a:t>1916</a:t>
          </a:r>
          <a:r>
            <a:rPr lang="zh-CN" altLang="en-US" sz="900" i="0">
              <a:solidFill>
                <a:sysClr val="windowText" lastClr="000000"/>
              </a:solidFill>
              <a:effectLst/>
              <a:latin typeface="+mn-ea"/>
              <a:ea typeface="+mn-ea"/>
              <a:cs typeface="+mn-cs"/>
            </a:rPr>
            <a:t>万元</a:t>
          </a:r>
          <a:r>
            <a:rPr lang="en-US" altLang="zh-CN" sz="900" i="0">
              <a:solidFill>
                <a:sysClr val="windowText" lastClr="000000"/>
              </a:solidFill>
              <a:effectLst/>
              <a:latin typeface="+mn-ea"/>
              <a:ea typeface="+mn-ea"/>
              <a:cs typeface="+mn-cs"/>
            </a:rPr>
            <a:t>/</a:t>
          </a:r>
          <a:r>
            <a:rPr lang="zh-CN" altLang="en-US" sz="900" i="0">
              <a:solidFill>
                <a:sysClr val="windowText" lastClr="000000"/>
              </a:solidFill>
              <a:effectLst/>
              <a:latin typeface="+mn-ea"/>
              <a:ea typeface="+mn-ea"/>
              <a:cs typeface="+mn-cs"/>
            </a:rPr>
            <a:t>亩，</a:t>
          </a:r>
          <a:r>
            <a:rPr lang="en-US" altLang="zh-CN" sz="900" i="0">
              <a:solidFill>
                <a:sysClr val="windowText" lastClr="000000"/>
              </a:solidFill>
              <a:effectLst/>
              <a:latin typeface="+mn-ea"/>
              <a:ea typeface="+mn-ea"/>
              <a:cs typeface="+mn-cs"/>
            </a:rPr>
            <a:t>11500</a:t>
          </a:r>
          <a:r>
            <a:rPr lang="zh-CN" altLang="en-US" sz="900" i="0">
              <a:solidFill>
                <a:sysClr val="windowText" lastClr="000000"/>
              </a:solidFill>
              <a:effectLst/>
              <a:latin typeface="+mn-ea"/>
              <a:ea typeface="+mn-ea"/>
              <a:cs typeface="+mn-cs"/>
            </a:rPr>
            <a:t>元</a:t>
          </a:r>
          <a:r>
            <a:rPr lang="en-US" altLang="zh-CN" sz="900" i="0">
              <a:solidFill>
                <a:sysClr val="windowText" lastClr="000000"/>
              </a:solidFill>
              <a:effectLst/>
              <a:latin typeface="+mn-ea"/>
              <a:ea typeface="+mn-ea"/>
              <a:cs typeface="+mn-cs"/>
            </a:rPr>
            <a:t>/㎡</a:t>
          </a:r>
          <a:r>
            <a:rPr lang="zh-CN" altLang="en-US" sz="900" i="0">
              <a:solidFill>
                <a:sysClr val="windowText" lastClr="000000"/>
              </a:solidFill>
              <a:effectLst/>
              <a:latin typeface="+mn-ea"/>
              <a:ea typeface="+mn-ea"/>
              <a:cs typeface="+mn-cs"/>
            </a:rPr>
            <a:t>，溢价</a:t>
          </a:r>
          <a:r>
            <a:rPr lang="en-US" altLang="zh-CN" sz="900" i="0">
              <a:solidFill>
                <a:sysClr val="windowText" lastClr="000000"/>
              </a:solidFill>
              <a:effectLst/>
              <a:latin typeface="+mn-ea"/>
              <a:ea typeface="+mn-ea"/>
              <a:cs typeface="+mn-cs"/>
            </a:rPr>
            <a:t>47%</a:t>
          </a:r>
        </a:p>
        <a:p>
          <a:r>
            <a:rPr lang="zh-CN" altLang="en-US" sz="900" i="0">
              <a:solidFill>
                <a:sysClr val="windowText" lastClr="000000"/>
              </a:solidFill>
              <a:effectLst/>
              <a:latin typeface="+mn-ea"/>
              <a:ea typeface="+mn-ea"/>
              <a:cs typeface="+mn-cs"/>
            </a:rPr>
            <a:t> </a:t>
          </a:r>
        </a:p>
        <a:p>
          <a:r>
            <a:rPr lang="zh-CN" altLang="en-US" sz="900" b="1" i="0">
              <a:solidFill>
                <a:sysClr val="windowText" lastClr="000000"/>
              </a:solidFill>
              <a:effectLst/>
              <a:latin typeface="+mn-ea"/>
              <a:ea typeface="+mn-ea"/>
              <a:cs typeface="+mn-cs"/>
            </a:rPr>
            <a:t>江北区大石坝组团</a:t>
          </a:r>
          <a:r>
            <a:rPr lang="en-US" altLang="zh-CN" sz="900" b="1" i="0">
              <a:solidFill>
                <a:sysClr val="windowText" lastClr="000000"/>
              </a:solidFill>
              <a:effectLst/>
              <a:latin typeface="+mn-ea"/>
              <a:ea typeface="+mn-ea"/>
              <a:cs typeface="+mn-cs"/>
            </a:rPr>
            <a:t>E</a:t>
          </a:r>
          <a:r>
            <a:rPr lang="zh-CN" altLang="en-US" sz="900" b="1" i="0">
              <a:solidFill>
                <a:sysClr val="windowText" lastClr="000000"/>
              </a:solidFill>
              <a:effectLst/>
              <a:latin typeface="+mn-ea"/>
              <a:ea typeface="+mn-ea"/>
              <a:cs typeface="+mn-cs"/>
            </a:rPr>
            <a:t>分区</a:t>
          </a:r>
          <a:r>
            <a:rPr lang="en-US" altLang="zh-CN" sz="900" b="1" i="0">
              <a:solidFill>
                <a:sysClr val="windowText" lastClr="000000"/>
              </a:solidFill>
              <a:effectLst/>
              <a:latin typeface="+mn-ea"/>
              <a:ea typeface="+mn-ea"/>
              <a:cs typeface="+mn-cs"/>
            </a:rPr>
            <a:t>E14-2-1/03</a:t>
          </a:r>
          <a:r>
            <a:rPr lang="zh-CN" altLang="en-US" sz="900" b="1" i="0">
              <a:solidFill>
                <a:sysClr val="windowText" lastClr="000000"/>
              </a:solidFill>
              <a:effectLst/>
              <a:latin typeface="+mn-ea"/>
              <a:ea typeface="+mn-ea"/>
              <a:cs typeface="+mn-cs"/>
            </a:rPr>
            <a:t>号宗地（旭辉</a:t>
          </a:r>
          <a:r>
            <a:rPr lang="en-US" altLang="zh-CN" sz="900" b="1" i="0">
              <a:solidFill>
                <a:sysClr val="windowText" lastClr="000000"/>
              </a:solidFill>
              <a:effectLst/>
              <a:latin typeface="+mn-ea"/>
              <a:ea typeface="+mn-ea"/>
              <a:cs typeface="+mn-cs"/>
            </a:rPr>
            <a:t>-18</a:t>
          </a:r>
          <a:r>
            <a:rPr lang="zh-CN" altLang="en-US" sz="900" b="1" i="0">
              <a:solidFill>
                <a:sysClr val="windowText" lastClr="000000"/>
              </a:solidFill>
              <a:effectLst/>
              <a:latin typeface="+mn-ea"/>
              <a:ea typeface="+mn-ea"/>
              <a:cs typeface="+mn-cs"/>
            </a:rPr>
            <a:t>年）</a:t>
          </a:r>
        </a:p>
        <a:p>
          <a:r>
            <a:rPr lang="en-US" altLang="zh-CN" sz="900" i="0">
              <a:solidFill>
                <a:sysClr val="windowText" lastClr="000000"/>
              </a:solidFill>
              <a:effectLst/>
              <a:latin typeface="+mn-ea"/>
              <a:ea typeface="+mn-ea"/>
              <a:cs typeface="+mn-cs"/>
            </a:rPr>
            <a:t>R3.5</a:t>
          </a:r>
          <a:r>
            <a:rPr lang="zh-CN" altLang="en-US" sz="900" i="0">
              <a:solidFill>
                <a:sysClr val="windowText" lastClr="000000"/>
              </a:solidFill>
              <a:effectLst/>
              <a:latin typeface="+mn-ea"/>
              <a:ea typeface="+mn-ea"/>
              <a:cs typeface="+mn-cs"/>
            </a:rPr>
            <a:t>，</a:t>
          </a:r>
          <a:r>
            <a:rPr lang="en-US" altLang="zh-CN" sz="900" i="0">
              <a:solidFill>
                <a:sysClr val="windowText" lastClr="000000"/>
              </a:solidFill>
              <a:effectLst/>
              <a:latin typeface="+mn-ea"/>
              <a:ea typeface="+mn-ea"/>
              <a:cs typeface="+mn-cs"/>
            </a:rPr>
            <a:t>1952</a:t>
          </a:r>
          <a:r>
            <a:rPr lang="zh-CN" altLang="en-US" sz="900" i="0">
              <a:solidFill>
                <a:sysClr val="windowText" lastClr="000000"/>
              </a:solidFill>
              <a:effectLst/>
              <a:latin typeface="+mn-ea"/>
              <a:ea typeface="+mn-ea"/>
              <a:cs typeface="+mn-cs"/>
            </a:rPr>
            <a:t>万元</a:t>
          </a:r>
          <a:r>
            <a:rPr lang="en-US" altLang="zh-CN" sz="900" i="0">
              <a:solidFill>
                <a:sysClr val="windowText" lastClr="000000"/>
              </a:solidFill>
              <a:effectLst/>
              <a:latin typeface="+mn-ea"/>
              <a:ea typeface="+mn-ea"/>
              <a:cs typeface="+mn-cs"/>
            </a:rPr>
            <a:t>/</a:t>
          </a:r>
          <a:r>
            <a:rPr lang="zh-CN" altLang="en-US" sz="900" i="0">
              <a:solidFill>
                <a:sysClr val="windowText" lastClr="000000"/>
              </a:solidFill>
              <a:effectLst/>
              <a:latin typeface="+mn-ea"/>
              <a:ea typeface="+mn-ea"/>
              <a:cs typeface="+mn-cs"/>
            </a:rPr>
            <a:t>亩，</a:t>
          </a:r>
          <a:r>
            <a:rPr lang="en-US" altLang="zh-CN" sz="900" i="0">
              <a:solidFill>
                <a:sysClr val="windowText" lastClr="000000"/>
              </a:solidFill>
              <a:effectLst/>
              <a:latin typeface="+mn-ea"/>
              <a:ea typeface="+mn-ea"/>
              <a:cs typeface="+mn-cs"/>
            </a:rPr>
            <a:t>8366</a:t>
          </a:r>
          <a:r>
            <a:rPr lang="zh-CN" altLang="en-US" sz="900" i="0">
              <a:solidFill>
                <a:sysClr val="windowText" lastClr="000000"/>
              </a:solidFill>
              <a:effectLst/>
              <a:latin typeface="+mn-ea"/>
              <a:ea typeface="+mn-ea"/>
              <a:cs typeface="+mn-cs"/>
            </a:rPr>
            <a:t>元</a:t>
          </a:r>
          <a:r>
            <a:rPr lang="en-US" altLang="zh-CN" sz="900" i="0">
              <a:solidFill>
                <a:sysClr val="windowText" lastClr="000000"/>
              </a:solidFill>
              <a:effectLst/>
              <a:latin typeface="+mn-ea"/>
              <a:ea typeface="+mn-ea"/>
              <a:cs typeface="+mn-cs"/>
            </a:rPr>
            <a:t>/㎡</a:t>
          </a:r>
          <a:r>
            <a:rPr lang="zh-CN" altLang="en-US" sz="900" i="0">
              <a:solidFill>
                <a:sysClr val="windowText" lastClr="000000"/>
              </a:solidFill>
              <a:effectLst/>
              <a:latin typeface="+mn-ea"/>
              <a:ea typeface="+mn-ea"/>
              <a:cs typeface="+mn-cs"/>
            </a:rPr>
            <a:t>，溢价</a:t>
          </a:r>
          <a:r>
            <a:rPr lang="en-US" altLang="zh-CN" sz="900" i="0">
              <a:solidFill>
                <a:sysClr val="windowText" lastClr="000000"/>
              </a:solidFill>
              <a:effectLst/>
              <a:latin typeface="+mn-ea"/>
              <a:ea typeface="+mn-ea"/>
              <a:cs typeface="+mn-cs"/>
            </a:rPr>
            <a:t>33%</a:t>
          </a:r>
        </a:p>
        <a:p>
          <a:r>
            <a:rPr lang="zh-CN" altLang="en-US" sz="900" b="1" i="0">
              <a:solidFill>
                <a:sysClr val="windowText" lastClr="000000"/>
              </a:solidFill>
              <a:effectLst/>
              <a:latin typeface="+mn-ea"/>
              <a:ea typeface="+mn-ea"/>
              <a:cs typeface="+mn-cs"/>
            </a:rPr>
            <a:t>旭辉星奕</a:t>
          </a:r>
          <a:r>
            <a:rPr lang="en-US" altLang="zh-CN" sz="900" b="1" i="0">
              <a:solidFill>
                <a:sysClr val="windowText" lastClr="000000"/>
              </a:solidFill>
              <a:effectLst/>
              <a:latin typeface="+mn-ea"/>
              <a:ea typeface="+mn-ea"/>
              <a:cs typeface="+mn-cs"/>
            </a:rPr>
            <a:t>-</a:t>
          </a:r>
          <a:r>
            <a:rPr lang="zh-CN" altLang="en-US" sz="900" b="1" i="0">
              <a:solidFill>
                <a:sysClr val="windowText" lastClr="000000"/>
              </a:solidFill>
              <a:effectLst/>
              <a:latin typeface="+mn-ea"/>
              <a:ea typeface="+mn-ea"/>
              <a:cs typeface="+mn-cs"/>
            </a:rPr>
            <a:t>建面</a:t>
          </a:r>
          <a:r>
            <a:rPr lang="en-US" altLang="zh-CN" sz="900" b="1" i="0">
              <a:solidFill>
                <a:sysClr val="windowText" lastClr="000000"/>
              </a:solidFill>
              <a:effectLst/>
              <a:latin typeface="+mn-ea"/>
              <a:ea typeface="+mn-ea"/>
              <a:cs typeface="+mn-cs"/>
            </a:rPr>
            <a:t>15000-16000</a:t>
          </a:r>
          <a:r>
            <a:rPr lang="zh-CN" altLang="en-US" sz="900" b="1" i="0">
              <a:solidFill>
                <a:sysClr val="windowText" lastClr="000000"/>
              </a:solidFill>
              <a:effectLst/>
              <a:latin typeface="+mn-ea"/>
              <a:ea typeface="+mn-ea"/>
              <a:cs typeface="+mn-cs"/>
            </a:rPr>
            <a:t>元</a:t>
          </a:r>
          <a:r>
            <a:rPr lang="en-US" altLang="zh-CN" sz="900" b="1" i="0">
              <a:solidFill>
                <a:sysClr val="windowText" lastClr="000000"/>
              </a:solidFill>
              <a:effectLst/>
              <a:latin typeface="+mn-ea"/>
              <a:ea typeface="+mn-ea"/>
              <a:cs typeface="+mn-cs"/>
            </a:rPr>
            <a:t>/</a:t>
          </a:r>
          <a:r>
            <a:rPr lang="zh-CN" altLang="en-US" sz="900" b="1" i="0">
              <a:solidFill>
                <a:sysClr val="windowText" lastClr="000000"/>
              </a:solidFill>
              <a:effectLst/>
              <a:latin typeface="+mn-ea"/>
              <a:ea typeface="+mn-ea"/>
              <a:cs typeface="+mn-cs"/>
            </a:rPr>
            <a:t>平方米</a:t>
          </a:r>
          <a:endParaRPr lang="en-US" altLang="zh-CN" sz="900" b="1" i="0">
            <a:solidFill>
              <a:sysClr val="windowText" lastClr="000000"/>
            </a:solidFill>
            <a:effectLst/>
            <a:latin typeface="+mn-ea"/>
            <a:ea typeface="+mn-ea"/>
            <a:cs typeface="+mn-cs"/>
          </a:endParaRPr>
        </a:p>
        <a:p>
          <a:r>
            <a:rPr lang="zh-CN" altLang="en-US" sz="900" i="0">
              <a:solidFill>
                <a:sysClr val="windowText" lastClr="000000"/>
              </a:solidFill>
              <a:effectLst/>
              <a:latin typeface="+mn-ea"/>
              <a:ea typeface="+mn-ea"/>
              <a:cs typeface="+mn-cs"/>
            </a:rPr>
            <a:t> </a:t>
          </a:r>
        </a:p>
        <a:p>
          <a:r>
            <a:rPr lang="zh-CN" altLang="en-US" sz="900" b="1" i="0">
              <a:solidFill>
                <a:sysClr val="windowText" lastClr="000000"/>
              </a:solidFill>
              <a:effectLst/>
              <a:latin typeface="+mn-ea"/>
              <a:ea typeface="+mn-ea"/>
              <a:cs typeface="+mn-cs"/>
            </a:rPr>
            <a:t>江北区大石坝组团</a:t>
          </a:r>
          <a:r>
            <a:rPr lang="en-US" altLang="zh-CN" sz="900" b="1" i="0">
              <a:solidFill>
                <a:sysClr val="windowText" lastClr="000000"/>
              </a:solidFill>
              <a:effectLst/>
              <a:latin typeface="+mn-ea"/>
              <a:ea typeface="+mn-ea"/>
              <a:cs typeface="+mn-cs"/>
            </a:rPr>
            <a:t>G</a:t>
          </a:r>
          <a:r>
            <a:rPr lang="zh-CN" altLang="en-US" sz="900" b="1" i="0">
              <a:solidFill>
                <a:sysClr val="windowText" lastClr="000000"/>
              </a:solidFill>
              <a:effectLst/>
              <a:latin typeface="+mn-ea"/>
              <a:ea typeface="+mn-ea"/>
              <a:cs typeface="+mn-cs"/>
            </a:rPr>
            <a:t>分区</a:t>
          </a:r>
          <a:r>
            <a:rPr lang="en-US" altLang="zh-CN" sz="900" b="1" i="0">
              <a:solidFill>
                <a:sysClr val="windowText" lastClr="000000"/>
              </a:solidFill>
              <a:effectLst/>
              <a:latin typeface="+mn-ea"/>
              <a:ea typeface="+mn-ea"/>
              <a:cs typeface="+mn-cs"/>
            </a:rPr>
            <a:t>G4-2/02</a:t>
          </a:r>
          <a:r>
            <a:rPr lang="zh-CN" altLang="en-US" sz="900" b="1" i="0">
              <a:solidFill>
                <a:sysClr val="windowText" lastClr="000000"/>
              </a:solidFill>
              <a:effectLst/>
              <a:latin typeface="+mn-ea"/>
              <a:ea typeface="+mn-ea"/>
              <a:cs typeface="+mn-cs"/>
            </a:rPr>
            <a:t>、</a:t>
          </a:r>
          <a:r>
            <a:rPr lang="en-US" altLang="zh-CN" sz="900" b="1" i="0">
              <a:solidFill>
                <a:sysClr val="windowText" lastClr="000000"/>
              </a:solidFill>
              <a:effectLst/>
              <a:latin typeface="+mn-ea"/>
              <a:ea typeface="+mn-ea"/>
              <a:cs typeface="+mn-cs"/>
            </a:rPr>
            <a:t>G4-3/02</a:t>
          </a:r>
          <a:r>
            <a:rPr lang="zh-CN" altLang="en-US" sz="900" b="1" i="0">
              <a:solidFill>
                <a:sysClr val="windowText" lastClr="000000"/>
              </a:solidFill>
              <a:effectLst/>
              <a:latin typeface="+mn-ea"/>
              <a:ea typeface="+mn-ea"/>
              <a:cs typeface="+mn-cs"/>
            </a:rPr>
            <a:t>、</a:t>
          </a:r>
          <a:r>
            <a:rPr lang="en-US" altLang="zh-CN" sz="900" b="1" i="0">
              <a:solidFill>
                <a:sysClr val="windowText" lastClr="000000"/>
              </a:solidFill>
              <a:effectLst/>
              <a:latin typeface="+mn-ea"/>
              <a:ea typeface="+mn-ea"/>
              <a:cs typeface="+mn-cs"/>
            </a:rPr>
            <a:t>G14-5/03</a:t>
          </a:r>
          <a:r>
            <a:rPr lang="zh-CN" altLang="en-US" sz="900" b="1" i="0">
              <a:solidFill>
                <a:sysClr val="windowText" lastClr="000000"/>
              </a:solidFill>
              <a:effectLst/>
              <a:latin typeface="+mn-ea"/>
              <a:ea typeface="+mn-ea"/>
              <a:cs typeface="+mn-cs"/>
            </a:rPr>
            <a:t>号宗地（金辉</a:t>
          </a:r>
          <a:r>
            <a:rPr lang="en-US" altLang="zh-CN" sz="900" b="1" i="0">
              <a:solidFill>
                <a:sysClr val="windowText" lastClr="000000"/>
              </a:solidFill>
              <a:effectLst/>
              <a:latin typeface="+mn-ea"/>
              <a:ea typeface="+mn-ea"/>
              <a:cs typeface="+mn-cs"/>
            </a:rPr>
            <a:t>-19</a:t>
          </a:r>
          <a:r>
            <a:rPr lang="zh-CN" altLang="en-US" sz="900" b="1" i="0">
              <a:solidFill>
                <a:sysClr val="windowText" lastClr="000000"/>
              </a:solidFill>
              <a:effectLst/>
              <a:latin typeface="+mn-ea"/>
              <a:ea typeface="+mn-ea"/>
              <a:cs typeface="+mn-cs"/>
            </a:rPr>
            <a:t>年）</a:t>
          </a:r>
        </a:p>
        <a:p>
          <a:r>
            <a:rPr lang="en-US" altLang="zh-CN" sz="900" i="0">
              <a:solidFill>
                <a:sysClr val="windowText" lastClr="000000"/>
              </a:solidFill>
              <a:effectLst/>
              <a:latin typeface="+mn-ea"/>
              <a:ea typeface="+mn-ea"/>
              <a:cs typeface="+mn-cs"/>
            </a:rPr>
            <a:t>R3</a:t>
          </a:r>
          <a:r>
            <a:rPr lang="zh-CN" altLang="en-US" sz="900" i="0">
              <a:solidFill>
                <a:sysClr val="windowText" lastClr="000000"/>
              </a:solidFill>
              <a:effectLst/>
              <a:latin typeface="+mn-ea"/>
              <a:ea typeface="+mn-ea"/>
              <a:cs typeface="+mn-cs"/>
            </a:rPr>
            <a:t>，</a:t>
          </a:r>
          <a:r>
            <a:rPr lang="en-US" altLang="zh-CN" sz="900" i="0">
              <a:solidFill>
                <a:sysClr val="windowText" lastClr="000000"/>
              </a:solidFill>
              <a:effectLst/>
              <a:latin typeface="+mn-ea"/>
              <a:ea typeface="+mn-ea"/>
              <a:cs typeface="+mn-cs"/>
            </a:rPr>
            <a:t>1429</a:t>
          </a:r>
          <a:r>
            <a:rPr lang="zh-CN" altLang="en-US" sz="900" i="0">
              <a:solidFill>
                <a:sysClr val="windowText" lastClr="000000"/>
              </a:solidFill>
              <a:effectLst/>
              <a:latin typeface="+mn-ea"/>
              <a:ea typeface="+mn-ea"/>
              <a:cs typeface="+mn-cs"/>
            </a:rPr>
            <a:t>万元</a:t>
          </a:r>
          <a:r>
            <a:rPr lang="en-US" altLang="zh-CN" sz="900" i="0">
              <a:solidFill>
                <a:sysClr val="windowText" lastClr="000000"/>
              </a:solidFill>
              <a:effectLst/>
              <a:latin typeface="+mn-ea"/>
              <a:ea typeface="+mn-ea"/>
              <a:cs typeface="+mn-cs"/>
            </a:rPr>
            <a:t>/</a:t>
          </a:r>
          <a:r>
            <a:rPr lang="zh-CN" altLang="en-US" sz="900" i="0">
              <a:solidFill>
                <a:sysClr val="windowText" lastClr="000000"/>
              </a:solidFill>
              <a:effectLst/>
              <a:latin typeface="+mn-ea"/>
              <a:ea typeface="+mn-ea"/>
              <a:cs typeface="+mn-cs"/>
            </a:rPr>
            <a:t>亩，</a:t>
          </a:r>
          <a:r>
            <a:rPr lang="en-US" altLang="zh-CN" sz="900" i="0">
              <a:solidFill>
                <a:sysClr val="windowText" lastClr="000000"/>
              </a:solidFill>
              <a:effectLst/>
              <a:latin typeface="+mn-ea"/>
              <a:ea typeface="+mn-ea"/>
              <a:cs typeface="+mn-cs"/>
            </a:rPr>
            <a:t>7145</a:t>
          </a:r>
          <a:r>
            <a:rPr lang="zh-CN" altLang="en-US" sz="900" i="0">
              <a:solidFill>
                <a:sysClr val="windowText" lastClr="000000"/>
              </a:solidFill>
              <a:effectLst/>
              <a:latin typeface="+mn-ea"/>
              <a:ea typeface="+mn-ea"/>
              <a:cs typeface="+mn-cs"/>
            </a:rPr>
            <a:t>元</a:t>
          </a:r>
          <a:r>
            <a:rPr lang="en-US" altLang="zh-CN" sz="900" i="0">
              <a:solidFill>
                <a:sysClr val="windowText" lastClr="000000"/>
              </a:solidFill>
              <a:effectLst/>
              <a:latin typeface="+mn-ea"/>
              <a:ea typeface="+mn-ea"/>
              <a:cs typeface="+mn-cs"/>
            </a:rPr>
            <a:t>/㎡</a:t>
          </a:r>
          <a:r>
            <a:rPr lang="zh-CN" altLang="en-US" sz="900" i="0">
              <a:solidFill>
                <a:sysClr val="windowText" lastClr="000000"/>
              </a:solidFill>
              <a:effectLst/>
              <a:latin typeface="+mn-ea"/>
              <a:ea typeface="+mn-ea"/>
              <a:cs typeface="+mn-cs"/>
            </a:rPr>
            <a:t>，溢价</a:t>
          </a:r>
          <a:r>
            <a:rPr lang="en-US" altLang="zh-CN" sz="900" i="0">
              <a:solidFill>
                <a:sysClr val="windowText" lastClr="000000"/>
              </a:solidFill>
              <a:effectLst/>
              <a:latin typeface="+mn-ea"/>
              <a:ea typeface="+mn-ea"/>
              <a:cs typeface="+mn-cs"/>
            </a:rPr>
            <a:t>0%</a:t>
          </a:r>
          <a:r>
            <a:rPr lang="zh-CN" altLang="en-US" sz="900" i="0">
              <a:solidFill>
                <a:sysClr val="windowText" lastClr="000000"/>
              </a:solidFill>
              <a:effectLst/>
              <a:latin typeface="+mn-ea"/>
              <a:ea typeface="+mn-ea"/>
              <a:cs typeface="+mn-cs"/>
            </a:rPr>
            <a:t>，住宅占比</a:t>
          </a:r>
          <a:r>
            <a:rPr lang="en-US" altLang="zh-CN" sz="900" i="0">
              <a:solidFill>
                <a:sysClr val="windowText" lastClr="000000"/>
              </a:solidFill>
              <a:effectLst/>
              <a:latin typeface="+mn-ea"/>
              <a:ea typeface="+mn-ea"/>
              <a:cs typeface="+mn-cs"/>
            </a:rPr>
            <a:t>60%</a:t>
          </a:r>
          <a:r>
            <a:rPr lang="zh-CN" altLang="en-US" sz="900" i="0">
              <a:solidFill>
                <a:sysClr val="windowText" lastClr="000000"/>
              </a:solidFill>
              <a:effectLst/>
              <a:latin typeface="+mn-ea"/>
              <a:ea typeface="+mn-ea"/>
              <a:cs typeface="+mn-cs"/>
            </a:rPr>
            <a:t>，商业自持</a:t>
          </a:r>
          <a:r>
            <a:rPr lang="en-US" altLang="zh-CN" sz="900" i="0">
              <a:solidFill>
                <a:sysClr val="windowText" lastClr="000000"/>
              </a:solidFill>
              <a:effectLst/>
              <a:latin typeface="+mn-ea"/>
              <a:ea typeface="+mn-ea"/>
              <a:cs typeface="+mn-cs"/>
            </a:rPr>
            <a:t>5</a:t>
          </a:r>
          <a:r>
            <a:rPr lang="zh-CN" altLang="en-US" sz="900" i="0">
              <a:solidFill>
                <a:sysClr val="windowText" lastClr="000000"/>
              </a:solidFill>
              <a:effectLst/>
              <a:latin typeface="+mn-ea"/>
              <a:ea typeface="+mn-ea"/>
              <a:cs typeface="+mn-cs"/>
            </a:rPr>
            <a:t>万平方米、</a:t>
          </a:r>
          <a:r>
            <a:rPr lang="en-US" altLang="zh-CN" sz="900" i="0">
              <a:solidFill>
                <a:sysClr val="windowText" lastClr="000000"/>
              </a:solidFill>
              <a:effectLst/>
              <a:latin typeface="+mn-ea"/>
              <a:ea typeface="+mn-ea"/>
              <a:cs typeface="+mn-cs"/>
            </a:rPr>
            <a:t>10</a:t>
          </a:r>
          <a:r>
            <a:rPr lang="zh-CN" altLang="en-US" sz="900" i="0">
              <a:solidFill>
                <a:sysClr val="windowText" lastClr="000000"/>
              </a:solidFill>
              <a:effectLst/>
              <a:latin typeface="+mn-ea"/>
              <a:ea typeface="+mn-ea"/>
              <a:cs typeface="+mn-cs"/>
            </a:rPr>
            <a:t>年</a:t>
          </a:r>
        </a:p>
        <a:p>
          <a:r>
            <a:rPr lang="en-US" altLang="zh-CN" sz="900" i="0">
              <a:solidFill>
                <a:sysClr val="windowText" lastClr="000000"/>
              </a:solidFill>
              <a:effectLst/>
              <a:latin typeface="+mn-ea"/>
              <a:ea typeface="+mn-ea"/>
              <a:cs typeface="+mn-cs"/>
            </a:rPr>
            <a:t> </a:t>
          </a:r>
        </a:p>
        <a:p>
          <a:r>
            <a:rPr lang="zh-CN" altLang="en-US" sz="900" b="1" i="0" u="sng">
              <a:solidFill>
                <a:srgbClr val="C00000"/>
              </a:solidFill>
              <a:effectLst/>
              <a:latin typeface="+mn-ea"/>
              <a:ea typeface="+mn-ea"/>
              <a:cs typeface="+mn-cs"/>
            </a:rPr>
            <a:t>江北区大石坝组团</a:t>
          </a:r>
          <a:r>
            <a:rPr lang="en-US" altLang="zh-CN" sz="900" b="1" i="0" u="sng">
              <a:solidFill>
                <a:srgbClr val="C00000"/>
              </a:solidFill>
              <a:effectLst/>
              <a:latin typeface="+mn-ea"/>
              <a:ea typeface="+mn-ea"/>
              <a:cs typeface="+mn-cs"/>
            </a:rPr>
            <a:t>G</a:t>
          </a:r>
          <a:r>
            <a:rPr lang="zh-CN" altLang="en-US" sz="900" b="1" i="0" u="sng">
              <a:solidFill>
                <a:srgbClr val="C00000"/>
              </a:solidFill>
              <a:effectLst/>
              <a:latin typeface="+mn-ea"/>
              <a:ea typeface="+mn-ea"/>
              <a:cs typeface="+mn-cs"/>
            </a:rPr>
            <a:t>分区</a:t>
          </a:r>
          <a:r>
            <a:rPr lang="en-US" altLang="zh-CN" sz="900" b="1" i="0" u="sng">
              <a:solidFill>
                <a:srgbClr val="C00000"/>
              </a:solidFill>
              <a:effectLst/>
              <a:latin typeface="+mn-ea"/>
              <a:ea typeface="+mn-ea"/>
              <a:cs typeface="+mn-cs"/>
            </a:rPr>
            <a:t>G20-1-2/02</a:t>
          </a:r>
          <a:r>
            <a:rPr lang="zh-CN" altLang="en-US" sz="900" b="1" i="0" u="sng">
              <a:solidFill>
                <a:srgbClr val="C00000"/>
              </a:solidFill>
              <a:effectLst/>
              <a:latin typeface="+mn-ea"/>
              <a:ea typeface="+mn-ea"/>
              <a:cs typeface="+mn-cs"/>
            </a:rPr>
            <a:t>号宗地（电建</a:t>
          </a:r>
          <a:r>
            <a:rPr lang="en-US" altLang="zh-CN" sz="900" b="1" i="0" u="sng">
              <a:solidFill>
                <a:srgbClr val="C00000"/>
              </a:solidFill>
              <a:effectLst/>
              <a:latin typeface="+mn-ea"/>
              <a:ea typeface="+mn-ea"/>
              <a:cs typeface="+mn-cs"/>
            </a:rPr>
            <a:t>-17</a:t>
          </a:r>
          <a:r>
            <a:rPr lang="zh-CN" altLang="en-US" sz="900" b="1" i="0" u="sng">
              <a:solidFill>
                <a:srgbClr val="C00000"/>
              </a:solidFill>
              <a:effectLst/>
              <a:latin typeface="+mn-ea"/>
              <a:ea typeface="+mn-ea"/>
              <a:cs typeface="+mn-cs"/>
            </a:rPr>
            <a:t>年）</a:t>
          </a:r>
          <a:r>
            <a:rPr lang="en-US" altLang="zh-CN" sz="900" b="1" i="0" u="sng">
              <a:solidFill>
                <a:srgbClr val="C00000"/>
              </a:solidFill>
              <a:effectLst/>
              <a:latin typeface="+mn-ea"/>
              <a:ea typeface="+mn-ea"/>
              <a:cs typeface="+mn-cs"/>
            </a:rPr>
            <a:t>B</a:t>
          </a:r>
          <a:endParaRPr lang="zh-CN" altLang="en-US" sz="900" b="1" i="0" u="sng">
            <a:solidFill>
              <a:srgbClr val="C00000"/>
            </a:solidFill>
            <a:effectLst/>
            <a:latin typeface="+mn-ea"/>
            <a:ea typeface="+mn-ea"/>
            <a:cs typeface="+mn-cs"/>
          </a:endParaRPr>
        </a:p>
        <a:p>
          <a:r>
            <a:rPr lang="en-US" altLang="zh-CN" sz="900" i="0" u="sng">
              <a:solidFill>
                <a:srgbClr val="C00000"/>
              </a:solidFill>
              <a:effectLst/>
              <a:latin typeface="+mn-ea"/>
              <a:ea typeface="+mn-ea"/>
              <a:cs typeface="+mn-cs"/>
            </a:rPr>
            <a:t>R5.5</a:t>
          </a:r>
          <a:r>
            <a:rPr lang="zh-CN" altLang="en-US" sz="900" i="0" u="sng">
              <a:solidFill>
                <a:srgbClr val="C00000"/>
              </a:solidFill>
              <a:effectLst/>
              <a:latin typeface="+mn-ea"/>
              <a:ea typeface="+mn-ea"/>
              <a:cs typeface="+mn-cs"/>
            </a:rPr>
            <a:t>，</a:t>
          </a:r>
          <a:r>
            <a:rPr lang="en-US" altLang="zh-CN" sz="900" i="0" u="sng">
              <a:solidFill>
                <a:srgbClr val="C00000"/>
              </a:solidFill>
              <a:effectLst/>
              <a:latin typeface="+mn-ea"/>
              <a:ea typeface="+mn-ea"/>
              <a:cs typeface="+mn-cs"/>
            </a:rPr>
            <a:t>3322</a:t>
          </a:r>
          <a:r>
            <a:rPr lang="zh-CN" altLang="en-US" sz="900" i="0" u="sng">
              <a:solidFill>
                <a:srgbClr val="C00000"/>
              </a:solidFill>
              <a:effectLst/>
              <a:latin typeface="+mn-ea"/>
              <a:ea typeface="+mn-ea"/>
              <a:cs typeface="+mn-cs"/>
            </a:rPr>
            <a:t>万元</a:t>
          </a:r>
          <a:r>
            <a:rPr lang="en-US" altLang="zh-CN" sz="900" i="0" u="sng">
              <a:solidFill>
                <a:srgbClr val="C00000"/>
              </a:solidFill>
              <a:effectLst/>
              <a:latin typeface="+mn-ea"/>
              <a:ea typeface="+mn-ea"/>
              <a:cs typeface="+mn-cs"/>
            </a:rPr>
            <a:t>/</a:t>
          </a:r>
          <a:r>
            <a:rPr lang="zh-CN" altLang="en-US" sz="900" i="0" u="sng">
              <a:solidFill>
                <a:srgbClr val="C00000"/>
              </a:solidFill>
              <a:effectLst/>
              <a:latin typeface="+mn-ea"/>
              <a:ea typeface="+mn-ea"/>
              <a:cs typeface="+mn-cs"/>
            </a:rPr>
            <a:t>亩，</a:t>
          </a:r>
          <a:r>
            <a:rPr lang="en-US" altLang="zh-CN" sz="900" i="0" u="sng">
              <a:solidFill>
                <a:srgbClr val="C00000"/>
              </a:solidFill>
              <a:effectLst/>
              <a:latin typeface="+mn-ea"/>
              <a:ea typeface="+mn-ea"/>
              <a:cs typeface="+mn-cs"/>
            </a:rPr>
            <a:t>9062</a:t>
          </a:r>
          <a:r>
            <a:rPr lang="zh-CN" altLang="en-US" sz="900" i="0" u="sng">
              <a:solidFill>
                <a:srgbClr val="C00000"/>
              </a:solidFill>
              <a:effectLst/>
              <a:latin typeface="+mn-ea"/>
              <a:ea typeface="+mn-ea"/>
              <a:cs typeface="+mn-cs"/>
            </a:rPr>
            <a:t>元</a:t>
          </a:r>
          <a:r>
            <a:rPr lang="en-US" altLang="zh-CN" sz="900" i="0" u="sng">
              <a:solidFill>
                <a:srgbClr val="C00000"/>
              </a:solidFill>
              <a:effectLst/>
              <a:latin typeface="+mn-ea"/>
              <a:ea typeface="+mn-ea"/>
              <a:cs typeface="+mn-cs"/>
            </a:rPr>
            <a:t>/㎡</a:t>
          </a:r>
          <a:r>
            <a:rPr lang="zh-CN" altLang="en-US" sz="900" i="0" u="sng">
              <a:solidFill>
                <a:srgbClr val="C00000"/>
              </a:solidFill>
              <a:effectLst/>
              <a:latin typeface="+mn-ea"/>
              <a:ea typeface="+mn-ea"/>
              <a:cs typeface="+mn-cs"/>
            </a:rPr>
            <a:t>，溢价</a:t>
          </a:r>
          <a:r>
            <a:rPr lang="en-US" altLang="zh-CN" sz="900" i="0" u="sng">
              <a:solidFill>
                <a:srgbClr val="C00000"/>
              </a:solidFill>
              <a:effectLst/>
              <a:latin typeface="+mn-ea"/>
              <a:ea typeface="+mn-ea"/>
              <a:cs typeface="+mn-cs"/>
            </a:rPr>
            <a:t>50%</a:t>
          </a:r>
        </a:p>
      </xdr:txBody>
    </xdr:sp>
    <xdr:clientData/>
  </xdr:twoCellAnchor>
  <xdr:twoCellAnchor editAs="oneCell">
    <xdr:from>
      <xdr:col>3</xdr:col>
      <xdr:colOff>342900</xdr:colOff>
      <xdr:row>66</xdr:row>
      <xdr:rowOff>95250</xdr:rowOff>
    </xdr:from>
    <xdr:to>
      <xdr:col>17</xdr:col>
      <xdr:colOff>152400</xdr:colOff>
      <xdr:row>103</xdr:row>
      <xdr:rowOff>65151</xdr:rowOff>
    </xdr:to>
    <xdr:pic>
      <xdr:nvPicPr>
        <xdr:cNvPr id="10" name="图片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86075" y="11334750"/>
          <a:ext cx="10058400" cy="6313551"/>
        </a:xfrm>
        <a:prstGeom prst="rect">
          <a:avLst/>
        </a:prstGeom>
      </xdr:spPr>
    </xdr:pic>
    <xdr:clientData/>
  </xdr:twoCellAnchor>
  <xdr:twoCellAnchor>
    <xdr:from>
      <xdr:col>11</xdr:col>
      <xdr:colOff>0</xdr:colOff>
      <xdr:row>68</xdr:row>
      <xdr:rowOff>47624</xdr:rowOff>
    </xdr:from>
    <xdr:to>
      <xdr:col>13</xdr:col>
      <xdr:colOff>442232</xdr:colOff>
      <xdr:row>74</xdr:row>
      <xdr:rowOff>38100</xdr:rowOff>
    </xdr:to>
    <xdr:sp macro="" textlink="">
      <xdr:nvSpPr>
        <xdr:cNvPr id="11" name="矩形标注 10"/>
        <xdr:cNvSpPr/>
      </xdr:nvSpPr>
      <xdr:spPr>
        <a:xfrm>
          <a:off x="8677275" y="11630024"/>
          <a:ext cx="1813832" cy="1019176"/>
        </a:xfrm>
        <a:prstGeom prst="wedgeRectCallout">
          <a:avLst>
            <a:gd name="adj1" fmla="val -65829"/>
            <a:gd name="adj2" fmla="val 15366"/>
          </a:avLst>
        </a:prstGeom>
        <a:solidFill>
          <a:schemeClr val="bg1"/>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en-US" sz="900" b="1" u="none">
              <a:solidFill>
                <a:sysClr val="windowText" lastClr="000000"/>
              </a:solidFill>
              <a:effectLst/>
              <a:latin typeface="+mn-ea"/>
              <a:ea typeface="+mn-ea"/>
              <a:cs typeface="+mn-cs"/>
            </a:rPr>
            <a:t>两江新区人和组团</a:t>
          </a:r>
          <a:r>
            <a:rPr lang="en-US" altLang="zh-CN" sz="900" b="1" u="none">
              <a:solidFill>
                <a:sysClr val="windowText" lastClr="000000"/>
              </a:solidFill>
              <a:effectLst/>
              <a:latin typeface="+mn-ea"/>
              <a:ea typeface="+mn-ea"/>
              <a:cs typeface="+mn-cs"/>
            </a:rPr>
            <a:t>N</a:t>
          </a:r>
          <a:r>
            <a:rPr lang="zh-CN" altLang="en-US" sz="900" b="1" u="none">
              <a:solidFill>
                <a:sysClr val="windowText" lastClr="000000"/>
              </a:solidFill>
              <a:effectLst/>
              <a:latin typeface="+mn-ea"/>
              <a:ea typeface="+mn-ea"/>
              <a:cs typeface="+mn-cs"/>
            </a:rPr>
            <a:t>分区</a:t>
          </a:r>
          <a:r>
            <a:rPr lang="en-US" altLang="zh-CN" sz="900" b="1" u="none">
              <a:solidFill>
                <a:sysClr val="windowText" lastClr="000000"/>
              </a:solidFill>
              <a:effectLst/>
              <a:latin typeface="+mn-ea"/>
              <a:ea typeface="+mn-ea"/>
              <a:cs typeface="+mn-cs"/>
            </a:rPr>
            <a:t>N26-1/05</a:t>
          </a:r>
          <a:r>
            <a:rPr lang="zh-CN" altLang="en-US" sz="900" b="1" u="none">
              <a:solidFill>
                <a:sysClr val="windowText" lastClr="000000"/>
              </a:solidFill>
              <a:effectLst/>
              <a:latin typeface="+mn-ea"/>
              <a:ea typeface="+mn-ea"/>
              <a:cs typeface="+mn-cs"/>
            </a:rPr>
            <a:t>（部分）号宗地（中国铁路</a:t>
          </a:r>
          <a:r>
            <a:rPr lang="en-US" altLang="zh-CN" sz="900" b="1" u="none">
              <a:solidFill>
                <a:sysClr val="windowText" lastClr="000000"/>
              </a:solidFill>
              <a:effectLst/>
              <a:latin typeface="+mn-ea"/>
              <a:ea typeface="+mn-ea"/>
              <a:cs typeface="+mn-cs"/>
            </a:rPr>
            <a:t>-19</a:t>
          </a:r>
          <a:r>
            <a:rPr lang="zh-CN" altLang="en-US" sz="900" b="1" u="none">
              <a:solidFill>
                <a:sysClr val="windowText" lastClr="000000"/>
              </a:solidFill>
              <a:effectLst/>
              <a:latin typeface="+mn-ea"/>
              <a:ea typeface="+mn-ea"/>
              <a:cs typeface="+mn-cs"/>
            </a:rPr>
            <a:t>年）</a:t>
          </a:r>
        </a:p>
        <a:p>
          <a:r>
            <a:rPr lang="en-US" altLang="zh-CN" sz="900" b="0" u="none">
              <a:solidFill>
                <a:sysClr val="windowText" lastClr="000000"/>
              </a:solidFill>
              <a:effectLst/>
              <a:latin typeface="+mn-ea"/>
              <a:ea typeface="+mn-ea"/>
              <a:cs typeface="+mn-cs"/>
            </a:rPr>
            <a:t>R2.4</a:t>
          </a:r>
          <a:r>
            <a:rPr lang="zh-CN" altLang="en-US" sz="900" b="0" u="none">
              <a:solidFill>
                <a:sysClr val="windowText" lastClr="000000"/>
              </a:solidFill>
              <a:effectLst/>
              <a:latin typeface="+mn-ea"/>
              <a:ea typeface="+mn-ea"/>
              <a:cs typeface="+mn-cs"/>
            </a:rPr>
            <a:t>，</a:t>
          </a:r>
          <a:r>
            <a:rPr lang="en-US" altLang="zh-CN" sz="900" b="0" u="none">
              <a:solidFill>
                <a:sysClr val="windowText" lastClr="000000"/>
              </a:solidFill>
              <a:effectLst/>
              <a:latin typeface="+mn-ea"/>
              <a:ea typeface="+mn-ea"/>
              <a:cs typeface="+mn-cs"/>
            </a:rPr>
            <a:t>822</a:t>
          </a:r>
          <a:r>
            <a:rPr lang="zh-CN" altLang="en-US" sz="900" b="0" u="none">
              <a:solidFill>
                <a:sysClr val="windowText" lastClr="000000"/>
              </a:solidFill>
              <a:effectLst/>
              <a:latin typeface="+mn-ea"/>
              <a:ea typeface="+mn-ea"/>
              <a:cs typeface="+mn-cs"/>
            </a:rPr>
            <a:t>万元</a:t>
          </a:r>
          <a:r>
            <a:rPr lang="en-US" altLang="zh-CN" sz="900" b="0" u="none">
              <a:solidFill>
                <a:sysClr val="windowText" lastClr="000000"/>
              </a:solidFill>
              <a:effectLst/>
              <a:latin typeface="+mn-ea"/>
              <a:ea typeface="+mn-ea"/>
              <a:cs typeface="+mn-cs"/>
            </a:rPr>
            <a:t>/</a:t>
          </a:r>
          <a:r>
            <a:rPr lang="zh-CN" altLang="en-US" sz="900" b="0" u="none">
              <a:solidFill>
                <a:sysClr val="windowText" lastClr="000000"/>
              </a:solidFill>
              <a:effectLst/>
              <a:latin typeface="+mn-ea"/>
              <a:ea typeface="+mn-ea"/>
              <a:cs typeface="+mn-cs"/>
            </a:rPr>
            <a:t>亩，</a:t>
          </a:r>
          <a:r>
            <a:rPr lang="en-US" altLang="zh-CN" sz="900" b="0" u="none">
              <a:solidFill>
                <a:sysClr val="windowText" lastClr="000000"/>
              </a:solidFill>
              <a:effectLst/>
              <a:latin typeface="+mn-ea"/>
              <a:ea typeface="+mn-ea"/>
              <a:cs typeface="+mn-cs"/>
            </a:rPr>
            <a:t>5137</a:t>
          </a:r>
          <a:r>
            <a:rPr lang="zh-CN" altLang="en-US" sz="900" b="0" u="none">
              <a:solidFill>
                <a:sysClr val="windowText" lastClr="000000"/>
              </a:solidFill>
              <a:effectLst/>
              <a:latin typeface="+mn-ea"/>
              <a:ea typeface="+mn-ea"/>
              <a:cs typeface="+mn-cs"/>
            </a:rPr>
            <a:t>元</a:t>
          </a:r>
          <a:r>
            <a:rPr lang="en-US" altLang="zh-CN" sz="900" b="0" u="none">
              <a:solidFill>
                <a:sysClr val="windowText" lastClr="000000"/>
              </a:solidFill>
              <a:effectLst/>
              <a:latin typeface="+mn-ea"/>
              <a:ea typeface="+mn-ea"/>
              <a:cs typeface="+mn-cs"/>
            </a:rPr>
            <a:t>/㎡</a:t>
          </a:r>
          <a:r>
            <a:rPr lang="zh-CN" altLang="en-US" sz="900" b="0" u="none">
              <a:solidFill>
                <a:sysClr val="windowText" lastClr="000000"/>
              </a:solidFill>
              <a:effectLst/>
              <a:latin typeface="+mn-ea"/>
              <a:ea typeface="+mn-ea"/>
              <a:cs typeface="+mn-cs"/>
            </a:rPr>
            <a:t>，溢价</a:t>
          </a:r>
          <a:r>
            <a:rPr lang="en-US" altLang="zh-CN" sz="900" b="0" u="none">
              <a:solidFill>
                <a:sysClr val="windowText" lastClr="000000"/>
              </a:solidFill>
              <a:effectLst/>
              <a:latin typeface="+mn-ea"/>
              <a:ea typeface="+mn-ea"/>
              <a:cs typeface="+mn-cs"/>
            </a:rPr>
            <a:t>0%</a:t>
          </a:r>
          <a:r>
            <a:rPr lang="zh-CN" altLang="en-US" sz="900" b="0" u="none">
              <a:solidFill>
                <a:sysClr val="windowText" lastClr="000000"/>
              </a:solidFill>
              <a:effectLst/>
              <a:latin typeface="+mn-ea"/>
              <a:ea typeface="+mn-ea"/>
              <a:cs typeface="+mn-cs"/>
            </a:rPr>
            <a:t>，自持酒店</a:t>
          </a:r>
          <a:r>
            <a:rPr lang="en-US" altLang="zh-CN" sz="900" b="0" u="none">
              <a:solidFill>
                <a:sysClr val="windowText" lastClr="000000"/>
              </a:solidFill>
              <a:effectLst/>
              <a:latin typeface="+mn-ea"/>
              <a:ea typeface="+mn-ea"/>
              <a:cs typeface="+mn-cs"/>
            </a:rPr>
            <a:t>2</a:t>
          </a:r>
          <a:r>
            <a:rPr lang="zh-CN" altLang="en-US" sz="900" b="0" u="none">
              <a:solidFill>
                <a:sysClr val="windowText" lastClr="000000"/>
              </a:solidFill>
              <a:effectLst/>
              <a:latin typeface="+mn-ea"/>
              <a:ea typeface="+mn-ea"/>
              <a:cs typeface="+mn-cs"/>
            </a:rPr>
            <a:t>万平方米、</a:t>
          </a:r>
          <a:r>
            <a:rPr lang="en-US" altLang="zh-CN" sz="900" b="0" u="none">
              <a:solidFill>
                <a:sysClr val="windowText" lastClr="000000"/>
              </a:solidFill>
              <a:effectLst/>
              <a:latin typeface="+mn-ea"/>
              <a:ea typeface="+mn-ea"/>
              <a:cs typeface="+mn-cs"/>
            </a:rPr>
            <a:t>40</a:t>
          </a:r>
          <a:r>
            <a:rPr lang="zh-CN" altLang="en-US" sz="900" b="0" u="none">
              <a:solidFill>
                <a:sysClr val="windowText" lastClr="000000"/>
              </a:solidFill>
              <a:effectLst/>
              <a:latin typeface="+mn-ea"/>
              <a:ea typeface="+mn-ea"/>
              <a:cs typeface="+mn-cs"/>
            </a:rPr>
            <a:t>年，火车站</a:t>
          </a:r>
          <a:endParaRPr lang="zh-CN" altLang="en-US" sz="900" b="0" u="none">
            <a:solidFill>
              <a:sysClr val="windowText" lastClr="000000"/>
            </a:solidFill>
            <a:latin typeface="+mn-ea"/>
            <a:ea typeface="+mn-ea"/>
          </a:endParaRPr>
        </a:p>
      </xdr:txBody>
    </xdr:sp>
    <xdr:clientData/>
  </xdr:twoCellAnchor>
  <xdr:twoCellAnchor>
    <xdr:from>
      <xdr:col>6</xdr:col>
      <xdr:colOff>400050</xdr:colOff>
      <xdr:row>69</xdr:row>
      <xdr:rowOff>85725</xdr:rowOff>
    </xdr:from>
    <xdr:to>
      <xdr:col>8</xdr:col>
      <xdr:colOff>680357</xdr:colOff>
      <xdr:row>73</xdr:row>
      <xdr:rowOff>123825</xdr:rowOff>
    </xdr:to>
    <xdr:sp macro="" textlink="">
      <xdr:nvSpPr>
        <xdr:cNvPr id="12" name="矩形标注 11"/>
        <xdr:cNvSpPr/>
      </xdr:nvSpPr>
      <xdr:spPr>
        <a:xfrm>
          <a:off x="5486400" y="11839575"/>
          <a:ext cx="1813832" cy="723900"/>
        </a:xfrm>
        <a:prstGeom prst="wedgeRectCallout">
          <a:avLst>
            <a:gd name="adj1" fmla="val 60728"/>
            <a:gd name="adj2" fmla="val 36861"/>
          </a:avLst>
        </a:prstGeom>
        <a:solidFill>
          <a:schemeClr val="bg1"/>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en-US" sz="900" b="1" u="sng">
              <a:solidFill>
                <a:sysClr val="windowText" lastClr="000000"/>
              </a:solidFill>
              <a:effectLst/>
              <a:latin typeface="+mn-ea"/>
              <a:ea typeface="+mn-ea"/>
              <a:cs typeface="+mn-cs"/>
            </a:rPr>
            <a:t>两江新区人和组团</a:t>
          </a:r>
          <a:r>
            <a:rPr lang="en-US" altLang="zh-CN" sz="900" b="1" u="sng">
              <a:solidFill>
                <a:sysClr val="windowText" lastClr="000000"/>
              </a:solidFill>
              <a:effectLst/>
              <a:latin typeface="+mn-ea"/>
              <a:ea typeface="+mn-ea"/>
              <a:cs typeface="+mn-cs"/>
            </a:rPr>
            <a:t>M</a:t>
          </a:r>
          <a:r>
            <a:rPr lang="zh-CN" altLang="en-US" sz="900" b="1" u="sng">
              <a:solidFill>
                <a:sysClr val="windowText" lastClr="000000"/>
              </a:solidFill>
              <a:effectLst/>
              <a:latin typeface="+mn-ea"/>
              <a:ea typeface="+mn-ea"/>
              <a:cs typeface="+mn-cs"/>
            </a:rPr>
            <a:t>分区</a:t>
          </a:r>
          <a:r>
            <a:rPr lang="en-US" altLang="zh-CN" sz="900" b="1" u="sng">
              <a:solidFill>
                <a:sysClr val="windowText" lastClr="000000"/>
              </a:solidFill>
              <a:effectLst/>
              <a:latin typeface="+mn-ea"/>
              <a:ea typeface="+mn-ea"/>
              <a:cs typeface="+mn-cs"/>
            </a:rPr>
            <a:t>M9-2/02</a:t>
          </a:r>
          <a:r>
            <a:rPr lang="zh-CN" altLang="en-US" sz="900" b="1" u="sng">
              <a:solidFill>
                <a:sysClr val="windowText" lastClr="000000"/>
              </a:solidFill>
              <a:effectLst/>
              <a:latin typeface="+mn-ea"/>
              <a:ea typeface="+mn-ea"/>
              <a:cs typeface="+mn-cs"/>
            </a:rPr>
            <a:t>号宗地（重庆市地产</a:t>
          </a:r>
          <a:r>
            <a:rPr lang="en-US" altLang="zh-CN" sz="900" b="1" u="sng">
              <a:solidFill>
                <a:sysClr val="windowText" lastClr="000000"/>
              </a:solidFill>
              <a:effectLst/>
              <a:latin typeface="+mn-ea"/>
              <a:ea typeface="+mn-ea"/>
              <a:cs typeface="+mn-cs"/>
            </a:rPr>
            <a:t>-17</a:t>
          </a:r>
          <a:r>
            <a:rPr lang="zh-CN" altLang="en-US" sz="900" b="1" u="sng">
              <a:solidFill>
                <a:sysClr val="windowText" lastClr="000000"/>
              </a:solidFill>
              <a:effectLst/>
              <a:latin typeface="+mn-ea"/>
              <a:ea typeface="+mn-ea"/>
              <a:cs typeface="+mn-cs"/>
            </a:rPr>
            <a:t>年）</a:t>
          </a:r>
        </a:p>
        <a:p>
          <a:r>
            <a:rPr lang="en-US" altLang="zh-CN" sz="900" b="0" u="sng">
              <a:solidFill>
                <a:sysClr val="windowText" lastClr="000000"/>
              </a:solidFill>
              <a:effectLst/>
              <a:latin typeface="+mn-ea"/>
              <a:ea typeface="+mn-ea"/>
              <a:cs typeface="+mn-cs"/>
            </a:rPr>
            <a:t>R4.5</a:t>
          </a:r>
          <a:r>
            <a:rPr lang="zh-CN" altLang="en-US" sz="900" b="0" u="sng">
              <a:solidFill>
                <a:sysClr val="windowText" lastClr="000000"/>
              </a:solidFill>
              <a:effectLst/>
              <a:latin typeface="+mn-ea"/>
              <a:ea typeface="+mn-ea"/>
              <a:cs typeface="+mn-cs"/>
            </a:rPr>
            <a:t>，</a:t>
          </a:r>
          <a:r>
            <a:rPr lang="en-US" altLang="zh-CN" sz="900" b="0" u="sng">
              <a:solidFill>
                <a:sysClr val="windowText" lastClr="000000"/>
              </a:solidFill>
              <a:effectLst/>
              <a:latin typeface="+mn-ea"/>
              <a:ea typeface="+mn-ea"/>
              <a:cs typeface="+mn-cs"/>
            </a:rPr>
            <a:t>1356</a:t>
          </a:r>
          <a:r>
            <a:rPr lang="zh-CN" altLang="en-US" sz="900" b="0" u="sng">
              <a:solidFill>
                <a:sysClr val="windowText" lastClr="000000"/>
              </a:solidFill>
              <a:effectLst/>
              <a:latin typeface="+mn-ea"/>
              <a:ea typeface="+mn-ea"/>
              <a:cs typeface="+mn-cs"/>
            </a:rPr>
            <a:t>万元</a:t>
          </a:r>
          <a:r>
            <a:rPr lang="en-US" altLang="zh-CN" sz="900" b="0" u="sng">
              <a:solidFill>
                <a:sysClr val="windowText" lastClr="000000"/>
              </a:solidFill>
              <a:effectLst/>
              <a:latin typeface="+mn-ea"/>
              <a:ea typeface="+mn-ea"/>
              <a:cs typeface="+mn-cs"/>
            </a:rPr>
            <a:t>/</a:t>
          </a:r>
          <a:r>
            <a:rPr lang="zh-CN" altLang="en-US" sz="900" b="0" u="sng">
              <a:solidFill>
                <a:sysClr val="windowText" lastClr="000000"/>
              </a:solidFill>
              <a:effectLst/>
              <a:latin typeface="+mn-ea"/>
              <a:ea typeface="+mn-ea"/>
              <a:cs typeface="+mn-cs"/>
            </a:rPr>
            <a:t>亩，</a:t>
          </a:r>
          <a:r>
            <a:rPr lang="en-US" altLang="zh-CN" sz="900" b="0" u="sng">
              <a:solidFill>
                <a:sysClr val="windowText" lastClr="000000"/>
              </a:solidFill>
              <a:effectLst/>
              <a:latin typeface="+mn-ea"/>
              <a:ea typeface="+mn-ea"/>
              <a:cs typeface="+mn-cs"/>
            </a:rPr>
            <a:t>4520</a:t>
          </a:r>
          <a:r>
            <a:rPr lang="zh-CN" altLang="en-US" sz="900" b="0" u="sng">
              <a:solidFill>
                <a:sysClr val="windowText" lastClr="000000"/>
              </a:solidFill>
              <a:effectLst/>
              <a:latin typeface="+mn-ea"/>
              <a:ea typeface="+mn-ea"/>
              <a:cs typeface="+mn-cs"/>
            </a:rPr>
            <a:t>元</a:t>
          </a:r>
          <a:r>
            <a:rPr lang="en-US" altLang="zh-CN" sz="900" b="0" u="sng">
              <a:solidFill>
                <a:sysClr val="windowText" lastClr="000000"/>
              </a:solidFill>
              <a:effectLst/>
              <a:latin typeface="+mn-ea"/>
              <a:ea typeface="+mn-ea"/>
              <a:cs typeface="+mn-cs"/>
            </a:rPr>
            <a:t>/㎡</a:t>
          </a:r>
          <a:r>
            <a:rPr lang="zh-CN" altLang="en-US" sz="900" b="0" u="sng">
              <a:solidFill>
                <a:sysClr val="windowText" lastClr="000000"/>
              </a:solidFill>
              <a:effectLst/>
              <a:latin typeface="+mn-ea"/>
              <a:ea typeface="+mn-ea"/>
              <a:cs typeface="+mn-cs"/>
            </a:rPr>
            <a:t>，溢价</a:t>
          </a:r>
          <a:r>
            <a:rPr lang="en-US" altLang="zh-CN" sz="900" b="0" u="sng">
              <a:solidFill>
                <a:sysClr val="windowText" lastClr="000000"/>
              </a:solidFill>
              <a:effectLst/>
              <a:latin typeface="+mn-ea"/>
              <a:ea typeface="+mn-ea"/>
              <a:cs typeface="+mn-cs"/>
            </a:rPr>
            <a:t>13%</a:t>
          </a:r>
          <a:endParaRPr lang="zh-CN" altLang="en-US" sz="900" b="0" u="sng">
            <a:solidFill>
              <a:sysClr val="windowText" lastClr="000000"/>
            </a:solidFill>
            <a:latin typeface="+mn-ea"/>
            <a:ea typeface="+mn-ea"/>
          </a:endParaRPr>
        </a:p>
      </xdr:txBody>
    </xdr:sp>
    <xdr:clientData/>
  </xdr:twoCellAnchor>
  <xdr:twoCellAnchor>
    <xdr:from>
      <xdr:col>5</xdr:col>
      <xdr:colOff>371475</xdr:colOff>
      <xdr:row>76</xdr:row>
      <xdr:rowOff>152400</xdr:rowOff>
    </xdr:from>
    <xdr:to>
      <xdr:col>7</xdr:col>
      <xdr:colOff>489857</xdr:colOff>
      <xdr:row>82</xdr:row>
      <xdr:rowOff>0</xdr:rowOff>
    </xdr:to>
    <xdr:sp macro="" textlink="">
      <xdr:nvSpPr>
        <xdr:cNvPr id="13" name="矩形标注 12"/>
        <xdr:cNvSpPr/>
      </xdr:nvSpPr>
      <xdr:spPr>
        <a:xfrm>
          <a:off x="4610100" y="13106400"/>
          <a:ext cx="1813832" cy="876300"/>
        </a:xfrm>
        <a:prstGeom prst="wedgeRectCallout">
          <a:avLst>
            <a:gd name="adj1" fmla="val 60728"/>
            <a:gd name="adj2" fmla="val 36861"/>
          </a:avLst>
        </a:prstGeom>
        <a:solidFill>
          <a:schemeClr val="bg1"/>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en-US" sz="900" b="1" u="sng">
              <a:solidFill>
                <a:sysClr val="windowText" lastClr="000000"/>
              </a:solidFill>
              <a:effectLst/>
              <a:latin typeface="+mn-ea"/>
              <a:ea typeface="+mn-ea"/>
              <a:cs typeface="+mn-cs"/>
            </a:rPr>
            <a:t>江北区大石坝组团</a:t>
          </a:r>
          <a:r>
            <a:rPr lang="en-US" altLang="zh-CN" sz="900" b="1" u="sng">
              <a:solidFill>
                <a:sysClr val="windowText" lastClr="000000"/>
              </a:solidFill>
              <a:effectLst/>
              <a:latin typeface="+mn-ea"/>
              <a:ea typeface="+mn-ea"/>
              <a:cs typeface="+mn-cs"/>
            </a:rPr>
            <a:t>L</a:t>
          </a:r>
          <a:r>
            <a:rPr lang="zh-CN" altLang="en-US" sz="900" b="1" u="sng">
              <a:solidFill>
                <a:sysClr val="windowText" lastClr="000000"/>
              </a:solidFill>
              <a:effectLst/>
              <a:latin typeface="+mn-ea"/>
              <a:ea typeface="+mn-ea"/>
              <a:cs typeface="+mn-cs"/>
            </a:rPr>
            <a:t>分区</a:t>
          </a:r>
          <a:r>
            <a:rPr lang="en-US" altLang="zh-CN" sz="900" b="1" u="sng">
              <a:solidFill>
                <a:sysClr val="windowText" lastClr="000000"/>
              </a:solidFill>
              <a:effectLst/>
              <a:latin typeface="+mn-ea"/>
              <a:ea typeface="+mn-ea"/>
              <a:cs typeface="+mn-cs"/>
            </a:rPr>
            <a:t>L10-12/02</a:t>
          </a:r>
          <a:r>
            <a:rPr lang="zh-CN" altLang="en-US" sz="900" b="1" u="sng">
              <a:solidFill>
                <a:sysClr val="windowText" lastClr="000000"/>
              </a:solidFill>
              <a:effectLst/>
              <a:latin typeface="+mn-ea"/>
              <a:ea typeface="+mn-ea"/>
              <a:cs typeface="+mn-cs"/>
            </a:rPr>
            <a:t>（部分）号宗地（重庆祺宝汽车销售</a:t>
          </a:r>
          <a:r>
            <a:rPr lang="en-US" altLang="zh-CN" sz="900" b="1" u="sng">
              <a:solidFill>
                <a:sysClr val="windowText" lastClr="000000"/>
              </a:solidFill>
              <a:effectLst/>
              <a:latin typeface="+mn-ea"/>
              <a:ea typeface="+mn-ea"/>
              <a:cs typeface="+mn-cs"/>
            </a:rPr>
            <a:t>-17</a:t>
          </a:r>
          <a:r>
            <a:rPr lang="zh-CN" altLang="en-US" sz="900" b="1" u="sng">
              <a:solidFill>
                <a:sysClr val="windowText" lastClr="000000"/>
              </a:solidFill>
              <a:effectLst/>
              <a:latin typeface="+mn-ea"/>
              <a:ea typeface="+mn-ea"/>
              <a:cs typeface="+mn-cs"/>
            </a:rPr>
            <a:t>年）</a:t>
          </a:r>
        </a:p>
        <a:p>
          <a:r>
            <a:rPr lang="en-US" altLang="zh-CN" sz="900" b="0" u="sng">
              <a:solidFill>
                <a:sysClr val="windowText" lastClr="000000"/>
              </a:solidFill>
              <a:effectLst/>
              <a:latin typeface="+mn-ea"/>
              <a:ea typeface="+mn-ea"/>
              <a:cs typeface="+mn-cs"/>
            </a:rPr>
            <a:t>R4.5</a:t>
          </a:r>
          <a:r>
            <a:rPr lang="zh-CN" altLang="en-US" sz="900" b="0" u="sng">
              <a:solidFill>
                <a:sysClr val="windowText" lastClr="000000"/>
              </a:solidFill>
              <a:effectLst/>
              <a:latin typeface="+mn-ea"/>
              <a:ea typeface="+mn-ea"/>
              <a:cs typeface="+mn-cs"/>
            </a:rPr>
            <a:t>，</a:t>
          </a:r>
          <a:r>
            <a:rPr lang="en-US" altLang="zh-CN" sz="900" b="0" u="sng">
              <a:solidFill>
                <a:sysClr val="windowText" lastClr="000000"/>
              </a:solidFill>
              <a:effectLst/>
              <a:latin typeface="+mn-ea"/>
              <a:ea typeface="+mn-ea"/>
              <a:cs typeface="+mn-cs"/>
            </a:rPr>
            <a:t>1416</a:t>
          </a:r>
          <a:r>
            <a:rPr lang="zh-CN" altLang="en-US" sz="900" b="0" u="sng">
              <a:solidFill>
                <a:sysClr val="windowText" lastClr="000000"/>
              </a:solidFill>
              <a:effectLst/>
              <a:latin typeface="+mn-ea"/>
              <a:ea typeface="+mn-ea"/>
              <a:cs typeface="+mn-cs"/>
            </a:rPr>
            <a:t>万元</a:t>
          </a:r>
          <a:r>
            <a:rPr lang="en-US" altLang="zh-CN" sz="900" b="0" u="sng">
              <a:solidFill>
                <a:sysClr val="windowText" lastClr="000000"/>
              </a:solidFill>
              <a:effectLst/>
              <a:latin typeface="+mn-ea"/>
              <a:ea typeface="+mn-ea"/>
              <a:cs typeface="+mn-cs"/>
            </a:rPr>
            <a:t>/</a:t>
          </a:r>
          <a:r>
            <a:rPr lang="zh-CN" altLang="en-US" sz="900" b="0" u="sng">
              <a:solidFill>
                <a:sysClr val="windowText" lastClr="000000"/>
              </a:solidFill>
              <a:effectLst/>
              <a:latin typeface="+mn-ea"/>
              <a:ea typeface="+mn-ea"/>
              <a:cs typeface="+mn-cs"/>
            </a:rPr>
            <a:t>亩，</a:t>
          </a:r>
          <a:r>
            <a:rPr lang="en-US" altLang="zh-CN" sz="900" b="0" u="sng">
              <a:solidFill>
                <a:sysClr val="windowText" lastClr="000000"/>
              </a:solidFill>
              <a:effectLst/>
              <a:latin typeface="+mn-ea"/>
              <a:ea typeface="+mn-ea"/>
              <a:cs typeface="+mn-cs"/>
            </a:rPr>
            <a:t>4720</a:t>
          </a:r>
          <a:r>
            <a:rPr lang="zh-CN" altLang="en-US" sz="900" b="0" u="sng">
              <a:solidFill>
                <a:sysClr val="windowText" lastClr="000000"/>
              </a:solidFill>
              <a:effectLst/>
              <a:latin typeface="+mn-ea"/>
              <a:ea typeface="+mn-ea"/>
              <a:cs typeface="+mn-cs"/>
            </a:rPr>
            <a:t>元</a:t>
          </a:r>
          <a:r>
            <a:rPr lang="en-US" altLang="zh-CN" sz="900" b="0" u="sng">
              <a:solidFill>
                <a:sysClr val="windowText" lastClr="000000"/>
              </a:solidFill>
              <a:effectLst/>
              <a:latin typeface="+mn-ea"/>
              <a:ea typeface="+mn-ea"/>
              <a:cs typeface="+mn-cs"/>
            </a:rPr>
            <a:t>/㎡</a:t>
          </a:r>
          <a:r>
            <a:rPr lang="zh-CN" altLang="en-US" sz="900" b="0" u="sng">
              <a:solidFill>
                <a:sysClr val="windowText" lastClr="000000"/>
              </a:solidFill>
              <a:effectLst/>
              <a:latin typeface="+mn-ea"/>
              <a:ea typeface="+mn-ea"/>
              <a:cs typeface="+mn-cs"/>
            </a:rPr>
            <a:t>，溢价</a:t>
          </a:r>
          <a:r>
            <a:rPr lang="en-US" altLang="zh-CN" sz="900" b="0" u="sng">
              <a:solidFill>
                <a:sysClr val="windowText" lastClr="000000"/>
              </a:solidFill>
              <a:effectLst/>
              <a:latin typeface="+mn-ea"/>
              <a:ea typeface="+mn-ea"/>
              <a:cs typeface="+mn-cs"/>
            </a:rPr>
            <a:t>0%</a:t>
          </a:r>
          <a:endParaRPr lang="zh-CN" altLang="en-US" sz="900" b="0" u="sng">
            <a:solidFill>
              <a:sysClr val="windowText" lastClr="000000"/>
            </a:solidFill>
            <a:latin typeface="+mn-ea"/>
            <a:ea typeface="+mn-ea"/>
          </a:endParaRPr>
        </a:p>
      </xdr:txBody>
    </xdr:sp>
    <xdr:clientData/>
  </xdr:twoCellAnchor>
  <xdr:twoCellAnchor>
    <xdr:from>
      <xdr:col>3</xdr:col>
      <xdr:colOff>419100</xdr:colOff>
      <xdr:row>82</xdr:row>
      <xdr:rowOff>76199</xdr:rowOff>
    </xdr:from>
    <xdr:to>
      <xdr:col>5</xdr:col>
      <xdr:colOff>537482</xdr:colOff>
      <xdr:row>91</xdr:row>
      <xdr:rowOff>47625</xdr:rowOff>
    </xdr:to>
    <xdr:sp macro="" textlink="">
      <xdr:nvSpPr>
        <xdr:cNvPr id="14" name="矩形标注 13"/>
        <xdr:cNvSpPr/>
      </xdr:nvSpPr>
      <xdr:spPr>
        <a:xfrm>
          <a:off x="2962275" y="14058899"/>
          <a:ext cx="1813832" cy="1514476"/>
        </a:xfrm>
        <a:prstGeom prst="wedgeRectCallout">
          <a:avLst>
            <a:gd name="adj1" fmla="val 82783"/>
            <a:gd name="adj2" fmla="val 609"/>
          </a:avLst>
        </a:prstGeom>
        <a:solidFill>
          <a:schemeClr val="bg1"/>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zh-CN" sz="900" b="1">
              <a:solidFill>
                <a:sysClr val="windowText" lastClr="000000"/>
              </a:solidFill>
              <a:effectLst/>
              <a:latin typeface="+mn-ea"/>
              <a:ea typeface="+mn-ea"/>
              <a:cs typeface="+mn-cs"/>
            </a:rPr>
            <a:t>沙坪坝区沙坪坝组团</a:t>
          </a:r>
          <a:r>
            <a:rPr lang="en-US" altLang="zh-CN" sz="900" b="1">
              <a:solidFill>
                <a:sysClr val="windowText" lastClr="000000"/>
              </a:solidFill>
              <a:effectLst/>
              <a:latin typeface="+mn-ea"/>
              <a:ea typeface="+mn-ea"/>
              <a:cs typeface="+mn-cs"/>
            </a:rPr>
            <a:t>D</a:t>
          </a:r>
          <a:r>
            <a:rPr lang="zh-CN" altLang="zh-CN" sz="900" b="1">
              <a:solidFill>
                <a:sysClr val="windowText" lastClr="000000"/>
              </a:solidFill>
              <a:effectLst/>
              <a:latin typeface="+mn-ea"/>
              <a:ea typeface="+mn-ea"/>
              <a:cs typeface="+mn-cs"/>
            </a:rPr>
            <a:t>分区</a:t>
          </a:r>
          <a:r>
            <a:rPr lang="en-US" altLang="zh-CN" sz="900" b="1">
              <a:solidFill>
                <a:sysClr val="windowText" lastClr="000000"/>
              </a:solidFill>
              <a:effectLst/>
              <a:latin typeface="+mn-ea"/>
              <a:ea typeface="+mn-ea"/>
              <a:cs typeface="+mn-cs"/>
            </a:rPr>
            <a:t>D11-1/04</a:t>
          </a:r>
          <a:r>
            <a:rPr lang="zh-CN" altLang="zh-CN" sz="900" b="1">
              <a:solidFill>
                <a:sysClr val="windowText" lastClr="000000"/>
              </a:solidFill>
              <a:effectLst/>
              <a:latin typeface="+mn-ea"/>
              <a:ea typeface="+mn-ea"/>
              <a:cs typeface="+mn-cs"/>
            </a:rPr>
            <a:t>、</a:t>
          </a:r>
          <a:r>
            <a:rPr lang="en-US" altLang="zh-CN" sz="900" b="1">
              <a:solidFill>
                <a:sysClr val="windowText" lastClr="000000"/>
              </a:solidFill>
              <a:effectLst/>
              <a:latin typeface="+mn-ea"/>
              <a:ea typeface="+mn-ea"/>
              <a:cs typeface="+mn-cs"/>
            </a:rPr>
            <a:t>D11-2/04</a:t>
          </a:r>
          <a:r>
            <a:rPr lang="zh-CN" altLang="zh-CN" sz="900" b="1">
              <a:solidFill>
                <a:sysClr val="windowText" lastClr="000000"/>
              </a:solidFill>
              <a:effectLst/>
              <a:latin typeface="+mn-ea"/>
              <a:ea typeface="+mn-ea"/>
              <a:cs typeface="+mn-cs"/>
            </a:rPr>
            <a:t>号（龙湖</a:t>
          </a:r>
          <a:r>
            <a:rPr lang="en-US" altLang="zh-CN" sz="900" b="1">
              <a:solidFill>
                <a:sysClr val="windowText" lastClr="000000"/>
              </a:solidFill>
              <a:effectLst/>
              <a:latin typeface="+mn-ea"/>
              <a:ea typeface="+mn-ea"/>
              <a:cs typeface="+mn-cs"/>
            </a:rPr>
            <a:t>-17</a:t>
          </a:r>
          <a:r>
            <a:rPr lang="zh-CN" altLang="zh-CN" sz="900" b="1">
              <a:solidFill>
                <a:sysClr val="windowText" lastClr="000000"/>
              </a:solidFill>
              <a:effectLst/>
              <a:latin typeface="+mn-ea"/>
              <a:ea typeface="+mn-ea"/>
              <a:cs typeface="+mn-cs"/>
            </a:rPr>
            <a:t>年）</a:t>
          </a:r>
          <a:endParaRPr lang="zh-CN" altLang="zh-CN" sz="900">
            <a:solidFill>
              <a:sysClr val="windowText" lastClr="000000"/>
            </a:solidFill>
            <a:effectLst/>
            <a:latin typeface="+mn-ea"/>
            <a:ea typeface="+mn-ea"/>
            <a:cs typeface="+mn-cs"/>
          </a:endParaRPr>
        </a:p>
        <a:p>
          <a:r>
            <a:rPr lang="en-US" altLang="zh-CN" sz="900">
              <a:solidFill>
                <a:sysClr val="windowText" lastClr="000000"/>
              </a:solidFill>
              <a:effectLst/>
              <a:latin typeface="+mn-ea"/>
              <a:ea typeface="+mn-ea"/>
              <a:cs typeface="+mn-cs"/>
            </a:rPr>
            <a:t>R5.9</a:t>
          </a:r>
          <a:r>
            <a:rPr lang="zh-CN" altLang="zh-CN" sz="900">
              <a:solidFill>
                <a:sysClr val="windowText" lastClr="000000"/>
              </a:solidFill>
              <a:effectLst/>
              <a:latin typeface="+mn-ea"/>
              <a:ea typeface="+mn-ea"/>
              <a:cs typeface="+mn-cs"/>
            </a:rPr>
            <a:t>，</a:t>
          </a:r>
          <a:r>
            <a:rPr lang="en-US" altLang="zh-CN" sz="900">
              <a:solidFill>
                <a:sysClr val="windowText" lastClr="000000"/>
              </a:solidFill>
              <a:effectLst/>
              <a:latin typeface="+mn-ea"/>
              <a:ea typeface="+mn-ea"/>
              <a:cs typeface="+mn-cs"/>
            </a:rPr>
            <a:t>2791</a:t>
          </a:r>
          <a:r>
            <a:rPr lang="zh-CN" altLang="zh-CN" sz="900">
              <a:solidFill>
                <a:sysClr val="windowText" lastClr="000000"/>
              </a:solidFill>
              <a:effectLst/>
              <a:latin typeface="+mn-ea"/>
              <a:ea typeface="+mn-ea"/>
              <a:cs typeface="+mn-cs"/>
            </a:rPr>
            <a:t>万元</a:t>
          </a:r>
          <a:r>
            <a:rPr lang="en-US" altLang="zh-CN" sz="900">
              <a:solidFill>
                <a:sysClr val="windowText" lastClr="000000"/>
              </a:solidFill>
              <a:effectLst/>
              <a:latin typeface="+mn-ea"/>
              <a:ea typeface="+mn-ea"/>
              <a:cs typeface="+mn-cs"/>
            </a:rPr>
            <a:t>/</a:t>
          </a:r>
          <a:r>
            <a:rPr lang="zh-CN" altLang="zh-CN" sz="900">
              <a:solidFill>
                <a:sysClr val="windowText" lastClr="000000"/>
              </a:solidFill>
              <a:effectLst/>
              <a:latin typeface="+mn-ea"/>
              <a:ea typeface="+mn-ea"/>
              <a:cs typeface="+mn-cs"/>
            </a:rPr>
            <a:t>亩，</a:t>
          </a:r>
          <a:r>
            <a:rPr lang="en-US" altLang="zh-CN" sz="900">
              <a:solidFill>
                <a:sysClr val="windowText" lastClr="000000"/>
              </a:solidFill>
              <a:effectLst/>
              <a:latin typeface="+mn-ea"/>
              <a:ea typeface="+mn-ea"/>
              <a:cs typeface="+mn-cs"/>
            </a:rPr>
            <a:t>7105</a:t>
          </a:r>
          <a:r>
            <a:rPr lang="zh-CN" altLang="zh-CN" sz="900">
              <a:solidFill>
                <a:sysClr val="windowText" lastClr="000000"/>
              </a:solidFill>
              <a:effectLst/>
              <a:latin typeface="+mn-ea"/>
              <a:ea typeface="+mn-ea"/>
              <a:cs typeface="+mn-cs"/>
            </a:rPr>
            <a:t>元</a:t>
          </a:r>
          <a:r>
            <a:rPr lang="en-US" altLang="zh-CN" sz="900">
              <a:solidFill>
                <a:sysClr val="windowText" lastClr="000000"/>
              </a:solidFill>
              <a:effectLst/>
              <a:latin typeface="+mn-ea"/>
              <a:ea typeface="+mn-ea"/>
              <a:cs typeface="+mn-cs"/>
            </a:rPr>
            <a:t>/</a:t>
          </a:r>
          <a:r>
            <a:rPr lang="zh-CN" altLang="zh-CN" sz="900">
              <a:solidFill>
                <a:sysClr val="windowText" lastClr="000000"/>
              </a:solidFill>
              <a:effectLst/>
              <a:latin typeface="+mn-ea"/>
              <a:ea typeface="+mn-ea"/>
              <a:cs typeface="+mn-cs"/>
            </a:rPr>
            <a:t>㎡，溢价</a:t>
          </a:r>
          <a:r>
            <a:rPr lang="en-US" altLang="zh-CN" sz="900">
              <a:solidFill>
                <a:sysClr val="windowText" lastClr="000000"/>
              </a:solidFill>
              <a:effectLst/>
              <a:latin typeface="+mn-ea"/>
              <a:ea typeface="+mn-ea"/>
              <a:cs typeface="+mn-cs"/>
            </a:rPr>
            <a:t>0%</a:t>
          </a:r>
          <a:r>
            <a:rPr lang="zh-CN" altLang="zh-CN" sz="900">
              <a:solidFill>
                <a:sysClr val="windowText" lastClr="000000"/>
              </a:solidFill>
              <a:effectLst/>
              <a:latin typeface="+mn-ea"/>
              <a:ea typeface="+mn-ea"/>
              <a:cs typeface="+mn-cs"/>
            </a:rPr>
            <a:t>，火车站</a:t>
          </a:r>
        </a:p>
        <a:p>
          <a:r>
            <a:rPr lang="en-US" altLang="zh-CN" sz="900">
              <a:solidFill>
                <a:sysClr val="windowText" lastClr="000000"/>
              </a:solidFill>
              <a:effectLst/>
              <a:latin typeface="+mn-ea"/>
              <a:ea typeface="+mn-ea"/>
              <a:cs typeface="+mn-cs"/>
            </a:rPr>
            <a:t> </a:t>
          </a:r>
          <a:endParaRPr lang="zh-CN" altLang="zh-CN" sz="900">
            <a:solidFill>
              <a:sysClr val="windowText" lastClr="000000"/>
            </a:solidFill>
            <a:effectLst/>
            <a:latin typeface="+mn-ea"/>
            <a:ea typeface="+mn-ea"/>
            <a:cs typeface="+mn-cs"/>
          </a:endParaRPr>
        </a:p>
        <a:p>
          <a:r>
            <a:rPr lang="zh-CN" altLang="zh-CN" sz="900" b="1">
              <a:solidFill>
                <a:sysClr val="windowText" lastClr="000000"/>
              </a:solidFill>
              <a:effectLst/>
              <a:latin typeface="+mn-ea"/>
              <a:ea typeface="+mn-ea"/>
              <a:cs typeface="+mn-cs"/>
            </a:rPr>
            <a:t>沙坪坝区大杨石组团</a:t>
          </a:r>
          <a:r>
            <a:rPr lang="en-US" altLang="zh-CN" sz="900" b="1">
              <a:solidFill>
                <a:sysClr val="windowText" lastClr="000000"/>
              </a:solidFill>
              <a:effectLst/>
              <a:latin typeface="+mn-ea"/>
              <a:ea typeface="+mn-ea"/>
              <a:cs typeface="+mn-cs"/>
            </a:rPr>
            <a:t>A</a:t>
          </a:r>
          <a:r>
            <a:rPr lang="zh-CN" altLang="zh-CN" sz="900" b="1">
              <a:solidFill>
                <a:sysClr val="windowText" lastClr="000000"/>
              </a:solidFill>
              <a:effectLst/>
              <a:latin typeface="+mn-ea"/>
              <a:ea typeface="+mn-ea"/>
              <a:cs typeface="+mn-cs"/>
            </a:rPr>
            <a:t>分区</a:t>
          </a:r>
          <a:r>
            <a:rPr lang="en-US" altLang="zh-CN" sz="900" b="1">
              <a:solidFill>
                <a:sysClr val="windowText" lastClr="000000"/>
              </a:solidFill>
              <a:effectLst/>
              <a:latin typeface="+mn-ea"/>
              <a:ea typeface="+mn-ea"/>
              <a:cs typeface="+mn-cs"/>
            </a:rPr>
            <a:t>A10/03</a:t>
          </a:r>
          <a:r>
            <a:rPr lang="zh-CN" altLang="zh-CN" sz="900" b="1">
              <a:solidFill>
                <a:sysClr val="windowText" lastClr="000000"/>
              </a:solidFill>
              <a:effectLst/>
              <a:latin typeface="+mn-ea"/>
              <a:ea typeface="+mn-ea"/>
              <a:cs typeface="+mn-cs"/>
            </a:rPr>
            <a:t>号宗地（万达</a:t>
          </a:r>
          <a:r>
            <a:rPr lang="en-US" altLang="zh-CN" sz="900" b="1">
              <a:solidFill>
                <a:sysClr val="windowText" lastClr="000000"/>
              </a:solidFill>
              <a:effectLst/>
              <a:latin typeface="+mn-ea"/>
              <a:ea typeface="+mn-ea"/>
              <a:cs typeface="+mn-cs"/>
            </a:rPr>
            <a:t>-16</a:t>
          </a:r>
          <a:r>
            <a:rPr lang="zh-CN" altLang="zh-CN" sz="900" b="1">
              <a:solidFill>
                <a:sysClr val="windowText" lastClr="000000"/>
              </a:solidFill>
              <a:effectLst/>
              <a:latin typeface="+mn-ea"/>
              <a:ea typeface="+mn-ea"/>
              <a:cs typeface="+mn-cs"/>
            </a:rPr>
            <a:t>年）</a:t>
          </a:r>
          <a:endParaRPr lang="zh-CN" altLang="zh-CN" sz="900">
            <a:solidFill>
              <a:sysClr val="windowText" lastClr="000000"/>
            </a:solidFill>
            <a:effectLst/>
            <a:latin typeface="+mn-ea"/>
            <a:ea typeface="+mn-ea"/>
            <a:cs typeface="+mn-cs"/>
          </a:endParaRPr>
        </a:p>
        <a:p>
          <a:r>
            <a:rPr lang="en-US" altLang="zh-CN" sz="900">
              <a:solidFill>
                <a:sysClr val="windowText" lastClr="000000"/>
              </a:solidFill>
              <a:effectLst/>
              <a:latin typeface="+mn-ea"/>
              <a:ea typeface="+mn-ea"/>
              <a:cs typeface="+mn-cs"/>
            </a:rPr>
            <a:t>R2.73</a:t>
          </a:r>
          <a:r>
            <a:rPr lang="zh-CN" altLang="zh-CN" sz="900">
              <a:solidFill>
                <a:sysClr val="windowText" lastClr="000000"/>
              </a:solidFill>
              <a:effectLst/>
              <a:latin typeface="+mn-ea"/>
              <a:ea typeface="+mn-ea"/>
              <a:cs typeface="+mn-cs"/>
            </a:rPr>
            <a:t>，</a:t>
          </a:r>
          <a:r>
            <a:rPr lang="en-US" altLang="zh-CN" sz="900">
              <a:solidFill>
                <a:sysClr val="windowText" lastClr="000000"/>
              </a:solidFill>
              <a:effectLst/>
              <a:latin typeface="+mn-ea"/>
              <a:ea typeface="+mn-ea"/>
              <a:cs typeface="+mn-cs"/>
            </a:rPr>
            <a:t>365</a:t>
          </a:r>
          <a:r>
            <a:rPr lang="zh-CN" altLang="zh-CN" sz="900">
              <a:solidFill>
                <a:sysClr val="windowText" lastClr="000000"/>
              </a:solidFill>
              <a:effectLst/>
              <a:latin typeface="+mn-ea"/>
              <a:ea typeface="+mn-ea"/>
              <a:cs typeface="+mn-cs"/>
            </a:rPr>
            <a:t>万元</a:t>
          </a:r>
          <a:r>
            <a:rPr lang="en-US" altLang="zh-CN" sz="900">
              <a:solidFill>
                <a:sysClr val="windowText" lastClr="000000"/>
              </a:solidFill>
              <a:effectLst/>
              <a:latin typeface="+mn-ea"/>
              <a:ea typeface="+mn-ea"/>
              <a:cs typeface="+mn-cs"/>
            </a:rPr>
            <a:t>/</a:t>
          </a:r>
          <a:r>
            <a:rPr lang="zh-CN" altLang="zh-CN" sz="900">
              <a:solidFill>
                <a:sysClr val="windowText" lastClr="000000"/>
              </a:solidFill>
              <a:effectLst/>
              <a:latin typeface="+mn-ea"/>
              <a:ea typeface="+mn-ea"/>
              <a:cs typeface="+mn-cs"/>
            </a:rPr>
            <a:t>亩，</a:t>
          </a:r>
          <a:r>
            <a:rPr lang="en-US" altLang="zh-CN" sz="900">
              <a:solidFill>
                <a:sysClr val="windowText" lastClr="000000"/>
              </a:solidFill>
              <a:effectLst/>
              <a:latin typeface="+mn-ea"/>
              <a:ea typeface="+mn-ea"/>
              <a:cs typeface="+mn-cs"/>
            </a:rPr>
            <a:t>2010</a:t>
          </a:r>
          <a:r>
            <a:rPr lang="zh-CN" altLang="zh-CN" sz="900">
              <a:solidFill>
                <a:sysClr val="windowText" lastClr="000000"/>
              </a:solidFill>
              <a:effectLst/>
              <a:latin typeface="+mn-ea"/>
              <a:ea typeface="+mn-ea"/>
              <a:cs typeface="+mn-cs"/>
            </a:rPr>
            <a:t>元</a:t>
          </a:r>
          <a:r>
            <a:rPr lang="en-US" altLang="zh-CN" sz="900">
              <a:solidFill>
                <a:sysClr val="windowText" lastClr="000000"/>
              </a:solidFill>
              <a:effectLst/>
              <a:latin typeface="+mn-ea"/>
              <a:ea typeface="+mn-ea"/>
              <a:cs typeface="+mn-cs"/>
            </a:rPr>
            <a:t>/</a:t>
          </a:r>
          <a:r>
            <a:rPr lang="zh-CN" altLang="zh-CN" sz="900">
              <a:solidFill>
                <a:sysClr val="windowText" lastClr="000000"/>
              </a:solidFill>
              <a:effectLst/>
              <a:latin typeface="+mn-ea"/>
              <a:ea typeface="+mn-ea"/>
              <a:cs typeface="+mn-cs"/>
            </a:rPr>
            <a:t>㎡，溢价</a:t>
          </a:r>
          <a:r>
            <a:rPr lang="en-US" altLang="zh-CN" sz="900">
              <a:solidFill>
                <a:sysClr val="windowText" lastClr="000000"/>
              </a:solidFill>
              <a:effectLst/>
              <a:latin typeface="+mn-ea"/>
              <a:ea typeface="+mn-ea"/>
              <a:cs typeface="+mn-cs"/>
            </a:rPr>
            <a:t>0% </a:t>
          </a:r>
          <a:endParaRPr lang="zh-CN" altLang="zh-CN" sz="900">
            <a:solidFill>
              <a:sysClr val="windowText" lastClr="000000"/>
            </a:solidFill>
            <a:effectLst/>
            <a:latin typeface="+mn-ea"/>
            <a:ea typeface="+mn-ea"/>
            <a:cs typeface="+mn-cs"/>
          </a:endParaRPr>
        </a:p>
      </xdr:txBody>
    </xdr:sp>
    <xdr:clientData/>
  </xdr:twoCellAnchor>
  <xdr:twoCellAnchor>
    <xdr:from>
      <xdr:col>3</xdr:col>
      <xdr:colOff>380999</xdr:colOff>
      <xdr:row>95</xdr:row>
      <xdr:rowOff>76200</xdr:rowOff>
    </xdr:from>
    <xdr:to>
      <xdr:col>8</xdr:col>
      <xdr:colOff>28575</xdr:colOff>
      <xdr:row>104</xdr:row>
      <xdr:rowOff>28575</xdr:rowOff>
    </xdr:to>
    <xdr:sp macro="" textlink="">
      <xdr:nvSpPr>
        <xdr:cNvPr id="15" name="矩形标注 14"/>
        <xdr:cNvSpPr/>
      </xdr:nvSpPr>
      <xdr:spPr>
        <a:xfrm>
          <a:off x="2924174" y="16287750"/>
          <a:ext cx="3724276" cy="1495425"/>
        </a:xfrm>
        <a:prstGeom prst="wedgeRectCallout">
          <a:avLst>
            <a:gd name="adj1" fmla="val 28786"/>
            <a:gd name="adj2" fmla="val -63360"/>
          </a:avLst>
        </a:prstGeom>
        <a:solidFill>
          <a:schemeClr val="bg1"/>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zh-CN" sz="900" b="1">
              <a:solidFill>
                <a:sysClr val="windowText" lastClr="000000"/>
              </a:solidFill>
              <a:effectLst/>
              <a:latin typeface="+mn-ea"/>
              <a:ea typeface="+mn-ea"/>
              <a:cs typeface="+mn-cs"/>
            </a:rPr>
            <a:t>九龙坡区二郎科技新城组团</a:t>
          </a:r>
          <a:r>
            <a:rPr lang="en-US" altLang="zh-CN" sz="900" b="1">
              <a:solidFill>
                <a:sysClr val="windowText" lastClr="000000"/>
              </a:solidFill>
              <a:effectLst/>
              <a:latin typeface="+mn-ea"/>
              <a:ea typeface="+mn-ea"/>
              <a:cs typeface="+mn-cs"/>
            </a:rPr>
            <a:t>A</a:t>
          </a:r>
          <a:r>
            <a:rPr lang="zh-CN" altLang="zh-CN" sz="900" b="1">
              <a:solidFill>
                <a:sysClr val="windowText" lastClr="000000"/>
              </a:solidFill>
              <a:effectLst/>
              <a:latin typeface="+mn-ea"/>
              <a:ea typeface="+mn-ea"/>
              <a:cs typeface="+mn-cs"/>
            </a:rPr>
            <a:t>分区</a:t>
          </a:r>
          <a:r>
            <a:rPr lang="en-US" altLang="zh-CN" sz="900" b="1">
              <a:solidFill>
                <a:sysClr val="windowText" lastClr="000000"/>
              </a:solidFill>
              <a:effectLst/>
              <a:latin typeface="+mn-ea"/>
              <a:ea typeface="+mn-ea"/>
              <a:cs typeface="+mn-cs"/>
            </a:rPr>
            <a:t>A2-1-2/04</a:t>
          </a:r>
          <a:r>
            <a:rPr lang="zh-CN" altLang="zh-CN" sz="900" b="1">
              <a:solidFill>
                <a:sysClr val="windowText" lastClr="000000"/>
              </a:solidFill>
              <a:effectLst/>
              <a:latin typeface="+mn-ea"/>
              <a:ea typeface="+mn-ea"/>
              <a:cs typeface="+mn-cs"/>
            </a:rPr>
            <a:t>号宗地（重庆九龙园高新产业</a:t>
          </a:r>
          <a:r>
            <a:rPr lang="en-US" altLang="zh-CN" sz="900" b="1">
              <a:solidFill>
                <a:sysClr val="windowText" lastClr="000000"/>
              </a:solidFill>
              <a:effectLst/>
              <a:latin typeface="+mn-ea"/>
              <a:ea typeface="+mn-ea"/>
              <a:cs typeface="+mn-cs"/>
            </a:rPr>
            <a:t>-19</a:t>
          </a:r>
          <a:r>
            <a:rPr lang="zh-CN" altLang="zh-CN" sz="900" b="1">
              <a:solidFill>
                <a:sysClr val="windowText" lastClr="000000"/>
              </a:solidFill>
              <a:effectLst/>
              <a:latin typeface="+mn-ea"/>
              <a:ea typeface="+mn-ea"/>
              <a:cs typeface="+mn-cs"/>
            </a:rPr>
            <a:t>年）</a:t>
          </a:r>
          <a:endParaRPr lang="zh-CN" altLang="zh-CN" sz="900">
            <a:solidFill>
              <a:sysClr val="windowText" lastClr="000000"/>
            </a:solidFill>
            <a:effectLst/>
            <a:latin typeface="+mn-ea"/>
            <a:ea typeface="+mn-ea"/>
            <a:cs typeface="+mn-cs"/>
          </a:endParaRPr>
        </a:p>
        <a:p>
          <a:r>
            <a:rPr lang="en-US" altLang="zh-CN" sz="900">
              <a:solidFill>
                <a:sysClr val="windowText" lastClr="000000"/>
              </a:solidFill>
              <a:effectLst/>
              <a:latin typeface="+mn-ea"/>
              <a:ea typeface="+mn-ea"/>
              <a:cs typeface="+mn-cs"/>
            </a:rPr>
            <a:t>R2.34</a:t>
          </a:r>
          <a:r>
            <a:rPr lang="zh-CN" altLang="zh-CN" sz="900">
              <a:solidFill>
                <a:sysClr val="windowText" lastClr="000000"/>
              </a:solidFill>
              <a:effectLst/>
              <a:latin typeface="+mn-ea"/>
              <a:ea typeface="+mn-ea"/>
              <a:cs typeface="+mn-cs"/>
            </a:rPr>
            <a:t>，</a:t>
          </a:r>
          <a:r>
            <a:rPr lang="en-US" altLang="zh-CN" sz="900">
              <a:solidFill>
                <a:sysClr val="windowText" lastClr="000000"/>
              </a:solidFill>
              <a:effectLst/>
              <a:latin typeface="+mn-ea"/>
              <a:ea typeface="+mn-ea"/>
              <a:cs typeface="+mn-cs"/>
            </a:rPr>
            <a:t>1624</a:t>
          </a:r>
          <a:r>
            <a:rPr lang="zh-CN" altLang="zh-CN" sz="900">
              <a:solidFill>
                <a:sysClr val="windowText" lastClr="000000"/>
              </a:solidFill>
              <a:effectLst/>
              <a:latin typeface="+mn-ea"/>
              <a:ea typeface="+mn-ea"/>
              <a:cs typeface="+mn-cs"/>
            </a:rPr>
            <a:t>万元</a:t>
          </a:r>
          <a:r>
            <a:rPr lang="en-US" altLang="zh-CN" sz="900">
              <a:solidFill>
                <a:sysClr val="windowText" lastClr="000000"/>
              </a:solidFill>
              <a:effectLst/>
              <a:latin typeface="+mn-ea"/>
              <a:ea typeface="+mn-ea"/>
              <a:cs typeface="+mn-cs"/>
            </a:rPr>
            <a:t>/</a:t>
          </a:r>
          <a:r>
            <a:rPr lang="zh-CN" altLang="zh-CN" sz="900">
              <a:solidFill>
                <a:sysClr val="windowText" lastClr="000000"/>
              </a:solidFill>
              <a:effectLst/>
              <a:latin typeface="+mn-ea"/>
              <a:ea typeface="+mn-ea"/>
              <a:cs typeface="+mn-cs"/>
            </a:rPr>
            <a:t>亩，</a:t>
          </a:r>
          <a:r>
            <a:rPr lang="en-US" altLang="zh-CN" sz="900">
              <a:solidFill>
                <a:sysClr val="windowText" lastClr="000000"/>
              </a:solidFill>
              <a:effectLst/>
              <a:latin typeface="+mn-ea"/>
              <a:ea typeface="+mn-ea"/>
              <a:cs typeface="+mn-cs"/>
            </a:rPr>
            <a:t>10386</a:t>
          </a:r>
          <a:r>
            <a:rPr lang="zh-CN" altLang="zh-CN" sz="900">
              <a:solidFill>
                <a:sysClr val="windowText" lastClr="000000"/>
              </a:solidFill>
              <a:effectLst/>
              <a:latin typeface="+mn-ea"/>
              <a:ea typeface="+mn-ea"/>
              <a:cs typeface="+mn-cs"/>
            </a:rPr>
            <a:t>元</a:t>
          </a:r>
          <a:r>
            <a:rPr lang="en-US" altLang="zh-CN" sz="900">
              <a:solidFill>
                <a:sysClr val="windowText" lastClr="000000"/>
              </a:solidFill>
              <a:effectLst/>
              <a:latin typeface="+mn-ea"/>
              <a:ea typeface="+mn-ea"/>
              <a:cs typeface="+mn-cs"/>
            </a:rPr>
            <a:t>/</a:t>
          </a:r>
          <a:r>
            <a:rPr lang="zh-CN" altLang="zh-CN" sz="900">
              <a:solidFill>
                <a:sysClr val="windowText" lastClr="000000"/>
              </a:solidFill>
              <a:effectLst/>
              <a:latin typeface="+mn-ea"/>
              <a:ea typeface="+mn-ea"/>
              <a:cs typeface="+mn-cs"/>
            </a:rPr>
            <a:t>㎡，溢价</a:t>
          </a:r>
          <a:r>
            <a:rPr lang="en-US" altLang="zh-CN" sz="900">
              <a:solidFill>
                <a:sysClr val="windowText" lastClr="000000"/>
              </a:solidFill>
              <a:effectLst/>
              <a:latin typeface="+mn-ea"/>
              <a:ea typeface="+mn-ea"/>
              <a:cs typeface="+mn-cs"/>
            </a:rPr>
            <a:t>0%</a:t>
          </a:r>
          <a:r>
            <a:rPr lang="zh-CN" altLang="zh-CN" sz="900">
              <a:solidFill>
                <a:sysClr val="windowText" lastClr="000000"/>
              </a:solidFill>
              <a:effectLst/>
              <a:latin typeface="+mn-ea"/>
              <a:ea typeface="+mn-ea"/>
              <a:cs typeface="+mn-cs"/>
            </a:rPr>
            <a:t>，全部自持、</a:t>
          </a:r>
          <a:r>
            <a:rPr lang="en-US" altLang="zh-CN" sz="900">
              <a:solidFill>
                <a:sysClr val="windowText" lastClr="000000"/>
              </a:solidFill>
              <a:effectLst/>
              <a:latin typeface="+mn-ea"/>
              <a:ea typeface="+mn-ea"/>
              <a:cs typeface="+mn-cs"/>
            </a:rPr>
            <a:t>10</a:t>
          </a:r>
          <a:r>
            <a:rPr lang="zh-CN" altLang="zh-CN" sz="900">
              <a:solidFill>
                <a:sysClr val="windowText" lastClr="000000"/>
              </a:solidFill>
              <a:effectLst/>
              <a:latin typeface="+mn-ea"/>
              <a:ea typeface="+mn-ea"/>
              <a:cs typeface="+mn-cs"/>
            </a:rPr>
            <a:t>年</a:t>
          </a:r>
          <a:endParaRPr lang="en-US" altLang="zh-CN" sz="900">
            <a:solidFill>
              <a:sysClr val="windowText" lastClr="000000"/>
            </a:solidFill>
            <a:effectLst/>
            <a:latin typeface="+mn-ea"/>
            <a:ea typeface="+mn-ea"/>
            <a:cs typeface="+mn-cs"/>
          </a:endParaRPr>
        </a:p>
        <a:p>
          <a:endParaRPr lang="en-US" altLang="zh-CN" sz="900">
            <a:solidFill>
              <a:sysClr val="windowText" lastClr="000000"/>
            </a:solidFill>
            <a:effectLst/>
            <a:latin typeface="+mn-ea"/>
            <a:ea typeface="+mn-ea"/>
            <a:cs typeface="+mn-cs"/>
          </a:endParaRPr>
        </a:p>
        <a:p>
          <a:r>
            <a:rPr lang="zh-CN" altLang="zh-CN" sz="900" b="1">
              <a:solidFill>
                <a:sysClr val="windowText" lastClr="000000"/>
              </a:solidFill>
              <a:effectLst/>
              <a:latin typeface="+mn-ea"/>
              <a:ea typeface="+mn-ea"/>
              <a:cs typeface="+mn-cs"/>
            </a:rPr>
            <a:t>九龙坡区大杨石组团</a:t>
          </a:r>
          <a:r>
            <a:rPr lang="en-US" altLang="zh-CN" sz="900" b="1">
              <a:solidFill>
                <a:sysClr val="windowText" lastClr="000000"/>
              </a:solidFill>
              <a:effectLst/>
              <a:latin typeface="+mn-ea"/>
              <a:ea typeface="+mn-ea"/>
              <a:cs typeface="+mn-cs"/>
            </a:rPr>
            <a:t>G</a:t>
          </a:r>
          <a:r>
            <a:rPr lang="zh-CN" altLang="zh-CN" sz="900" b="1">
              <a:solidFill>
                <a:sysClr val="windowText" lastClr="000000"/>
              </a:solidFill>
              <a:effectLst/>
              <a:latin typeface="+mn-ea"/>
              <a:ea typeface="+mn-ea"/>
              <a:cs typeface="+mn-cs"/>
            </a:rPr>
            <a:t>分区</a:t>
          </a:r>
          <a:r>
            <a:rPr lang="en-US" altLang="zh-CN" sz="900" b="1">
              <a:solidFill>
                <a:sysClr val="windowText" lastClr="000000"/>
              </a:solidFill>
              <a:effectLst/>
              <a:latin typeface="+mn-ea"/>
              <a:ea typeface="+mn-ea"/>
              <a:cs typeface="+mn-cs"/>
            </a:rPr>
            <a:t>G13-8/03</a:t>
          </a:r>
          <a:r>
            <a:rPr lang="zh-CN" altLang="zh-CN" sz="900" b="1">
              <a:solidFill>
                <a:sysClr val="windowText" lastClr="000000"/>
              </a:solidFill>
              <a:effectLst/>
              <a:latin typeface="+mn-ea"/>
              <a:ea typeface="+mn-ea"/>
              <a:cs typeface="+mn-cs"/>
            </a:rPr>
            <a:t>号宗地（金鹏物业</a:t>
          </a:r>
          <a:r>
            <a:rPr lang="en-US" altLang="zh-CN" sz="900" b="1">
              <a:solidFill>
                <a:sysClr val="windowText" lastClr="000000"/>
              </a:solidFill>
              <a:effectLst/>
              <a:latin typeface="+mn-ea"/>
              <a:ea typeface="+mn-ea"/>
              <a:cs typeface="+mn-cs"/>
            </a:rPr>
            <a:t>-18</a:t>
          </a:r>
          <a:r>
            <a:rPr lang="zh-CN" altLang="zh-CN" sz="900" b="1">
              <a:solidFill>
                <a:sysClr val="windowText" lastClr="000000"/>
              </a:solidFill>
              <a:effectLst/>
              <a:latin typeface="+mn-ea"/>
              <a:ea typeface="+mn-ea"/>
              <a:cs typeface="+mn-cs"/>
            </a:rPr>
            <a:t>年）</a:t>
          </a:r>
          <a:endParaRPr lang="zh-CN" altLang="zh-CN" sz="900">
            <a:solidFill>
              <a:sysClr val="windowText" lastClr="000000"/>
            </a:solidFill>
            <a:effectLst/>
            <a:latin typeface="+mn-ea"/>
            <a:ea typeface="+mn-ea"/>
            <a:cs typeface="+mn-cs"/>
          </a:endParaRPr>
        </a:p>
        <a:p>
          <a:r>
            <a:rPr lang="en-US" altLang="zh-CN" sz="900">
              <a:solidFill>
                <a:sysClr val="windowText" lastClr="000000"/>
              </a:solidFill>
              <a:effectLst/>
              <a:latin typeface="+mn-ea"/>
              <a:ea typeface="+mn-ea"/>
              <a:cs typeface="+mn-cs"/>
            </a:rPr>
            <a:t>R4</a:t>
          </a:r>
          <a:r>
            <a:rPr lang="zh-CN" altLang="zh-CN" sz="900">
              <a:solidFill>
                <a:sysClr val="windowText" lastClr="000000"/>
              </a:solidFill>
              <a:effectLst/>
              <a:latin typeface="+mn-ea"/>
              <a:ea typeface="+mn-ea"/>
              <a:cs typeface="+mn-cs"/>
            </a:rPr>
            <a:t>，</a:t>
          </a:r>
          <a:r>
            <a:rPr lang="en-US" altLang="zh-CN" sz="900">
              <a:solidFill>
                <a:sysClr val="windowText" lastClr="000000"/>
              </a:solidFill>
              <a:effectLst/>
              <a:latin typeface="+mn-ea"/>
              <a:ea typeface="+mn-ea"/>
              <a:cs typeface="+mn-cs"/>
            </a:rPr>
            <a:t>1106</a:t>
          </a:r>
          <a:r>
            <a:rPr lang="zh-CN" altLang="zh-CN" sz="900">
              <a:solidFill>
                <a:sysClr val="windowText" lastClr="000000"/>
              </a:solidFill>
              <a:effectLst/>
              <a:latin typeface="+mn-ea"/>
              <a:ea typeface="+mn-ea"/>
              <a:cs typeface="+mn-cs"/>
            </a:rPr>
            <a:t>万元</a:t>
          </a:r>
          <a:r>
            <a:rPr lang="en-US" altLang="zh-CN" sz="900">
              <a:solidFill>
                <a:sysClr val="windowText" lastClr="000000"/>
              </a:solidFill>
              <a:effectLst/>
              <a:latin typeface="+mn-ea"/>
              <a:ea typeface="+mn-ea"/>
              <a:cs typeface="+mn-cs"/>
            </a:rPr>
            <a:t>/</a:t>
          </a:r>
          <a:r>
            <a:rPr lang="zh-CN" altLang="zh-CN" sz="900">
              <a:solidFill>
                <a:sysClr val="windowText" lastClr="000000"/>
              </a:solidFill>
              <a:effectLst/>
              <a:latin typeface="+mn-ea"/>
              <a:ea typeface="+mn-ea"/>
              <a:cs typeface="+mn-cs"/>
            </a:rPr>
            <a:t>亩，</a:t>
          </a:r>
          <a:r>
            <a:rPr lang="en-US" altLang="zh-CN" sz="900">
              <a:solidFill>
                <a:sysClr val="windowText" lastClr="000000"/>
              </a:solidFill>
              <a:effectLst/>
              <a:latin typeface="+mn-ea"/>
              <a:ea typeface="+mn-ea"/>
              <a:cs typeface="+mn-cs"/>
            </a:rPr>
            <a:t>4148</a:t>
          </a:r>
          <a:r>
            <a:rPr lang="zh-CN" altLang="zh-CN" sz="900">
              <a:solidFill>
                <a:sysClr val="windowText" lastClr="000000"/>
              </a:solidFill>
              <a:effectLst/>
              <a:latin typeface="+mn-ea"/>
              <a:ea typeface="+mn-ea"/>
              <a:cs typeface="+mn-cs"/>
            </a:rPr>
            <a:t>元</a:t>
          </a:r>
          <a:r>
            <a:rPr lang="en-US" altLang="zh-CN" sz="900">
              <a:solidFill>
                <a:sysClr val="windowText" lastClr="000000"/>
              </a:solidFill>
              <a:effectLst/>
              <a:latin typeface="+mn-ea"/>
              <a:ea typeface="+mn-ea"/>
              <a:cs typeface="+mn-cs"/>
            </a:rPr>
            <a:t>/</a:t>
          </a:r>
          <a:r>
            <a:rPr lang="zh-CN" altLang="zh-CN" sz="900">
              <a:solidFill>
                <a:sysClr val="windowText" lastClr="000000"/>
              </a:solidFill>
              <a:effectLst/>
              <a:latin typeface="+mn-ea"/>
              <a:ea typeface="+mn-ea"/>
              <a:cs typeface="+mn-cs"/>
            </a:rPr>
            <a:t>㎡，溢价</a:t>
          </a:r>
          <a:r>
            <a:rPr lang="en-US" altLang="zh-CN" sz="900">
              <a:solidFill>
                <a:sysClr val="windowText" lastClr="000000"/>
              </a:solidFill>
              <a:effectLst/>
              <a:latin typeface="+mn-ea"/>
              <a:ea typeface="+mn-ea"/>
              <a:cs typeface="+mn-cs"/>
            </a:rPr>
            <a:t>9%</a:t>
          </a:r>
          <a:r>
            <a:rPr lang="zh-CN" altLang="zh-CN" sz="900">
              <a:solidFill>
                <a:sysClr val="windowText" lastClr="000000"/>
              </a:solidFill>
              <a:effectLst/>
              <a:latin typeface="+mn-ea"/>
              <a:ea typeface="+mn-ea"/>
              <a:cs typeface="+mn-cs"/>
            </a:rPr>
            <a:t>，自持</a:t>
          </a:r>
          <a:r>
            <a:rPr lang="en-US" altLang="zh-CN" sz="900">
              <a:solidFill>
                <a:sysClr val="windowText" lastClr="000000"/>
              </a:solidFill>
              <a:effectLst/>
              <a:latin typeface="+mn-ea"/>
              <a:ea typeface="+mn-ea"/>
              <a:cs typeface="+mn-cs"/>
            </a:rPr>
            <a:t>30%</a:t>
          </a:r>
          <a:r>
            <a:rPr lang="zh-CN" altLang="zh-CN" sz="900">
              <a:solidFill>
                <a:sysClr val="windowText" lastClr="000000"/>
              </a:solidFill>
              <a:effectLst/>
              <a:latin typeface="+mn-ea"/>
              <a:ea typeface="+mn-ea"/>
              <a:cs typeface="+mn-cs"/>
            </a:rPr>
            <a:t>、</a:t>
          </a:r>
          <a:r>
            <a:rPr lang="en-US" altLang="zh-CN" sz="900">
              <a:solidFill>
                <a:sysClr val="windowText" lastClr="000000"/>
              </a:solidFill>
              <a:effectLst/>
              <a:latin typeface="+mn-ea"/>
              <a:ea typeface="+mn-ea"/>
              <a:cs typeface="+mn-cs"/>
            </a:rPr>
            <a:t>10</a:t>
          </a:r>
          <a:r>
            <a:rPr lang="zh-CN" altLang="zh-CN" sz="900">
              <a:solidFill>
                <a:sysClr val="windowText" lastClr="000000"/>
              </a:solidFill>
              <a:effectLst/>
              <a:latin typeface="+mn-ea"/>
              <a:ea typeface="+mn-ea"/>
              <a:cs typeface="+mn-cs"/>
            </a:rPr>
            <a:t>年</a:t>
          </a:r>
          <a:endParaRPr lang="en-US" altLang="zh-CN" sz="900">
            <a:solidFill>
              <a:sysClr val="windowText" lastClr="000000"/>
            </a:solidFill>
            <a:effectLst/>
            <a:latin typeface="+mn-ea"/>
            <a:ea typeface="+mn-ea"/>
            <a:cs typeface="+mn-cs"/>
          </a:endParaRPr>
        </a:p>
        <a:p>
          <a:endParaRPr lang="en-US" altLang="zh-CN" sz="900">
            <a:solidFill>
              <a:sysClr val="windowText" lastClr="000000"/>
            </a:solidFill>
            <a:effectLst/>
            <a:latin typeface="+mn-ea"/>
            <a:ea typeface="+mn-ea"/>
            <a:cs typeface="+mn-cs"/>
          </a:endParaRPr>
        </a:p>
        <a:p>
          <a:r>
            <a:rPr lang="zh-CN" altLang="zh-CN" sz="900" b="1" u="sng">
              <a:solidFill>
                <a:sysClr val="windowText" lastClr="000000"/>
              </a:solidFill>
              <a:effectLst/>
              <a:latin typeface="+mn-ea"/>
              <a:ea typeface="+mn-ea"/>
              <a:cs typeface="+mn-cs"/>
            </a:rPr>
            <a:t>九龙坡区大杨石组团</a:t>
          </a:r>
          <a:r>
            <a:rPr lang="en-US" altLang="zh-CN" sz="900" b="1" u="sng">
              <a:solidFill>
                <a:sysClr val="windowText" lastClr="000000"/>
              </a:solidFill>
              <a:effectLst/>
              <a:latin typeface="+mn-ea"/>
              <a:ea typeface="+mn-ea"/>
              <a:cs typeface="+mn-cs"/>
            </a:rPr>
            <a:t>H</a:t>
          </a:r>
          <a:r>
            <a:rPr lang="zh-CN" altLang="zh-CN" sz="900" b="1" u="sng">
              <a:solidFill>
                <a:sysClr val="windowText" lastClr="000000"/>
              </a:solidFill>
              <a:effectLst/>
              <a:latin typeface="+mn-ea"/>
              <a:ea typeface="+mn-ea"/>
              <a:cs typeface="+mn-cs"/>
            </a:rPr>
            <a:t>分区</a:t>
          </a:r>
          <a:r>
            <a:rPr lang="en-US" altLang="zh-CN" sz="900" b="1" u="sng">
              <a:solidFill>
                <a:sysClr val="windowText" lastClr="000000"/>
              </a:solidFill>
              <a:effectLst/>
              <a:latin typeface="+mn-ea"/>
              <a:ea typeface="+mn-ea"/>
              <a:cs typeface="+mn-cs"/>
            </a:rPr>
            <a:t>H10-2/02</a:t>
          </a:r>
          <a:r>
            <a:rPr lang="zh-CN" altLang="zh-CN" sz="900" b="1" u="sng">
              <a:solidFill>
                <a:sysClr val="windowText" lastClr="000000"/>
              </a:solidFill>
              <a:effectLst/>
              <a:latin typeface="+mn-ea"/>
              <a:ea typeface="+mn-ea"/>
              <a:cs typeface="+mn-cs"/>
            </a:rPr>
            <a:t>号宗地（华硕电脑</a:t>
          </a:r>
          <a:r>
            <a:rPr lang="en-US" altLang="zh-CN" sz="900" b="1" u="sng">
              <a:solidFill>
                <a:sysClr val="windowText" lastClr="000000"/>
              </a:solidFill>
              <a:effectLst/>
              <a:latin typeface="+mn-ea"/>
              <a:ea typeface="+mn-ea"/>
              <a:cs typeface="+mn-cs"/>
            </a:rPr>
            <a:t>-17</a:t>
          </a:r>
          <a:r>
            <a:rPr lang="zh-CN" altLang="zh-CN" sz="900" b="1" u="sng">
              <a:solidFill>
                <a:sysClr val="windowText" lastClr="000000"/>
              </a:solidFill>
              <a:effectLst/>
              <a:latin typeface="+mn-ea"/>
              <a:ea typeface="+mn-ea"/>
              <a:cs typeface="+mn-cs"/>
            </a:rPr>
            <a:t>年）</a:t>
          </a:r>
          <a:endParaRPr lang="zh-CN" altLang="zh-CN" sz="900" u="sng">
            <a:solidFill>
              <a:sysClr val="windowText" lastClr="000000"/>
            </a:solidFill>
            <a:effectLst/>
            <a:latin typeface="+mn-ea"/>
            <a:ea typeface="+mn-ea"/>
            <a:cs typeface="+mn-cs"/>
          </a:endParaRPr>
        </a:p>
        <a:p>
          <a:r>
            <a:rPr lang="en-US" altLang="zh-CN" sz="900" u="sng">
              <a:solidFill>
                <a:sysClr val="windowText" lastClr="000000"/>
              </a:solidFill>
              <a:effectLst/>
              <a:latin typeface="+mn-ea"/>
              <a:ea typeface="+mn-ea"/>
              <a:cs typeface="+mn-cs"/>
            </a:rPr>
            <a:t>R6</a:t>
          </a:r>
          <a:r>
            <a:rPr lang="zh-CN" altLang="zh-CN" sz="900" u="sng">
              <a:solidFill>
                <a:sysClr val="windowText" lastClr="000000"/>
              </a:solidFill>
              <a:effectLst/>
              <a:latin typeface="+mn-ea"/>
              <a:ea typeface="+mn-ea"/>
              <a:cs typeface="+mn-cs"/>
            </a:rPr>
            <a:t>，</a:t>
          </a:r>
          <a:r>
            <a:rPr lang="en-US" altLang="zh-CN" sz="900" u="sng">
              <a:solidFill>
                <a:sysClr val="windowText" lastClr="000000"/>
              </a:solidFill>
              <a:effectLst/>
              <a:latin typeface="+mn-ea"/>
              <a:ea typeface="+mn-ea"/>
              <a:cs typeface="+mn-cs"/>
            </a:rPr>
            <a:t>1777</a:t>
          </a:r>
          <a:r>
            <a:rPr lang="zh-CN" altLang="zh-CN" sz="900" u="sng">
              <a:solidFill>
                <a:sysClr val="windowText" lastClr="000000"/>
              </a:solidFill>
              <a:effectLst/>
              <a:latin typeface="+mn-ea"/>
              <a:ea typeface="+mn-ea"/>
              <a:cs typeface="+mn-cs"/>
            </a:rPr>
            <a:t>万元</a:t>
          </a:r>
          <a:r>
            <a:rPr lang="en-US" altLang="zh-CN" sz="900" u="sng">
              <a:solidFill>
                <a:sysClr val="windowText" lastClr="000000"/>
              </a:solidFill>
              <a:effectLst/>
              <a:latin typeface="+mn-ea"/>
              <a:ea typeface="+mn-ea"/>
              <a:cs typeface="+mn-cs"/>
            </a:rPr>
            <a:t>/</a:t>
          </a:r>
          <a:r>
            <a:rPr lang="zh-CN" altLang="zh-CN" sz="900" u="sng">
              <a:solidFill>
                <a:sysClr val="windowText" lastClr="000000"/>
              </a:solidFill>
              <a:effectLst/>
              <a:latin typeface="+mn-ea"/>
              <a:ea typeface="+mn-ea"/>
              <a:cs typeface="+mn-cs"/>
            </a:rPr>
            <a:t>亩，</a:t>
          </a:r>
          <a:r>
            <a:rPr lang="en-US" altLang="zh-CN" sz="900" u="sng">
              <a:solidFill>
                <a:sysClr val="windowText" lastClr="000000"/>
              </a:solidFill>
              <a:effectLst/>
              <a:latin typeface="+mn-ea"/>
              <a:ea typeface="+mn-ea"/>
              <a:cs typeface="+mn-cs"/>
            </a:rPr>
            <a:t>4443</a:t>
          </a:r>
          <a:r>
            <a:rPr lang="zh-CN" altLang="zh-CN" sz="900" u="sng">
              <a:solidFill>
                <a:sysClr val="windowText" lastClr="000000"/>
              </a:solidFill>
              <a:effectLst/>
              <a:latin typeface="+mn-ea"/>
              <a:ea typeface="+mn-ea"/>
              <a:cs typeface="+mn-cs"/>
            </a:rPr>
            <a:t>元</a:t>
          </a:r>
          <a:r>
            <a:rPr lang="en-US" altLang="zh-CN" sz="900" u="sng">
              <a:solidFill>
                <a:sysClr val="windowText" lastClr="000000"/>
              </a:solidFill>
              <a:effectLst/>
              <a:latin typeface="+mn-ea"/>
              <a:ea typeface="+mn-ea"/>
              <a:cs typeface="+mn-cs"/>
            </a:rPr>
            <a:t>/</a:t>
          </a:r>
          <a:r>
            <a:rPr lang="zh-CN" altLang="zh-CN" sz="900" u="sng">
              <a:solidFill>
                <a:sysClr val="windowText" lastClr="000000"/>
              </a:solidFill>
              <a:effectLst/>
              <a:latin typeface="+mn-ea"/>
              <a:ea typeface="+mn-ea"/>
              <a:cs typeface="+mn-cs"/>
            </a:rPr>
            <a:t>㎡，溢价</a:t>
          </a:r>
          <a:r>
            <a:rPr lang="en-US" altLang="zh-CN" sz="900" u="sng">
              <a:solidFill>
                <a:sysClr val="windowText" lastClr="000000"/>
              </a:solidFill>
              <a:effectLst/>
              <a:latin typeface="+mn-ea"/>
              <a:ea typeface="+mn-ea"/>
              <a:cs typeface="+mn-cs"/>
            </a:rPr>
            <a:t>0%</a:t>
          </a:r>
          <a:endParaRPr lang="zh-CN" altLang="zh-CN" sz="900" u="sng">
            <a:solidFill>
              <a:sysClr val="windowText" lastClr="000000"/>
            </a:solidFill>
            <a:effectLst/>
            <a:latin typeface="+mn-ea"/>
            <a:ea typeface="+mn-ea"/>
            <a:cs typeface="+mn-cs"/>
          </a:endParaRPr>
        </a:p>
        <a:p>
          <a:endParaRPr lang="zh-CN" altLang="zh-CN" sz="900">
            <a:solidFill>
              <a:sysClr val="windowText" lastClr="000000"/>
            </a:solidFill>
            <a:effectLst/>
            <a:latin typeface="+mn-ea"/>
            <a:ea typeface="+mn-ea"/>
            <a:cs typeface="+mn-cs"/>
          </a:endParaRPr>
        </a:p>
      </xdr:txBody>
    </xdr:sp>
    <xdr:clientData/>
  </xdr:twoCellAnchor>
  <xdr:twoCellAnchor>
    <xdr:from>
      <xdr:col>1</xdr:col>
      <xdr:colOff>123825</xdr:colOff>
      <xdr:row>38</xdr:row>
      <xdr:rowOff>47625</xdr:rowOff>
    </xdr:from>
    <xdr:to>
      <xdr:col>3</xdr:col>
      <xdr:colOff>457200</xdr:colOff>
      <xdr:row>43</xdr:row>
      <xdr:rowOff>66674</xdr:rowOff>
    </xdr:to>
    <xdr:sp macro="" textlink="">
      <xdr:nvSpPr>
        <xdr:cNvPr id="16" name="矩形标注 15"/>
        <xdr:cNvSpPr/>
      </xdr:nvSpPr>
      <xdr:spPr>
        <a:xfrm>
          <a:off x="971550" y="6486525"/>
          <a:ext cx="2028825" cy="876299"/>
        </a:xfrm>
        <a:prstGeom prst="wedgeRectCallout">
          <a:avLst>
            <a:gd name="adj1" fmla="val 66715"/>
            <a:gd name="adj2" fmla="val 5669"/>
          </a:avLst>
        </a:prstGeom>
        <a:solidFill>
          <a:schemeClr val="bg1"/>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zh-CN" sz="900" b="1">
              <a:solidFill>
                <a:sysClr val="windowText" lastClr="000000"/>
              </a:solidFill>
              <a:effectLst/>
              <a:latin typeface="+mn-ea"/>
              <a:ea typeface="+mn-ea"/>
              <a:cs typeface="+mn-cs"/>
            </a:rPr>
            <a:t>沙坪坝区沙坪坝组团</a:t>
          </a:r>
          <a:r>
            <a:rPr lang="en-US" altLang="zh-CN" sz="900" b="1">
              <a:solidFill>
                <a:sysClr val="windowText" lastClr="000000"/>
              </a:solidFill>
              <a:effectLst/>
              <a:latin typeface="+mn-ea"/>
              <a:ea typeface="+mn-ea"/>
              <a:cs typeface="+mn-cs"/>
            </a:rPr>
            <a:t>F</a:t>
          </a:r>
          <a:r>
            <a:rPr lang="zh-CN" altLang="zh-CN" sz="900" b="1">
              <a:solidFill>
                <a:sysClr val="windowText" lastClr="000000"/>
              </a:solidFill>
              <a:effectLst/>
              <a:latin typeface="+mn-ea"/>
              <a:ea typeface="+mn-ea"/>
              <a:cs typeface="+mn-cs"/>
            </a:rPr>
            <a:t>分区</a:t>
          </a:r>
          <a:r>
            <a:rPr lang="en-US" altLang="zh-CN" sz="900" b="1">
              <a:solidFill>
                <a:sysClr val="windowText" lastClr="000000"/>
              </a:solidFill>
              <a:effectLst/>
              <a:latin typeface="+mn-ea"/>
              <a:ea typeface="+mn-ea"/>
              <a:cs typeface="+mn-cs"/>
            </a:rPr>
            <a:t>F6-1/01</a:t>
          </a:r>
          <a:r>
            <a:rPr lang="zh-CN" altLang="zh-CN" sz="900" b="1">
              <a:solidFill>
                <a:sysClr val="windowText" lastClr="000000"/>
              </a:solidFill>
              <a:effectLst/>
              <a:latin typeface="+mn-ea"/>
              <a:ea typeface="+mn-ea"/>
              <a:cs typeface="+mn-cs"/>
            </a:rPr>
            <a:t>、</a:t>
          </a:r>
          <a:r>
            <a:rPr lang="en-US" altLang="zh-CN" sz="900" b="1">
              <a:solidFill>
                <a:sysClr val="windowText" lastClr="000000"/>
              </a:solidFill>
              <a:effectLst/>
              <a:latin typeface="+mn-ea"/>
              <a:ea typeface="+mn-ea"/>
              <a:cs typeface="+mn-cs"/>
            </a:rPr>
            <a:t>F7/01</a:t>
          </a:r>
          <a:r>
            <a:rPr lang="zh-CN" altLang="zh-CN" sz="900" b="1">
              <a:solidFill>
                <a:sysClr val="windowText" lastClr="000000"/>
              </a:solidFill>
              <a:effectLst/>
              <a:latin typeface="+mn-ea"/>
              <a:ea typeface="+mn-ea"/>
              <a:cs typeface="+mn-cs"/>
            </a:rPr>
            <a:t>号宗地（旭辉</a:t>
          </a:r>
          <a:r>
            <a:rPr lang="en-US" altLang="zh-CN" sz="900" b="1">
              <a:solidFill>
                <a:sysClr val="windowText" lastClr="000000"/>
              </a:solidFill>
              <a:effectLst/>
              <a:latin typeface="+mn-ea"/>
              <a:ea typeface="+mn-ea"/>
              <a:cs typeface="+mn-cs"/>
            </a:rPr>
            <a:t>-18</a:t>
          </a:r>
          <a:r>
            <a:rPr lang="zh-CN" altLang="zh-CN" sz="900" b="1">
              <a:solidFill>
                <a:sysClr val="windowText" lastClr="000000"/>
              </a:solidFill>
              <a:effectLst/>
              <a:latin typeface="+mn-ea"/>
              <a:ea typeface="+mn-ea"/>
              <a:cs typeface="+mn-cs"/>
            </a:rPr>
            <a:t>年）</a:t>
          </a:r>
          <a:endParaRPr lang="zh-CN" altLang="zh-CN" sz="900">
            <a:solidFill>
              <a:sysClr val="windowText" lastClr="000000"/>
            </a:solidFill>
            <a:effectLst/>
            <a:latin typeface="+mn-ea"/>
            <a:ea typeface="+mn-ea"/>
            <a:cs typeface="+mn-cs"/>
          </a:endParaRPr>
        </a:p>
        <a:p>
          <a:r>
            <a:rPr lang="en-US" altLang="zh-CN" sz="900">
              <a:solidFill>
                <a:sysClr val="windowText" lastClr="000000"/>
              </a:solidFill>
              <a:effectLst/>
              <a:latin typeface="+mn-ea"/>
              <a:ea typeface="+mn-ea"/>
              <a:cs typeface="+mn-cs"/>
            </a:rPr>
            <a:t>R3.26</a:t>
          </a:r>
          <a:r>
            <a:rPr lang="zh-CN" altLang="zh-CN" sz="900">
              <a:solidFill>
                <a:sysClr val="windowText" lastClr="000000"/>
              </a:solidFill>
              <a:effectLst/>
              <a:latin typeface="+mn-ea"/>
              <a:ea typeface="+mn-ea"/>
              <a:cs typeface="+mn-cs"/>
            </a:rPr>
            <a:t>，</a:t>
          </a:r>
          <a:r>
            <a:rPr lang="en-US" altLang="zh-CN" sz="900">
              <a:solidFill>
                <a:sysClr val="windowText" lastClr="000000"/>
              </a:solidFill>
              <a:effectLst/>
              <a:latin typeface="+mn-ea"/>
              <a:ea typeface="+mn-ea"/>
              <a:cs typeface="+mn-cs"/>
            </a:rPr>
            <a:t>1667</a:t>
          </a:r>
          <a:r>
            <a:rPr lang="zh-CN" altLang="zh-CN" sz="900">
              <a:solidFill>
                <a:sysClr val="windowText" lastClr="000000"/>
              </a:solidFill>
              <a:effectLst/>
              <a:latin typeface="+mn-ea"/>
              <a:ea typeface="+mn-ea"/>
              <a:cs typeface="+mn-cs"/>
            </a:rPr>
            <a:t>万元</a:t>
          </a:r>
          <a:r>
            <a:rPr lang="en-US" altLang="zh-CN" sz="900">
              <a:solidFill>
                <a:sysClr val="windowText" lastClr="000000"/>
              </a:solidFill>
              <a:effectLst/>
              <a:latin typeface="+mn-ea"/>
              <a:ea typeface="+mn-ea"/>
              <a:cs typeface="+mn-cs"/>
            </a:rPr>
            <a:t>/</a:t>
          </a:r>
          <a:r>
            <a:rPr lang="zh-CN" altLang="zh-CN" sz="900">
              <a:solidFill>
                <a:sysClr val="windowText" lastClr="000000"/>
              </a:solidFill>
              <a:effectLst/>
              <a:latin typeface="+mn-ea"/>
              <a:ea typeface="+mn-ea"/>
              <a:cs typeface="+mn-cs"/>
            </a:rPr>
            <a:t>亩，</a:t>
          </a:r>
          <a:r>
            <a:rPr lang="en-US" altLang="zh-CN" sz="900">
              <a:solidFill>
                <a:sysClr val="windowText" lastClr="000000"/>
              </a:solidFill>
              <a:effectLst/>
              <a:latin typeface="+mn-ea"/>
              <a:ea typeface="+mn-ea"/>
              <a:cs typeface="+mn-cs"/>
            </a:rPr>
            <a:t>7649</a:t>
          </a:r>
          <a:r>
            <a:rPr lang="zh-CN" altLang="zh-CN" sz="900">
              <a:solidFill>
                <a:sysClr val="windowText" lastClr="000000"/>
              </a:solidFill>
              <a:effectLst/>
              <a:latin typeface="+mn-ea"/>
              <a:ea typeface="+mn-ea"/>
              <a:cs typeface="+mn-cs"/>
            </a:rPr>
            <a:t>元</a:t>
          </a:r>
          <a:r>
            <a:rPr lang="en-US" altLang="zh-CN" sz="900">
              <a:solidFill>
                <a:sysClr val="windowText" lastClr="000000"/>
              </a:solidFill>
              <a:effectLst/>
              <a:latin typeface="+mn-ea"/>
              <a:ea typeface="+mn-ea"/>
              <a:cs typeface="+mn-cs"/>
            </a:rPr>
            <a:t>/</a:t>
          </a:r>
          <a:r>
            <a:rPr lang="zh-CN" altLang="zh-CN" sz="900">
              <a:solidFill>
                <a:sysClr val="windowText" lastClr="000000"/>
              </a:solidFill>
              <a:effectLst/>
              <a:latin typeface="+mn-ea"/>
              <a:ea typeface="+mn-ea"/>
              <a:cs typeface="+mn-cs"/>
            </a:rPr>
            <a:t>㎡，溢价</a:t>
          </a:r>
          <a:r>
            <a:rPr lang="en-US" altLang="zh-CN" sz="900">
              <a:solidFill>
                <a:sysClr val="windowText" lastClr="000000"/>
              </a:solidFill>
              <a:effectLst/>
              <a:latin typeface="+mn-ea"/>
              <a:ea typeface="+mn-ea"/>
              <a:cs typeface="+mn-cs"/>
            </a:rPr>
            <a:t>52%</a:t>
          </a:r>
        </a:p>
        <a:p>
          <a:r>
            <a:rPr lang="zh-CN" altLang="en-US" sz="900" b="1">
              <a:solidFill>
                <a:sysClr val="windowText" lastClr="000000"/>
              </a:solidFill>
              <a:latin typeface="+mn-ea"/>
              <a:ea typeface="+mn-ea"/>
            </a:rPr>
            <a:t>金沙玖悦</a:t>
          </a:r>
          <a:r>
            <a:rPr lang="en-US" altLang="zh-CN" sz="900" b="1">
              <a:solidFill>
                <a:sysClr val="windowText" lastClr="000000"/>
              </a:solidFill>
              <a:latin typeface="+mn-ea"/>
              <a:ea typeface="+mn-ea"/>
            </a:rPr>
            <a:t>-</a:t>
          </a:r>
          <a:r>
            <a:rPr lang="zh-CN" altLang="en-US" sz="900" b="1">
              <a:solidFill>
                <a:sysClr val="windowText" lastClr="000000"/>
              </a:solidFill>
              <a:latin typeface="+mn-ea"/>
              <a:ea typeface="+mn-ea"/>
            </a:rPr>
            <a:t>建面</a:t>
          </a:r>
          <a:r>
            <a:rPr lang="en-US" altLang="zh-CN" sz="900" b="1">
              <a:solidFill>
                <a:sysClr val="windowText" lastClr="000000"/>
              </a:solidFill>
              <a:latin typeface="+mn-ea"/>
              <a:ea typeface="+mn-ea"/>
            </a:rPr>
            <a:t>15000</a:t>
          </a:r>
          <a:r>
            <a:rPr lang="zh-CN" altLang="en-US" sz="900" b="1">
              <a:solidFill>
                <a:sysClr val="windowText" lastClr="000000"/>
              </a:solidFill>
              <a:latin typeface="+mn-ea"/>
              <a:ea typeface="+mn-ea"/>
            </a:rPr>
            <a:t>元</a:t>
          </a:r>
          <a:r>
            <a:rPr lang="en-US" altLang="zh-CN" sz="900" b="1">
              <a:solidFill>
                <a:sysClr val="windowText" lastClr="000000"/>
              </a:solidFill>
              <a:latin typeface="+mn-ea"/>
              <a:ea typeface="+mn-ea"/>
            </a:rPr>
            <a:t>/</a:t>
          </a:r>
          <a:r>
            <a:rPr lang="zh-CN" altLang="en-US" sz="900" b="1">
              <a:solidFill>
                <a:sysClr val="windowText" lastClr="000000"/>
              </a:solidFill>
              <a:latin typeface="+mn-ea"/>
              <a:ea typeface="+mn-ea"/>
            </a:rPr>
            <a:t>平方米</a:t>
          </a:r>
        </a:p>
        <a:p>
          <a:endParaRPr lang="zh-CN" altLang="en-US" sz="900">
            <a:solidFill>
              <a:sysClr val="windowText" lastClr="000000"/>
            </a:solidFill>
            <a:latin typeface="+mn-ea"/>
            <a:ea typeface="+mn-ea"/>
          </a:endParaRPr>
        </a:p>
      </xdr:txBody>
    </xdr:sp>
    <xdr:clientData/>
  </xdr:twoCellAnchor>
  <xdr:twoCellAnchor>
    <xdr:from>
      <xdr:col>1</xdr:col>
      <xdr:colOff>122465</xdr:colOff>
      <xdr:row>43</xdr:row>
      <xdr:rowOff>19048</xdr:rowOff>
    </xdr:from>
    <xdr:to>
      <xdr:col>3</xdr:col>
      <xdr:colOff>455840</xdr:colOff>
      <xdr:row>52</xdr:row>
      <xdr:rowOff>76199</xdr:rowOff>
    </xdr:to>
    <xdr:sp macro="" textlink="">
      <xdr:nvSpPr>
        <xdr:cNvPr id="17" name="矩形标注 16"/>
        <xdr:cNvSpPr/>
      </xdr:nvSpPr>
      <xdr:spPr>
        <a:xfrm>
          <a:off x="970190" y="7315198"/>
          <a:ext cx="2028825" cy="1600201"/>
        </a:xfrm>
        <a:prstGeom prst="wedgeRectCallout">
          <a:avLst>
            <a:gd name="adj1" fmla="val 129157"/>
            <a:gd name="adj2" fmla="val -28809"/>
          </a:avLst>
        </a:prstGeom>
        <a:solidFill>
          <a:schemeClr val="bg1"/>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zh-CN" sz="900" b="1">
              <a:solidFill>
                <a:sysClr val="windowText" lastClr="000000"/>
              </a:solidFill>
              <a:effectLst/>
              <a:latin typeface="+mn-ea"/>
              <a:ea typeface="+mn-ea"/>
              <a:cs typeface="+mn-cs"/>
            </a:rPr>
            <a:t>渝中区大杨石组团黄荆社分区</a:t>
          </a:r>
          <a:r>
            <a:rPr lang="en-US" altLang="zh-CN" sz="900" b="1">
              <a:solidFill>
                <a:sysClr val="windowText" lastClr="000000"/>
              </a:solidFill>
              <a:effectLst/>
              <a:latin typeface="+mn-ea"/>
              <a:ea typeface="+mn-ea"/>
              <a:cs typeface="+mn-cs"/>
            </a:rPr>
            <a:t>2-5-1/04</a:t>
          </a:r>
          <a:r>
            <a:rPr lang="zh-CN" altLang="zh-CN" sz="900" b="1">
              <a:solidFill>
                <a:sysClr val="windowText" lastClr="000000"/>
              </a:solidFill>
              <a:effectLst/>
              <a:latin typeface="+mn-ea"/>
              <a:ea typeface="+mn-ea"/>
              <a:cs typeface="+mn-cs"/>
            </a:rPr>
            <a:t>号宗地（中海</a:t>
          </a:r>
          <a:r>
            <a:rPr lang="en-US" altLang="zh-CN" sz="900" b="1">
              <a:solidFill>
                <a:sysClr val="windowText" lastClr="000000"/>
              </a:solidFill>
              <a:effectLst/>
              <a:latin typeface="+mn-ea"/>
              <a:ea typeface="+mn-ea"/>
              <a:cs typeface="+mn-cs"/>
            </a:rPr>
            <a:t>-17</a:t>
          </a:r>
          <a:r>
            <a:rPr lang="zh-CN" altLang="zh-CN" sz="900" b="1">
              <a:solidFill>
                <a:sysClr val="windowText" lastClr="000000"/>
              </a:solidFill>
              <a:effectLst/>
              <a:latin typeface="+mn-ea"/>
              <a:ea typeface="+mn-ea"/>
              <a:cs typeface="+mn-cs"/>
            </a:rPr>
            <a:t>年）</a:t>
          </a:r>
          <a:endParaRPr lang="zh-CN" altLang="zh-CN" sz="900">
            <a:solidFill>
              <a:sysClr val="windowText" lastClr="000000"/>
            </a:solidFill>
            <a:effectLst/>
            <a:latin typeface="+mn-ea"/>
            <a:ea typeface="+mn-ea"/>
            <a:cs typeface="+mn-cs"/>
          </a:endParaRPr>
        </a:p>
        <a:p>
          <a:r>
            <a:rPr lang="en-US" altLang="zh-CN" sz="900">
              <a:solidFill>
                <a:sysClr val="windowText" lastClr="000000"/>
              </a:solidFill>
              <a:effectLst/>
              <a:latin typeface="+mn-ea"/>
              <a:ea typeface="+mn-ea"/>
              <a:cs typeface="+mn-cs"/>
            </a:rPr>
            <a:t>R4.5</a:t>
          </a:r>
          <a:r>
            <a:rPr lang="zh-CN" altLang="zh-CN" sz="900">
              <a:solidFill>
                <a:sysClr val="windowText" lastClr="000000"/>
              </a:solidFill>
              <a:effectLst/>
              <a:latin typeface="+mn-ea"/>
              <a:ea typeface="+mn-ea"/>
              <a:cs typeface="+mn-cs"/>
            </a:rPr>
            <a:t>，</a:t>
          </a:r>
          <a:r>
            <a:rPr lang="en-US" altLang="zh-CN" sz="900">
              <a:solidFill>
                <a:sysClr val="windowText" lastClr="000000"/>
              </a:solidFill>
              <a:effectLst/>
              <a:latin typeface="+mn-ea"/>
              <a:ea typeface="+mn-ea"/>
              <a:cs typeface="+mn-cs"/>
            </a:rPr>
            <a:t>3015</a:t>
          </a:r>
          <a:r>
            <a:rPr lang="zh-CN" altLang="zh-CN" sz="900">
              <a:solidFill>
                <a:sysClr val="windowText" lastClr="000000"/>
              </a:solidFill>
              <a:effectLst/>
              <a:latin typeface="+mn-ea"/>
              <a:ea typeface="+mn-ea"/>
              <a:cs typeface="+mn-cs"/>
            </a:rPr>
            <a:t>万元</a:t>
          </a:r>
          <a:r>
            <a:rPr lang="en-US" altLang="zh-CN" sz="900">
              <a:solidFill>
                <a:sysClr val="windowText" lastClr="000000"/>
              </a:solidFill>
              <a:effectLst/>
              <a:latin typeface="+mn-ea"/>
              <a:ea typeface="+mn-ea"/>
              <a:cs typeface="+mn-cs"/>
            </a:rPr>
            <a:t>/</a:t>
          </a:r>
          <a:r>
            <a:rPr lang="zh-CN" altLang="zh-CN" sz="900">
              <a:solidFill>
                <a:sysClr val="windowText" lastClr="000000"/>
              </a:solidFill>
              <a:effectLst/>
              <a:latin typeface="+mn-ea"/>
              <a:ea typeface="+mn-ea"/>
              <a:cs typeface="+mn-cs"/>
            </a:rPr>
            <a:t>亩，</a:t>
          </a:r>
          <a:r>
            <a:rPr lang="en-US" altLang="zh-CN" sz="900">
              <a:solidFill>
                <a:sysClr val="windowText" lastClr="000000"/>
              </a:solidFill>
              <a:effectLst/>
              <a:latin typeface="+mn-ea"/>
              <a:ea typeface="+mn-ea"/>
              <a:cs typeface="+mn-cs"/>
            </a:rPr>
            <a:t>10052</a:t>
          </a:r>
          <a:r>
            <a:rPr lang="zh-CN" altLang="zh-CN" sz="900">
              <a:solidFill>
                <a:sysClr val="windowText" lastClr="000000"/>
              </a:solidFill>
              <a:effectLst/>
              <a:latin typeface="+mn-ea"/>
              <a:ea typeface="+mn-ea"/>
              <a:cs typeface="+mn-cs"/>
            </a:rPr>
            <a:t>元</a:t>
          </a:r>
          <a:r>
            <a:rPr lang="en-US" altLang="zh-CN" sz="900">
              <a:solidFill>
                <a:sysClr val="windowText" lastClr="000000"/>
              </a:solidFill>
              <a:effectLst/>
              <a:latin typeface="+mn-ea"/>
              <a:ea typeface="+mn-ea"/>
              <a:cs typeface="+mn-cs"/>
            </a:rPr>
            <a:t>/</a:t>
          </a:r>
          <a:r>
            <a:rPr lang="zh-CN" altLang="zh-CN" sz="900">
              <a:solidFill>
                <a:sysClr val="windowText" lastClr="000000"/>
              </a:solidFill>
              <a:effectLst/>
              <a:latin typeface="+mn-ea"/>
              <a:ea typeface="+mn-ea"/>
              <a:cs typeface="+mn-cs"/>
            </a:rPr>
            <a:t>㎡，溢价</a:t>
          </a:r>
          <a:r>
            <a:rPr lang="en-US" altLang="zh-CN" sz="900">
              <a:solidFill>
                <a:sysClr val="windowText" lastClr="000000"/>
              </a:solidFill>
              <a:effectLst/>
              <a:latin typeface="+mn-ea"/>
              <a:ea typeface="+mn-ea"/>
              <a:cs typeface="+mn-cs"/>
            </a:rPr>
            <a:t>43%</a:t>
          </a:r>
          <a:endParaRPr lang="zh-CN" altLang="zh-CN" sz="900">
            <a:solidFill>
              <a:sysClr val="windowText" lastClr="000000"/>
            </a:solidFill>
            <a:effectLst/>
            <a:latin typeface="+mn-ea"/>
            <a:ea typeface="+mn-ea"/>
            <a:cs typeface="+mn-cs"/>
          </a:endParaRPr>
        </a:p>
        <a:p>
          <a:r>
            <a:rPr lang="en-US" altLang="zh-CN" sz="900" b="1">
              <a:solidFill>
                <a:sysClr val="windowText" lastClr="000000"/>
              </a:solidFill>
              <a:effectLst/>
              <a:latin typeface="+mn-ea"/>
              <a:ea typeface="+mn-ea"/>
              <a:cs typeface="+mn-cs"/>
            </a:rPr>
            <a:t> </a:t>
          </a:r>
          <a:endParaRPr lang="zh-CN" altLang="zh-CN" sz="900">
            <a:solidFill>
              <a:sysClr val="windowText" lastClr="000000"/>
            </a:solidFill>
            <a:effectLst/>
            <a:latin typeface="+mn-ea"/>
            <a:ea typeface="+mn-ea"/>
            <a:cs typeface="+mn-cs"/>
          </a:endParaRPr>
        </a:p>
        <a:p>
          <a:r>
            <a:rPr lang="zh-CN" altLang="zh-CN" sz="900" b="1">
              <a:solidFill>
                <a:sysClr val="windowText" lastClr="000000"/>
              </a:solidFill>
              <a:effectLst/>
              <a:latin typeface="+mn-ea"/>
              <a:ea typeface="+mn-ea"/>
              <a:cs typeface="+mn-cs"/>
            </a:rPr>
            <a:t>九龙坡区大杨石组团</a:t>
          </a:r>
          <a:r>
            <a:rPr lang="en-US" altLang="zh-CN" sz="900" b="1">
              <a:solidFill>
                <a:sysClr val="windowText" lastClr="000000"/>
              </a:solidFill>
              <a:effectLst/>
              <a:latin typeface="+mn-ea"/>
              <a:ea typeface="+mn-ea"/>
              <a:cs typeface="+mn-cs"/>
            </a:rPr>
            <a:t>D</a:t>
          </a:r>
          <a:r>
            <a:rPr lang="zh-CN" altLang="zh-CN" sz="900" b="1">
              <a:solidFill>
                <a:sysClr val="windowText" lastClr="000000"/>
              </a:solidFill>
              <a:effectLst/>
              <a:latin typeface="+mn-ea"/>
              <a:ea typeface="+mn-ea"/>
              <a:cs typeface="+mn-cs"/>
            </a:rPr>
            <a:t>分区</a:t>
          </a:r>
          <a:r>
            <a:rPr lang="en-US" altLang="zh-CN" sz="900" b="1">
              <a:solidFill>
                <a:sysClr val="windowText" lastClr="000000"/>
              </a:solidFill>
              <a:effectLst/>
              <a:latin typeface="+mn-ea"/>
              <a:ea typeface="+mn-ea"/>
              <a:cs typeface="+mn-cs"/>
            </a:rPr>
            <a:t>D5-3/03</a:t>
          </a:r>
          <a:r>
            <a:rPr lang="zh-CN" altLang="zh-CN" sz="900" b="1">
              <a:solidFill>
                <a:sysClr val="windowText" lastClr="000000"/>
              </a:solidFill>
              <a:effectLst/>
              <a:latin typeface="+mn-ea"/>
              <a:ea typeface="+mn-ea"/>
              <a:cs typeface="+mn-cs"/>
            </a:rPr>
            <a:t>、</a:t>
          </a:r>
          <a:r>
            <a:rPr lang="en-US" altLang="zh-CN" sz="900" b="1">
              <a:solidFill>
                <a:sysClr val="windowText" lastClr="000000"/>
              </a:solidFill>
              <a:effectLst/>
              <a:latin typeface="+mn-ea"/>
              <a:ea typeface="+mn-ea"/>
              <a:cs typeface="+mn-cs"/>
            </a:rPr>
            <a:t>D8-2-1/04</a:t>
          </a:r>
          <a:r>
            <a:rPr lang="zh-CN" altLang="zh-CN" sz="900" b="1">
              <a:solidFill>
                <a:sysClr val="windowText" lastClr="000000"/>
              </a:solidFill>
              <a:effectLst/>
              <a:latin typeface="+mn-ea"/>
              <a:ea typeface="+mn-ea"/>
              <a:cs typeface="+mn-cs"/>
            </a:rPr>
            <a:t>号宗地（蓝光</a:t>
          </a:r>
          <a:r>
            <a:rPr lang="en-US" altLang="zh-CN" sz="900" b="1">
              <a:solidFill>
                <a:sysClr val="windowText" lastClr="000000"/>
              </a:solidFill>
              <a:effectLst/>
              <a:latin typeface="+mn-ea"/>
              <a:ea typeface="+mn-ea"/>
              <a:cs typeface="+mn-cs"/>
            </a:rPr>
            <a:t>-17</a:t>
          </a:r>
          <a:r>
            <a:rPr lang="zh-CN" altLang="zh-CN" sz="900" b="1">
              <a:solidFill>
                <a:sysClr val="windowText" lastClr="000000"/>
              </a:solidFill>
              <a:effectLst/>
              <a:latin typeface="+mn-ea"/>
              <a:ea typeface="+mn-ea"/>
              <a:cs typeface="+mn-cs"/>
            </a:rPr>
            <a:t>年）</a:t>
          </a:r>
          <a:endParaRPr lang="zh-CN" altLang="zh-CN" sz="900">
            <a:solidFill>
              <a:sysClr val="windowText" lastClr="000000"/>
            </a:solidFill>
            <a:effectLst/>
            <a:latin typeface="+mn-ea"/>
            <a:ea typeface="+mn-ea"/>
            <a:cs typeface="+mn-cs"/>
          </a:endParaRPr>
        </a:p>
        <a:p>
          <a:r>
            <a:rPr lang="en-US" altLang="zh-CN" sz="900">
              <a:solidFill>
                <a:sysClr val="windowText" lastClr="000000"/>
              </a:solidFill>
              <a:effectLst/>
              <a:latin typeface="+mn-ea"/>
              <a:ea typeface="+mn-ea"/>
              <a:cs typeface="+mn-cs"/>
            </a:rPr>
            <a:t>R2.25</a:t>
          </a:r>
          <a:r>
            <a:rPr lang="zh-CN" altLang="zh-CN" sz="900">
              <a:solidFill>
                <a:sysClr val="windowText" lastClr="000000"/>
              </a:solidFill>
              <a:effectLst/>
              <a:latin typeface="+mn-ea"/>
              <a:ea typeface="+mn-ea"/>
              <a:cs typeface="+mn-cs"/>
            </a:rPr>
            <a:t>，</a:t>
          </a:r>
          <a:r>
            <a:rPr lang="en-US" altLang="zh-CN" sz="900">
              <a:solidFill>
                <a:sysClr val="windowText" lastClr="000000"/>
              </a:solidFill>
              <a:effectLst/>
              <a:latin typeface="+mn-ea"/>
              <a:ea typeface="+mn-ea"/>
              <a:cs typeface="+mn-cs"/>
            </a:rPr>
            <a:t>1202</a:t>
          </a:r>
          <a:r>
            <a:rPr lang="zh-CN" altLang="zh-CN" sz="900">
              <a:solidFill>
                <a:sysClr val="windowText" lastClr="000000"/>
              </a:solidFill>
              <a:effectLst/>
              <a:latin typeface="+mn-ea"/>
              <a:ea typeface="+mn-ea"/>
              <a:cs typeface="+mn-cs"/>
            </a:rPr>
            <a:t>万元</a:t>
          </a:r>
          <a:r>
            <a:rPr lang="en-US" altLang="zh-CN" sz="900">
              <a:solidFill>
                <a:sysClr val="windowText" lastClr="000000"/>
              </a:solidFill>
              <a:effectLst/>
              <a:latin typeface="+mn-ea"/>
              <a:ea typeface="+mn-ea"/>
              <a:cs typeface="+mn-cs"/>
            </a:rPr>
            <a:t>/</a:t>
          </a:r>
          <a:r>
            <a:rPr lang="zh-CN" altLang="zh-CN" sz="900">
              <a:solidFill>
                <a:sysClr val="windowText" lastClr="000000"/>
              </a:solidFill>
              <a:effectLst/>
              <a:latin typeface="+mn-ea"/>
              <a:ea typeface="+mn-ea"/>
              <a:cs typeface="+mn-cs"/>
            </a:rPr>
            <a:t>亩，</a:t>
          </a:r>
          <a:r>
            <a:rPr lang="en-US" altLang="zh-CN" sz="900">
              <a:solidFill>
                <a:sysClr val="windowText" lastClr="000000"/>
              </a:solidFill>
              <a:effectLst/>
              <a:latin typeface="+mn-ea"/>
              <a:ea typeface="+mn-ea"/>
              <a:cs typeface="+mn-cs"/>
            </a:rPr>
            <a:t>8026</a:t>
          </a:r>
          <a:r>
            <a:rPr lang="zh-CN" altLang="zh-CN" sz="900">
              <a:solidFill>
                <a:sysClr val="windowText" lastClr="000000"/>
              </a:solidFill>
              <a:effectLst/>
              <a:latin typeface="+mn-ea"/>
              <a:ea typeface="+mn-ea"/>
              <a:cs typeface="+mn-cs"/>
            </a:rPr>
            <a:t>元</a:t>
          </a:r>
          <a:r>
            <a:rPr lang="en-US" altLang="zh-CN" sz="900">
              <a:solidFill>
                <a:sysClr val="windowText" lastClr="000000"/>
              </a:solidFill>
              <a:effectLst/>
              <a:latin typeface="+mn-ea"/>
              <a:ea typeface="+mn-ea"/>
              <a:cs typeface="+mn-cs"/>
            </a:rPr>
            <a:t>/</a:t>
          </a:r>
          <a:r>
            <a:rPr lang="zh-CN" altLang="zh-CN" sz="900">
              <a:solidFill>
                <a:sysClr val="windowText" lastClr="000000"/>
              </a:solidFill>
              <a:effectLst/>
              <a:latin typeface="+mn-ea"/>
              <a:ea typeface="+mn-ea"/>
              <a:cs typeface="+mn-cs"/>
            </a:rPr>
            <a:t>㎡，溢价</a:t>
          </a:r>
          <a:r>
            <a:rPr lang="en-US" altLang="zh-CN" sz="900">
              <a:solidFill>
                <a:sysClr val="windowText" lastClr="000000"/>
              </a:solidFill>
              <a:effectLst/>
              <a:latin typeface="+mn-ea"/>
              <a:ea typeface="+mn-ea"/>
              <a:cs typeface="+mn-cs"/>
            </a:rPr>
            <a:t>111%</a:t>
          </a:r>
          <a:endParaRPr lang="zh-CN" altLang="zh-CN" sz="900">
            <a:solidFill>
              <a:sysClr val="windowText" lastClr="000000"/>
            </a:solidFill>
            <a:effectLst/>
            <a:latin typeface="+mn-ea"/>
            <a:ea typeface="+mn-ea"/>
            <a:cs typeface="+mn-cs"/>
          </a:endParaRPr>
        </a:p>
        <a:p>
          <a:r>
            <a:rPr lang="zh-CN" altLang="zh-CN" sz="900" b="1">
              <a:solidFill>
                <a:sysClr val="windowText" lastClr="000000"/>
              </a:solidFill>
              <a:effectLst/>
              <a:latin typeface="+mn-ea"/>
              <a:ea typeface="+mn-ea"/>
              <a:cs typeface="+mn-cs"/>
            </a:rPr>
            <a:t>蓝光公园华府</a:t>
          </a:r>
          <a:r>
            <a:rPr lang="en-US" altLang="zh-CN" sz="900" b="1">
              <a:solidFill>
                <a:sysClr val="windowText" lastClr="000000"/>
              </a:solidFill>
              <a:effectLst/>
              <a:latin typeface="+mn-ea"/>
              <a:ea typeface="+mn-ea"/>
              <a:cs typeface="+mn-cs"/>
            </a:rPr>
            <a:t>-</a:t>
          </a:r>
          <a:r>
            <a:rPr lang="zh-CN" altLang="en-US" sz="900" b="1">
              <a:solidFill>
                <a:sysClr val="windowText" lastClr="000000"/>
              </a:solidFill>
              <a:effectLst/>
              <a:latin typeface="+mn-ea"/>
              <a:ea typeface="+mn-ea"/>
              <a:cs typeface="+mn-cs"/>
            </a:rPr>
            <a:t>建面</a:t>
          </a:r>
          <a:r>
            <a:rPr lang="en-US" altLang="zh-CN" sz="900" b="1">
              <a:solidFill>
                <a:sysClr val="windowText" lastClr="000000"/>
              </a:solidFill>
              <a:effectLst/>
              <a:latin typeface="+mn-ea"/>
              <a:ea typeface="+mn-ea"/>
              <a:cs typeface="+mn-cs"/>
            </a:rPr>
            <a:t>13000</a:t>
          </a:r>
          <a:r>
            <a:rPr lang="zh-CN" altLang="en-US" sz="900" b="1">
              <a:solidFill>
                <a:sysClr val="windowText" lastClr="000000"/>
              </a:solidFill>
              <a:effectLst/>
              <a:latin typeface="+mn-ea"/>
              <a:ea typeface="+mn-ea"/>
              <a:cs typeface="+mn-cs"/>
            </a:rPr>
            <a:t>元</a:t>
          </a:r>
          <a:r>
            <a:rPr lang="en-US" altLang="zh-CN" sz="900" b="1">
              <a:solidFill>
                <a:sysClr val="windowText" lastClr="000000"/>
              </a:solidFill>
              <a:effectLst/>
              <a:latin typeface="+mn-ea"/>
              <a:ea typeface="+mn-ea"/>
              <a:cs typeface="+mn-cs"/>
            </a:rPr>
            <a:t>/</a:t>
          </a:r>
          <a:r>
            <a:rPr lang="zh-CN" altLang="en-US" sz="900" b="1">
              <a:solidFill>
                <a:sysClr val="windowText" lastClr="000000"/>
              </a:solidFill>
              <a:effectLst/>
              <a:latin typeface="+mn-ea"/>
              <a:ea typeface="+mn-ea"/>
              <a:cs typeface="+mn-cs"/>
            </a:rPr>
            <a:t>平方米</a:t>
          </a:r>
          <a:endParaRPr lang="zh-CN" altLang="zh-CN" sz="900">
            <a:solidFill>
              <a:sysClr val="windowText" lastClr="000000"/>
            </a:solidFill>
            <a:effectLst/>
            <a:latin typeface="+mn-ea"/>
            <a:ea typeface="+mn-ea"/>
            <a:cs typeface="+mn-cs"/>
          </a:endParaRPr>
        </a:p>
      </xdr:txBody>
    </xdr:sp>
    <xdr:clientData/>
  </xdr:twoCellAnchor>
  <xdr:twoCellAnchor>
    <xdr:from>
      <xdr:col>3</xdr:col>
      <xdr:colOff>295276</xdr:colOff>
      <xdr:row>53</xdr:row>
      <xdr:rowOff>66675</xdr:rowOff>
    </xdr:from>
    <xdr:to>
      <xdr:col>7</xdr:col>
      <xdr:colOff>85726</xdr:colOff>
      <xdr:row>60</xdr:row>
      <xdr:rowOff>114301</xdr:rowOff>
    </xdr:to>
    <xdr:sp macro="" textlink="">
      <xdr:nvSpPr>
        <xdr:cNvPr id="18" name="矩形标注 17"/>
        <xdr:cNvSpPr/>
      </xdr:nvSpPr>
      <xdr:spPr>
        <a:xfrm>
          <a:off x="2838451" y="9077325"/>
          <a:ext cx="3181350" cy="1247776"/>
        </a:xfrm>
        <a:prstGeom prst="wedgeRectCallout">
          <a:avLst>
            <a:gd name="adj1" fmla="val -25303"/>
            <a:gd name="adj2" fmla="val -99047"/>
          </a:avLst>
        </a:prstGeom>
        <a:solidFill>
          <a:schemeClr val="bg1"/>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r>
            <a:rPr lang="zh-CN" altLang="zh-CN" sz="900" b="1">
              <a:solidFill>
                <a:sysClr val="windowText" lastClr="000000"/>
              </a:solidFill>
              <a:effectLst/>
              <a:latin typeface="+mn-ea"/>
              <a:ea typeface="+mn-ea"/>
              <a:cs typeface="+mn-cs"/>
            </a:rPr>
            <a:t>沙坪坝区大杨石组团</a:t>
          </a:r>
          <a:r>
            <a:rPr lang="en-US" altLang="zh-CN" sz="900" b="1">
              <a:solidFill>
                <a:sysClr val="windowText" lastClr="000000"/>
              </a:solidFill>
              <a:effectLst/>
              <a:latin typeface="+mn-ea"/>
              <a:ea typeface="+mn-ea"/>
              <a:cs typeface="+mn-cs"/>
            </a:rPr>
            <a:t>C</a:t>
          </a:r>
          <a:r>
            <a:rPr lang="zh-CN" altLang="zh-CN" sz="900" b="1">
              <a:solidFill>
                <a:sysClr val="windowText" lastClr="000000"/>
              </a:solidFill>
              <a:effectLst/>
              <a:latin typeface="+mn-ea"/>
              <a:ea typeface="+mn-ea"/>
              <a:cs typeface="+mn-cs"/>
            </a:rPr>
            <a:t>分区</a:t>
          </a:r>
          <a:r>
            <a:rPr lang="en-US" altLang="zh-CN" sz="900" b="1">
              <a:solidFill>
                <a:sysClr val="windowText" lastClr="000000"/>
              </a:solidFill>
              <a:effectLst/>
              <a:latin typeface="+mn-ea"/>
              <a:ea typeface="+mn-ea"/>
              <a:cs typeface="+mn-cs"/>
            </a:rPr>
            <a:t>C11-103</a:t>
          </a:r>
          <a:r>
            <a:rPr lang="zh-CN" altLang="zh-CN" sz="900" b="1">
              <a:solidFill>
                <a:sysClr val="windowText" lastClr="000000"/>
              </a:solidFill>
              <a:effectLst/>
              <a:latin typeface="+mn-ea"/>
              <a:ea typeface="+mn-ea"/>
              <a:cs typeface="+mn-cs"/>
            </a:rPr>
            <a:t>号宗地（弘阳</a:t>
          </a:r>
          <a:r>
            <a:rPr lang="en-US" altLang="zh-CN" sz="900" b="1">
              <a:solidFill>
                <a:sysClr val="windowText" lastClr="000000"/>
              </a:solidFill>
              <a:effectLst/>
              <a:latin typeface="+mn-ea"/>
              <a:ea typeface="+mn-ea"/>
              <a:cs typeface="+mn-cs"/>
            </a:rPr>
            <a:t>-18</a:t>
          </a:r>
          <a:r>
            <a:rPr lang="zh-CN" altLang="zh-CN" sz="900" b="1">
              <a:solidFill>
                <a:sysClr val="windowText" lastClr="000000"/>
              </a:solidFill>
              <a:effectLst/>
              <a:latin typeface="+mn-ea"/>
              <a:ea typeface="+mn-ea"/>
              <a:cs typeface="+mn-cs"/>
            </a:rPr>
            <a:t>年）</a:t>
          </a:r>
          <a:endParaRPr lang="zh-CN" altLang="zh-CN" sz="900">
            <a:solidFill>
              <a:sysClr val="windowText" lastClr="000000"/>
            </a:solidFill>
            <a:effectLst/>
            <a:latin typeface="+mn-ea"/>
            <a:ea typeface="+mn-ea"/>
            <a:cs typeface="+mn-cs"/>
          </a:endParaRPr>
        </a:p>
        <a:p>
          <a:r>
            <a:rPr lang="en-US" altLang="zh-CN" sz="900">
              <a:solidFill>
                <a:sysClr val="windowText" lastClr="000000"/>
              </a:solidFill>
              <a:effectLst/>
              <a:latin typeface="+mn-ea"/>
              <a:ea typeface="+mn-ea"/>
              <a:cs typeface="+mn-cs"/>
            </a:rPr>
            <a:t>R2.3</a:t>
          </a:r>
          <a:r>
            <a:rPr lang="zh-CN" altLang="zh-CN" sz="900">
              <a:solidFill>
                <a:sysClr val="windowText" lastClr="000000"/>
              </a:solidFill>
              <a:effectLst/>
              <a:latin typeface="+mn-ea"/>
              <a:ea typeface="+mn-ea"/>
              <a:cs typeface="+mn-cs"/>
            </a:rPr>
            <a:t>，</a:t>
          </a:r>
          <a:r>
            <a:rPr lang="en-US" altLang="zh-CN" sz="900">
              <a:solidFill>
                <a:sysClr val="windowText" lastClr="000000"/>
              </a:solidFill>
              <a:effectLst/>
              <a:latin typeface="+mn-ea"/>
              <a:ea typeface="+mn-ea"/>
              <a:cs typeface="+mn-cs"/>
            </a:rPr>
            <a:t>1805</a:t>
          </a:r>
          <a:r>
            <a:rPr lang="zh-CN" altLang="zh-CN" sz="900">
              <a:solidFill>
                <a:sysClr val="windowText" lastClr="000000"/>
              </a:solidFill>
              <a:effectLst/>
              <a:latin typeface="+mn-ea"/>
              <a:ea typeface="+mn-ea"/>
              <a:cs typeface="+mn-cs"/>
            </a:rPr>
            <a:t>万元</a:t>
          </a:r>
          <a:r>
            <a:rPr lang="en-US" altLang="zh-CN" sz="900">
              <a:solidFill>
                <a:sysClr val="windowText" lastClr="000000"/>
              </a:solidFill>
              <a:effectLst/>
              <a:latin typeface="+mn-ea"/>
              <a:ea typeface="+mn-ea"/>
              <a:cs typeface="+mn-cs"/>
            </a:rPr>
            <a:t>/</a:t>
          </a:r>
          <a:r>
            <a:rPr lang="zh-CN" altLang="zh-CN" sz="900">
              <a:solidFill>
                <a:sysClr val="windowText" lastClr="000000"/>
              </a:solidFill>
              <a:effectLst/>
              <a:latin typeface="+mn-ea"/>
              <a:ea typeface="+mn-ea"/>
              <a:cs typeface="+mn-cs"/>
            </a:rPr>
            <a:t>亩，</a:t>
          </a:r>
          <a:r>
            <a:rPr lang="en-US" altLang="zh-CN" sz="900">
              <a:solidFill>
                <a:sysClr val="windowText" lastClr="000000"/>
              </a:solidFill>
              <a:effectLst/>
              <a:latin typeface="+mn-ea"/>
              <a:ea typeface="+mn-ea"/>
              <a:cs typeface="+mn-cs"/>
            </a:rPr>
            <a:t>11726</a:t>
          </a:r>
          <a:r>
            <a:rPr lang="zh-CN" altLang="zh-CN" sz="900">
              <a:solidFill>
                <a:sysClr val="windowText" lastClr="000000"/>
              </a:solidFill>
              <a:effectLst/>
              <a:latin typeface="+mn-ea"/>
              <a:ea typeface="+mn-ea"/>
              <a:cs typeface="+mn-cs"/>
            </a:rPr>
            <a:t>元</a:t>
          </a:r>
          <a:r>
            <a:rPr lang="en-US" altLang="zh-CN" sz="900">
              <a:solidFill>
                <a:sysClr val="windowText" lastClr="000000"/>
              </a:solidFill>
              <a:effectLst/>
              <a:latin typeface="+mn-ea"/>
              <a:ea typeface="+mn-ea"/>
              <a:cs typeface="+mn-cs"/>
            </a:rPr>
            <a:t>/</a:t>
          </a:r>
          <a:r>
            <a:rPr lang="zh-CN" altLang="zh-CN" sz="900">
              <a:solidFill>
                <a:sysClr val="windowText" lastClr="000000"/>
              </a:solidFill>
              <a:effectLst/>
              <a:latin typeface="+mn-ea"/>
              <a:ea typeface="+mn-ea"/>
              <a:cs typeface="+mn-cs"/>
            </a:rPr>
            <a:t>㎡，溢价</a:t>
          </a:r>
          <a:r>
            <a:rPr lang="en-US" altLang="zh-CN" sz="900">
              <a:solidFill>
                <a:sysClr val="windowText" lastClr="000000"/>
              </a:solidFill>
              <a:effectLst/>
              <a:latin typeface="+mn-ea"/>
              <a:ea typeface="+mn-ea"/>
              <a:cs typeface="+mn-cs"/>
            </a:rPr>
            <a:t>69%</a:t>
          </a:r>
          <a:r>
            <a:rPr lang="zh-CN" altLang="zh-CN" sz="900">
              <a:solidFill>
                <a:sysClr val="windowText" lastClr="000000"/>
              </a:solidFill>
              <a:effectLst/>
              <a:latin typeface="+mn-ea"/>
              <a:ea typeface="+mn-ea"/>
              <a:cs typeface="+mn-cs"/>
            </a:rPr>
            <a:t>（限地价？）</a:t>
          </a:r>
        </a:p>
        <a:p>
          <a:pPr marL="0" marR="0" indent="0" defTabSz="914400" eaLnBrk="1" fontAlgn="auto" latinLnBrk="0" hangingPunct="1">
            <a:lnSpc>
              <a:spcPct val="100000"/>
            </a:lnSpc>
            <a:spcBef>
              <a:spcPts val="0"/>
            </a:spcBef>
            <a:spcAft>
              <a:spcPts val="0"/>
            </a:spcAft>
            <a:buClrTx/>
            <a:buSzTx/>
            <a:buFontTx/>
            <a:buNone/>
            <a:tabLst/>
            <a:defRPr/>
          </a:pPr>
          <a:r>
            <a:rPr lang="zh-CN" altLang="zh-CN" sz="900" b="1">
              <a:solidFill>
                <a:sysClr val="windowText" lastClr="000000"/>
              </a:solidFill>
              <a:effectLst/>
              <a:latin typeface="+mn-ea"/>
              <a:ea typeface="+mn-ea"/>
              <a:cs typeface="+mn-cs"/>
            </a:rPr>
            <a:t>弘阳天宸一品</a:t>
          </a:r>
          <a:r>
            <a:rPr lang="en-US" altLang="zh-CN" sz="900" b="1">
              <a:solidFill>
                <a:sysClr val="windowText" lastClr="000000"/>
              </a:solidFill>
              <a:effectLst/>
              <a:latin typeface="+mn-lt"/>
              <a:ea typeface="+mn-ea"/>
              <a:cs typeface="+mn-cs"/>
            </a:rPr>
            <a:t>-</a:t>
          </a:r>
          <a:r>
            <a:rPr lang="zh-CN" altLang="zh-CN" sz="900" b="1">
              <a:solidFill>
                <a:sysClr val="windowText" lastClr="000000"/>
              </a:solidFill>
              <a:effectLst/>
              <a:latin typeface="+mn-lt"/>
              <a:ea typeface="+mn-ea"/>
              <a:cs typeface="+mn-cs"/>
            </a:rPr>
            <a:t>建面</a:t>
          </a:r>
          <a:r>
            <a:rPr lang="en-US" altLang="zh-CN" sz="900" b="1">
              <a:solidFill>
                <a:sysClr val="windowText" lastClr="000000"/>
              </a:solidFill>
              <a:effectLst/>
              <a:latin typeface="+mn-lt"/>
              <a:ea typeface="+mn-ea"/>
              <a:cs typeface="+mn-cs"/>
            </a:rPr>
            <a:t>25000</a:t>
          </a:r>
          <a:r>
            <a:rPr lang="zh-CN" altLang="zh-CN" sz="900" b="1">
              <a:solidFill>
                <a:sysClr val="windowText" lastClr="000000"/>
              </a:solidFill>
              <a:effectLst/>
              <a:latin typeface="+mn-lt"/>
              <a:ea typeface="+mn-ea"/>
              <a:cs typeface="+mn-cs"/>
            </a:rPr>
            <a:t>元</a:t>
          </a:r>
          <a:r>
            <a:rPr lang="en-US" altLang="zh-CN" sz="900" b="1">
              <a:solidFill>
                <a:sysClr val="windowText" lastClr="000000"/>
              </a:solidFill>
              <a:effectLst/>
              <a:latin typeface="+mn-lt"/>
              <a:ea typeface="+mn-ea"/>
              <a:cs typeface="+mn-cs"/>
            </a:rPr>
            <a:t>/</a:t>
          </a:r>
          <a:r>
            <a:rPr lang="zh-CN" altLang="zh-CN" sz="900" b="1">
              <a:solidFill>
                <a:sysClr val="windowText" lastClr="000000"/>
              </a:solidFill>
              <a:effectLst/>
              <a:latin typeface="+mn-lt"/>
              <a:ea typeface="+mn-ea"/>
              <a:cs typeface="+mn-cs"/>
            </a:rPr>
            <a:t>平方米</a:t>
          </a:r>
          <a:endParaRPr lang="zh-CN" altLang="zh-CN" sz="900">
            <a:solidFill>
              <a:sysClr val="windowText" lastClr="000000"/>
            </a:solidFill>
            <a:effectLst/>
          </a:endParaRPr>
        </a:p>
        <a:p>
          <a:endParaRPr lang="zh-CN" altLang="zh-CN" sz="900">
            <a:solidFill>
              <a:sysClr val="windowText" lastClr="000000"/>
            </a:solidFill>
            <a:effectLst/>
            <a:latin typeface="+mn-ea"/>
            <a:ea typeface="+mn-ea"/>
            <a:cs typeface="+mn-cs"/>
          </a:endParaRPr>
        </a:p>
        <a:p>
          <a:pPr lvl="0"/>
          <a:r>
            <a:rPr lang="zh-CN" altLang="zh-CN" sz="900" b="1">
              <a:solidFill>
                <a:sysClr val="windowText" lastClr="000000"/>
              </a:solidFill>
              <a:effectLst/>
              <a:latin typeface="+mn-ea"/>
              <a:ea typeface="+mn-ea"/>
              <a:cs typeface="+mn-cs"/>
            </a:rPr>
            <a:t>九龙坡区大杨石组团</a:t>
          </a:r>
          <a:r>
            <a:rPr lang="en-US" altLang="zh-CN" sz="900" b="1">
              <a:solidFill>
                <a:sysClr val="windowText" lastClr="000000"/>
              </a:solidFill>
              <a:effectLst/>
              <a:latin typeface="+mn-ea"/>
              <a:ea typeface="+mn-ea"/>
              <a:cs typeface="+mn-cs"/>
            </a:rPr>
            <a:t>G</a:t>
          </a:r>
          <a:r>
            <a:rPr lang="zh-CN" altLang="zh-CN" sz="900" b="1">
              <a:solidFill>
                <a:sysClr val="windowText" lastClr="000000"/>
              </a:solidFill>
              <a:effectLst/>
              <a:latin typeface="+mn-ea"/>
              <a:ea typeface="+mn-ea"/>
              <a:cs typeface="+mn-cs"/>
            </a:rPr>
            <a:t>分区</a:t>
          </a:r>
          <a:r>
            <a:rPr lang="en-US" altLang="zh-CN" sz="900" b="1">
              <a:solidFill>
                <a:sysClr val="windowText" lastClr="000000"/>
              </a:solidFill>
              <a:effectLst/>
              <a:latin typeface="+mn-ea"/>
              <a:ea typeface="+mn-ea"/>
              <a:cs typeface="+mn-cs"/>
            </a:rPr>
            <a:t>G14-5-1/04</a:t>
          </a:r>
          <a:r>
            <a:rPr lang="zh-CN" altLang="zh-CN" sz="900" b="1">
              <a:solidFill>
                <a:sysClr val="windowText" lastClr="000000"/>
              </a:solidFill>
              <a:effectLst/>
              <a:latin typeface="+mn-ea"/>
              <a:ea typeface="+mn-ea"/>
              <a:cs typeface="+mn-cs"/>
            </a:rPr>
            <a:t>号宗地（象屿</a:t>
          </a:r>
          <a:r>
            <a:rPr lang="en-US" altLang="zh-CN" sz="900" b="1">
              <a:solidFill>
                <a:sysClr val="windowText" lastClr="000000"/>
              </a:solidFill>
              <a:effectLst/>
              <a:latin typeface="+mn-ea"/>
              <a:ea typeface="+mn-ea"/>
              <a:cs typeface="+mn-cs"/>
            </a:rPr>
            <a:t>-17</a:t>
          </a:r>
          <a:r>
            <a:rPr lang="zh-CN" altLang="zh-CN" sz="900" b="1">
              <a:solidFill>
                <a:sysClr val="windowText" lastClr="000000"/>
              </a:solidFill>
              <a:effectLst/>
              <a:latin typeface="+mn-ea"/>
              <a:ea typeface="+mn-ea"/>
              <a:cs typeface="+mn-cs"/>
            </a:rPr>
            <a:t>年）</a:t>
          </a:r>
          <a:endParaRPr lang="zh-CN" altLang="zh-CN" sz="900">
            <a:solidFill>
              <a:sysClr val="windowText" lastClr="000000"/>
            </a:solidFill>
            <a:effectLst/>
            <a:latin typeface="+mn-ea"/>
            <a:ea typeface="+mn-ea"/>
            <a:cs typeface="+mn-cs"/>
          </a:endParaRPr>
        </a:p>
        <a:p>
          <a:r>
            <a:rPr lang="en-US" altLang="zh-CN" sz="900">
              <a:solidFill>
                <a:sysClr val="windowText" lastClr="000000"/>
              </a:solidFill>
              <a:effectLst/>
              <a:latin typeface="+mn-ea"/>
              <a:ea typeface="+mn-ea"/>
              <a:cs typeface="+mn-cs"/>
            </a:rPr>
            <a:t>R3.5</a:t>
          </a:r>
          <a:r>
            <a:rPr lang="zh-CN" altLang="zh-CN" sz="900">
              <a:solidFill>
                <a:sysClr val="windowText" lastClr="000000"/>
              </a:solidFill>
              <a:effectLst/>
              <a:latin typeface="+mn-ea"/>
              <a:ea typeface="+mn-ea"/>
              <a:cs typeface="+mn-cs"/>
            </a:rPr>
            <a:t>，</a:t>
          </a:r>
          <a:r>
            <a:rPr lang="en-US" altLang="zh-CN" sz="900">
              <a:solidFill>
                <a:sysClr val="windowText" lastClr="000000"/>
              </a:solidFill>
              <a:effectLst/>
              <a:latin typeface="+mn-ea"/>
              <a:ea typeface="+mn-ea"/>
              <a:cs typeface="+mn-cs"/>
            </a:rPr>
            <a:t>2240</a:t>
          </a:r>
          <a:r>
            <a:rPr lang="zh-CN" altLang="zh-CN" sz="900">
              <a:solidFill>
                <a:sysClr val="windowText" lastClr="000000"/>
              </a:solidFill>
              <a:effectLst/>
              <a:latin typeface="+mn-ea"/>
              <a:ea typeface="+mn-ea"/>
              <a:cs typeface="+mn-cs"/>
            </a:rPr>
            <a:t>万元</a:t>
          </a:r>
          <a:r>
            <a:rPr lang="en-US" altLang="zh-CN" sz="900">
              <a:solidFill>
                <a:sysClr val="windowText" lastClr="000000"/>
              </a:solidFill>
              <a:effectLst/>
              <a:latin typeface="+mn-ea"/>
              <a:ea typeface="+mn-ea"/>
              <a:cs typeface="+mn-cs"/>
            </a:rPr>
            <a:t>/</a:t>
          </a:r>
          <a:r>
            <a:rPr lang="zh-CN" altLang="zh-CN" sz="900">
              <a:solidFill>
                <a:sysClr val="windowText" lastClr="000000"/>
              </a:solidFill>
              <a:effectLst/>
              <a:latin typeface="+mn-ea"/>
              <a:ea typeface="+mn-ea"/>
              <a:cs typeface="+mn-cs"/>
            </a:rPr>
            <a:t>亩，</a:t>
          </a:r>
          <a:r>
            <a:rPr lang="en-US" altLang="zh-CN" sz="900">
              <a:solidFill>
                <a:sysClr val="windowText" lastClr="000000"/>
              </a:solidFill>
              <a:effectLst/>
              <a:latin typeface="+mn-ea"/>
              <a:ea typeface="+mn-ea"/>
              <a:cs typeface="+mn-cs"/>
            </a:rPr>
            <a:t>9601</a:t>
          </a:r>
          <a:r>
            <a:rPr lang="zh-CN" altLang="zh-CN" sz="900">
              <a:solidFill>
                <a:sysClr val="windowText" lastClr="000000"/>
              </a:solidFill>
              <a:effectLst/>
              <a:latin typeface="+mn-ea"/>
              <a:ea typeface="+mn-ea"/>
              <a:cs typeface="+mn-cs"/>
            </a:rPr>
            <a:t>元</a:t>
          </a:r>
          <a:r>
            <a:rPr lang="en-US" altLang="zh-CN" sz="900">
              <a:solidFill>
                <a:sysClr val="windowText" lastClr="000000"/>
              </a:solidFill>
              <a:effectLst/>
              <a:latin typeface="+mn-ea"/>
              <a:ea typeface="+mn-ea"/>
              <a:cs typeface="+mn-cs"/>
            </a:rPr>
            <a:t>/</a:t>
          </a:r>
          <a:r>
            <a:rPr lang="zh-CN" altLang="zh-CN" sz="900">
              <a:solidFill>
                <a:sysClr val="windowText" lastClr="000000"/>
              </a:solidFill>
              <a:effectLst/>
              <a:latin typeface="+mn-ea"/>
              <a:ea typeface="+mn-ea"/>
              <a:cs typeface="+mn-cs"/>
            </a:rPr>
            <a:t>㎡，溢价</a:t>
          </a:r>
          <a:r>
            <a:rPr lang="en-US" altLang="zh-CN" sz="900">
              <a:solidFill>
                <a:sysClr val="windowText" lastClr="000000"/>
              </a:solidFill>
              <a:effectLst/>
              <a:latin typeface="+mn-ea"/>
              <a:ea typeface="+mn-ea"/>
              <a:cs typeface="+mn-cs"/>
            </a:rPr>
            <a:t>47%</a:t>
          </a:r>
          <a:r>
            <a:rPr lang="zh-CN" altLang="zh-CN" sz="900">
              <a:solidFill>
                <a:sysClr val="windowText" lastClr="000000"/>
              </a:solidFill>
              <a:effectLst/>
              <a:latin typeface="+mn-ea"/>
              <a:ea typeface="+mn-ea"/>
              <a:cs typeface="+mn-cs"/>
            </a:rPr>
            <a:t>（限地价？）</a:t>
          </a:r>
        </a:p>
        <a:p>
          <a:r>
            <a:rPr lang="zh-CN" altLang="zh-CN" sz="900" b="1">
              <a:solidFill>
                <a:sysClr val="windowText" lastClr="000000"/>
              </a:solidFill>
              <a:effectLst/>
              <a:latin typeface="+mn-ea"/>
              <a:ea typeface="+mn-ea"/>
              <a:cs typeface="+mn-cs"/>
            </a:rPr>
            <a:t>象屿公园悦府</a:t>
          </a:r>
          <a:r>
            <a:rPr lang="en-US" altLang="zh-CN" sz="900" b="1">
              <a:solidFill>
                <a:sysClr val="windowText" lastClr="000000"/>
              </a:solidFill>
              <a:effectLst/>
              <a:latin typeface="+mn-lt"/>
              <a:ea typeface="+mn-ea"/>
              <a:cs typeface="+mn-cs"/>
            </a:rPr>
            <a:t>-</a:t>
          </a:r>
          <a:r>
            <a:rPr lang="zh-CN" altLang="zh-CN" sz="900" b="1">
              <a:solidFill>
                <a:sysClr val="windowText" lastClr="000000"/>
              </a:solidFill>
              <a:effectLst/>
              <a:latin typeface="+mn-lt"/>
              <a:ea typeface="+mn-ea"/>
              <a:cs typeface="+mn-cs"/>
            </a:rPr>
            <a:t>建面</a:t>
          </a:r>
          <a:r>
            <a:rPr lang="en-US" altLang="zh-CN" sz="900" b="1">
              <a:solidFill>
                <a:sysClr val="windowText" lastClr="000000"/>
              </a:solidFill>
              <a:effectLst/>
              <a:latin typeface="+mn-lt"/>
              <a:ea typeface="+mn-ea"/>
              <a:cs typeface="+mn-cs"/>
            </a:rPr>
            <a:t>25000</a:t>
          </a:r>
          <a:r>
            <a:rPr lang="zh-CN" altLang="zh-CN" sz="900" b="1">
              <a:solidFill>
                <a:sysClr val="windowText" lastClr="000000"/>
              </a:solidFill>
              <a:effectLst/>
              <a:latin typeface="+mn-lt"/>
              <a:ea typeface="+mn-ea"/>
              <a:cs typeface="+mn-cs"/>
            </a:rPr>
            <a:t>元</a:t>
          </a:r>
          <a:r>
            <a:rPr lang="en-US" altLang="zh-CN" sz="900" b="1">
              <a:solidFill>
                <a:sysClr val="windowText" lastClr="000000"/>
              </a:solidFill>
              <a:effectLst/>
              <a:latin typeface="+mn-lt"/>
              <a:ea typeface="+mn-ea"/>
              <a:cs typeface="+mn-cs"/>
            </a:rPr>
            <a:t>/</a:t>
          </a:r>
          <a:r>
            <a:rPr lang="zh-CN" altLang="zh-CN" sz="900" b="1">
              <a:solidFill>
                <a:sysClr val="windowText" lastClr="000000"/>
              </a:solidFill>
              <a:effectLst/>
              <a:latin typeface="+mn-lt"/>
              <a:ea typeface="+mn-ea"/>
              <a:cs typeface="+mn-cs"/>
            </a:rPr>
            <a:t>平方米</a:t>
          </a:r>
          <a:endParaRPr lang="zh-CN" altLang="zh-CN" sz="900">
            <a:solidFill>
              <a:sysClr val="windowText" lastClr="000000"/>
            </a:solidFill>
            <a:effectLst/>
            <a:latin typeface="+mn-ea"/>
            <a:ea typeface="+mn-ea"/>
            <a:cs typeface="+mn-cs"/>
          </a:endParaRPr>
        </a:p>
      </xdr:txBody>
    </xdr:sp>
    <xdr:clientData/>
  </xdr:twoCellAnchor>
  <xdr:twoCellAnchor editAs="oneCell">
    <xdr:from>
      <xdr:col>3</xdr:col>
      <xdr:colOff>0</xdr:colOff>
      <xdr:row>109</xdr:row>
      <xdr:rowOff>0</xdr:rowOff>
    </xdr:from>
    <xdr:to>
      <xdr:col>16</xdr:col>
      <xdr:colOff>491987</xdr:colOff>
      <xdr:row>148</xdr:row>
      <xdr:rowOff>137025</xdr:rowOff>
    </xdr:to>
    <xdr:pic>
      <xdr:nvPicPr>
        <xdr:cNvPr id="19" name="图片 1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34478" y="19853413"/>
          <a:ext cx="10058400" cy="69204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419100</xdr:colOff>
      <xdr:row>41</xdr:row>
      <xdr:rowOff>19050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648700" cy="7048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1215</v>
      </c>
      <c r="B1" s="1580" t="s">
        <v>1294</v>
      </c>
    </row>
    <row r="2" spans="1:2" s="1585" customFormat="1" ht="15" thickTop="1">
      <c r="A2" s="1583" t="s">
        <v>1216</v>
      </c>
      <c r="B2" s="1584" t="str">
        <f>'预评函-封皮'!B37:I37</f>
        <v>重庆市江北区观音桥组团I分区I29-3-1/02地块“隆鑫中心”综合项目出让国有建设用地使用权及在建建筑物房地产抵押价值预评估</v>
      </c>
    </row>
    <row r="3" spans="1:2" s="1588" customFormat="1">
      <c r="A3" s="1586" t="s">
        <v>1217</v>
      </c>
      <c r="B3" s="1587" t="str">
        <f>'预评函-封皮'!B40</f>
        <v>中诚信托有限责任公司</v>
      </c>
    </row>
    <row r="4" spans="1:2" s="1588" customFormat="1">
      <c r="A4" s="1586" t="s">
        <v>1218</v>
      </c>
      <c r="B4" s="1587" t="str">
        <f ca="1">'预评函-封皮'!B46</f>
        <v>郑燚（注册号：1120070131)、王鹏（注册号：1120050019)</v>
      </c>
    </row>
    <row r="5" spans="1:2" s="1582" customFormat="1" ht="15" thickBot="1">
      <c r="A5" s="1589" t="s">
        <v>1219</v>
      </c>
      <c r="B5" s="1590" t="str">
        <f>'预评函-封皮'!B49</f>
        <v>康正预评字号</v>
      </c>
    </row>
    <row r="6" spans="1:2" s="1585" customFormat="1" ht="15" thickTop="1">
      <c r="A6" s="1583" t="s">
        <v>1220</v>
      </c>
      <c r="B6" s="1584" t="str">
        <f>'预评函-1'!A4</f>
        <v>受贵公司委托，我公司对重庆市江北区观音桥组团I分区I29-3-1/02地块“隆鑫中心”综合项目出让国有建设用地使用权及在建建筑物房地产抵押价值进行了预评估。</v>
      </c>
    </row>
    <row r="7" spans="1:2" s="1588" customFormat="1">
      <c r="A7" s="1586" t="s">
        <v>1260</v>
      </c>
      <c r="B7" s="1587" t="str">
        <f>'预评函-1'!A7</f>
        <v>估价对象为重庆市江北区观音桥组团I分区I29-3-1/02地块“隆鑫中心”综合项目出让国有建设用地使用权及在建建筑物房地产，为重庆华诚投资有限公司所有。根据《不动产权证书》[渝（2019）江北区不动产权第000107044号]，估价对象（分摊）出让国有建设用地使用权面积为25136平方米，建筑面积为378144.48平方米。</v>
      </c>
    </row>
    <row r="8" spans="1:2" s="1588" customFormat="1">
      <c r="A8" s="1586" t="s">
        <v>1261</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1262</v>
      </c>
      <c r="B9" s="1587" t="str">
        <f>'预评函-1'!A10</f>
        <v>估价对象为重庆市江北区观音桥组团I分区I29-3-1/02地块“隆鑫中心”综合项目出让国有建设用地使用权及在建建筑物房地产,为重庆华诚投资有限公司开发建设的综合项目（居住、综合），该项目尚在开发建设中。根据《不动产权证书》[渝（2019）江北区不动产权第000107044号]，估价对象（分摊）出让国有建设用地使用权面积为25136平方米，规划建筑面积为378144.48平方米。</v>
      </c>
    </row>
    <row r="10" spans="1:2" s="1588" customFormat="1">
      <c r="A10" s="1586" t="s">
        <v>1263</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1221</v>
      </c>
      <c r="B11" s="1587" t="str">
        <f>'预评函-1'!A13</f>
        <v>重庆华诚投资有限公司拟使用重庆市江北区观音桥组团I分区I29-3-1/02地块“隆鑫中心”综合项目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row>
    <row r="12" spans="1:2" s="1588" customFormat="1">
      <c r="A12" s="1586" t="s">
        <v>1222</v>
      </c>
      <c r="B12" s="1587" t="str">
        <f>'预评函-1'!A15</f>
        <v>2019年11月27日（评估专业人员实地查勘之日）</v>
      </c>
    </row>
    <row r="13" spans="1:2" s="1588" customFormat="1">
      <c r="A13" s="1586" t="s">
        <v>1223</v>
      </c>
      <c r="B13" s="1587" t="str">
        <f>'预评函-1'!A18</f>
        <v>本次估价的“房地产价值”是指在正常市场情况下，在价值时点2019年11月27日，估价对象规划用途为住宅，土地取得方式为出让，出让国有建设用地使用权剩余土地使用年限为，假定未设立法定优先受偿款下的房地产市场价值。</v>
      </c>
    </row>
    <row r="14" spans="1:2" s="1588" customFormat="1">
      <c r="A14" s="1586" t="s">
        <v>1224</v>
      </c>
      <c r="B14" s="1587" t="str">
        <f>'预评函-1'!A19</f>
        <v>其中，“出让国有建设用地使用权价值”是指估价对象用途为住宅，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1225</v>
      </c>
      <c r="B15" s="1587" t="str">
        <f>'预评函-1'!A20</f>
        <v>本次估价的“房地产抵押价值”是指估价对象在价值时点的“房地产价值”扣减估价师于价值时点所知悉的法定优先受偿款后的余额。</v>
      </c>
    </row>
    <row r="16" spans="1:2" s="1588" customFormat="1">
      <c r="A16" s="1586" t="s">
        <v>1226</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1227</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 thickBot="1">
      <c r="A18" s="1589" t="s">
        <v>1228</v>
      </c>
      <c r="B18" s="1590" t="str">
        <f>'预评函-1'!A24</f>
        <v>本次评估采用的主估价方法为成本法和假设开发法。</v>
      </c>
    </row>
    <row r="19" spans="1:2" s="1585" customFormat="1" ht="15" thickTop="1">
      <c r="A19" s="1583" t="s">
        <v>1229</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1230</v>
      </c>
      <c r="B20" s="1587">
        <f ca="1">'预评函-2'!D5</f>
        <v>449033</v>
      </c>
    </row>
    <row r="21" spans="1:2" s="1588" customFormat="1">
      <c r="A21" s="1586" t="s">
        <v>1231</v>
      </c>
      <c r="B21" s="1587">
        <f ca="1">'预评函-2'!D7</f>
        <v>11875</v>
      </c>
    </row>
    <row r="22" spans="1:2" s="1588" customFormat="1">
      <c r="A22" s="1586" t="s">
        <v>1232</v>
      </c>
      <c r="B22" s="1587" t="str">
        <f ca="1">'预评函-2'!D6</f>
        <v>肆拾肆亿玖仟零叁拾叁万元整</v>
      </c>
    </row>
    <row r="23" spans="1:2" s="1588" customFormat="1">
      <c r="A23" s="1586" t="s">
        <v>1283</v>
      </c>
      <c r="B23" s="1587" t="str">
        <f>'预评函-2'!B8</f>
        <v>2.估价师知悉的法定优先受偿款</v>
      </c>
    </row>
    <row r="24" spans="1:2" s="1588" customFormat="1">
      <c r="A24" s="1586" t="s">
        <v>1289</v>
      </c>
      <c r="B24" s="1587">
        <f>'预评函-2'!D8</f>
        <v>18844.7</v>
      </c>
    </row>
    <row r="25" spans="1:2" s="1588" customFormat="1">
      <c r="A25" s="1586" t="s">
        <v>1233</v>
      </c>
      <c r="B25" s="1587" t="str">
        <f>'预评函-2'!D9</f>
        <v>壹亿捌仟捌佰肆拾肆万柒仟元整</v>
      </c>
    </row>
    <row r="26" spans="1:2" s="1588" customFormat="1">
      <c r="A26" s="1586" t="s">
        <v>1234</v>
      </c>
      <c r="B26" s="1587" t="str">
        <f>'预评函-2'!D10</f>
        <v>（未扣减，详见特别提示）</v>
      </c>
    </row>
    <row r="27" spans="1:2" s="1588" customFormat="1">
      <c r="A27" s="1586" t="s">
        <v>1235</v>
      </c>
      <c r="B27" s="1587">
        <f>'预评函-2'!D11</f>
        <v>12038.7</v>
      </c>
    </row>
    <row r="28" spans="1:2" s="1588" customFormat="1">
      <c r="A28" s="1586" t="s">
        <v>1236</v>
      </c>
      <c r="B28" s="1587">
        <f>'预评函-2'!D12</f>
        <v>6806</v>
      </c>
    </row>
    <row r="29" spans="1:2" s="1588" customFormat="1">
      <c r="A29" s="1586" t="s">
        <v>1287</v>
      </c>
      <c r="B29" s="1587" t="str">
        <f>'预评函-2'!B13</f>
        <v>3.房地产抵押价值</v>
      </c>
    </row>
    <row r="30" spans="1:2" s="1588" customFormat="1">
      <c r="A30" s="1586" t="s">
        <v>1288</v>
      </c>
      <c r="B30" s="1587">
        <f ca="1">'预评函-2'!D13</f>
        <v>430188.3</v>
      </c>
    </row>
    <row r="31" spans="1:2" s="1588" customFormat="1">
      <c r="A31" s="1586" t="s">
        <v>1270</v>
      </c>
      <c r="B31" s="1587">
        <f ca="1">'预评函-2'!D15</f>
        <v>11376</v>
      </c>
    </row>
    <row r="32" spans="1:2" s="1588" customFormat="1">
      <c r="A32" s="1586" t="s">
        <v>1237</v>
      </c>
      <c r="B32" s="1587" t="str">
        <f ca="1">'预评函-2'!D14</f>
        <v>肆拾叁亿零壹佰捌拾捌万叁仟元整</v>
      </c>
    </row>
    <row r="33" spans="1:2" s="1588" customFormat="1">
      <c r="A33" s="1586" t="s">
        <v>1272</v>
      </c>
      <c r="B33" s="1587" t="str">
        <f>'预评函-2'!B16</f>
        <v>——</v>
      </c>
    </row>
    <row r="34" spans="1:2" s="1588" customFormat="1">
      <c r="A34" s="1586" t="s">
        <v>1290</v>
      </c>
      <c r="B34" s="1587" t="str">
        <f>'预评函-2'!D16</f>
        <v>——</v>
      </c>
    </row>
    <row r="35" spans="1:2" s="1588" customFormat="1">
      <c r="A35" s="1586" t="s">
        <v>1271</v>
      </c>
      <c r="B35" s="1587" t="str">
        <f>'预评函-2'!D18</f>
        <v>——</v>
      </c>
    </row>
    <row r="36" spans="1:2" s="1588" customFormat="1">
      <c r="A36" s="1586" t="s">
        <v>1238</v>
      </c>
      <c r="B36" s="1587" t="e">
        <f>'预评函-2'!D17</f>
        <v>#VALUE!</v>
      </c>
    </row>
    <row r="37" spans="1:2" s="1588" customFormat="1">
      <c r="A37" s="1586" t="s">
        <v>1273</v>
      </c>
      <c r="B37" s="1587" t="str">
        <f>'预评函-2'!B19</f>
        <v>——</v>
      </c>
    </row>
    <row r="38" spans="1:2" s="1588" customFormat="1">
      <c r="A38" s="1586" t="s">
        <v>1291</v>
      </c>
      <c r="B38" s="1587" t="str">
        <f>'预评函-2'!D19</f>
        <v>——</v>
      </c>
    </row>
    <row r="39" spans="1:2" s="1588" customFormat="1">
      <c r="A39" s="1586" t="s">
        <v>1239</v>
      </c>
      <c r="B39" s="1587" t="str">
        <f>'预评函-2'!D21</f>
        <v>——</v>
      </c>
    </row>
    <row r="40" spans="1:2" s="1588" customFormat="1">
      <c r="A40" s="1586" t="s">
        <v>1240</v>
      </c>
      <c r="B40" s="1587" t="e">
        <f>'预评函-2'!D20</f>
        <v>#VALUE!</v>
      </c>
    </row>
    <row r="41" spans="1:2" s="1588" customFormat="1">
      <c r="A41" s="1586" t="s">
        <v>1286</v>
      </c>
      <c r="B41" s="1587" t="str">
        <f>'预评函-3'!A4</f>
        <v>重庆市江北区观音桥组团I分区I29-3-1/02地块“隆鑫中心”综合项目出让国有建设用地使用权及在建建筑物房地产</v>
      </c>
    </row>
    <row r="42" spans="1:2" s="1588" customFormat="1">
      <c r="A42" s="1586" t="s">
        <v>1284</v>
      </c>
      <c r="B42" s="1587" t="str">
        <f>'预评函-3'!B2</f>
        <v>建筑面积</v>
      </c>
    </row>
    <row r="43" spans="1:2" s="1588" customFormat="1">
      <c r="A43" s="1586" t="s">
        <v>1285</v>
      </c>
      <c r="B43" s="1587">
        <f>'预评函-3'!B4</f>
        <v>378144.48</v>
      </c>
    </row>
    <row r="44" spans="1:2" s="1588" customFormat="1">
      <c r="A44" s="1586" t="s">
        <v>1269</v>
      </c>
      <c r="B44" s="1587" t="str">
        <f>'预评函-3'!C2</f>
        <v>(分摊)土地面积</v>
      </c>
    </row>
    <row r="45" spans="1:2" s="1588" customFormat="1">
      <c r="A45" s="1586" t="s">
        <v>1241</v>
      </c>
      <c r="B45" s="1587">
        <f>'预评函-3'!C4</f>
        <v>25136</v>
      </c>
    </row>
    <row r="46" spans="1:2" s="1588" customFormat="1">
      <c r="A46" s="1586" t="s">
        <v>1267</v>
      </c>
      <c r="B46" s="1587" t="str">
        <f>'预评函-3'!D2</f>
        <v>出让国有建设用地使用权价值</v>
      </c>
    </row>
    <row r="47" spans="1:2" s="1588" customFormat="1">
      <c r="A47" s="1586" t="s">
        <v>1242</v>
      </c>
      <c r="B47" s="1587">
        <f ca="1">'预评函-3'!D4</f>
        <v>347552</v>
      </c>
    </row>
    <row r="48" spans="1:2" s="1588" customFormat="1">
      <c r="A48" s="1586" t="s">
        <v>1243</v>
      </c>
      <c r="B48" s="1587">
        <f ca="1">'预评函-3'!E4</f>
        <v>9191</v>
      </c>
    </row>
    <row r="49" spans="1:2" s="1588" customFormat="1">
      <c r="A49" s="1586" t="s">
        <v>1244</v>
      </c>
      <c r="B49" s="1587" t="str">
        <f ca="1">'预评函-3'!D5</f>
        <v>叁拾肆亿柒仟伍佰伍拾贰万元整</v>
      </c>
    </row>
    <row r="50" spans="1:2" s="1588" customFormat="1">
      <c r="A50" s="1586" t="s">
        <v>1268</v>
      </c>
      <c r="B50" s="1587" t="str">
        <f>'预评函-3'!F2</f>
        <v>在建建筑物价值</v>
      </c>
    </row>
    <row r="51" spans="1:2" s="1588" customFormat="1">
      <c r="A51" s="1586" t="s">
        <v>1245</v>
      </c>
      <c r="B51" s="1587">
        <f ca="1">'预评函-3'!F4</f>
        <v>101481</v>
      </c>
    </row>
    <row r="52" spans="1:2" s="1588" customFormat="1">
      <c r="A52" s="1586" t="s">
        <v>1246</v>
      </c>
      <c r="B52" s="1587">
        <f ca="1">'预评函-3'!G4</f>
        <v>2684</v>
      </c>
    </row>
    <row r="53" spans="1:2" s="1588" customFormat="1">
      <c r="A53" s="1586" t="s">
        <v>1274</v>
      </c>
      <c r="B53" s="1587" t="str">
        <f ca="1">'预评函-3'!F5</f>
        <v>壹拾亿壹仟肆佰捌拾壹万元整</v>
      </c>
    </row>
    <row r="54" spans="1:2" s="1588" customFormat="1">
      <c r="A54" s="1586" t="s">
        <v>1292</v>
      </c>
      <c r="B54" s="1587" t="str">
        <f>'预评函-3'!A8</f>
        <v>房地产抵押价值</v>
      </c>
    </row>
    <row r="55" spans="1:2" s="1588" customFormat="1">
      <c r="A55" s="1586" t="s">
        <v>1275</v>
      </c>
      <c r="B55" s="1587" t="str">
        <f>'预评函-3'!A10</f>
        <v/>
      </c>
    </row>
    <row r="56" spans="1:2" s="1588" customFormat="1">
      <c r="A56" s="1586" t="s">
        <v>1276</v>
      </c>
      <c r="B56" s="1587" t="str">
        <f>'预评函-3'!A12</f>
        <v/>
      </c>
    </row>
    <row r="57" spans="1:2" s="1582" customFormat="1" ht="15" thickBot="1">
      <c r="A57" s="1589" t="s">
        <v>1293</v>
      </c>
      <c r="B57" s="1590" t="str">
        <f>'预评函-3'!A6</f>
        <v>估价师知悉的法定优先受偿款</v>
      </c>
    </row>
    <row r="58" spans="1:2" s="1585" customFormat="1" ht="15" thickTop="1">
      <c r="A58" s="1583" t="s">
        <v>1247</v>
      </c>
      <c r="B58" s="1584" t="str">
        <f>'预评函-4'!A12</f>
        <v>2.本《评估意见函》仅供金融机构进行内部审核使用，不做其他目的之用。</v>
      </c>
    </row>
    <row r="59" spans="1:2" s="1588" customFormat="1">
      <c r="A59" s="1586" t="s">
        <v>1248</v>
      </c>
      <c r="B59" s="1587" t="str">
        <f>'预评函-4'!A13</f>
        <v>3.抵押双方在办理抵押登记手续时，应使用本公司出具的正式《房地产评估报告》，特提醒报告使用者注意。</v>
      </c>
    </row>
    <row r="60" spans="1:2" s="1588" customFormat="1">
      <c r="A60" s="1586" t="s">
        <v>1249</v>
      </c>
      <c r="B60" s="1587" t="str">
        <f>'预评函-4'!A14</f>
        <v>4.本次评估估价师所知悉的法定优先受偿款情况说明如下：</v>
      </c>
    </row>
    <row r="61" spans="1:2" s="1588" customFormat="1">
      <c r="A61" s="1586" t="s">
        <v>1250</v>
      </c>
      <c r="B61" s="1587"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1251</v>
      </c>
      <c r="B62" s="1587" t="str">
        <f>'预评函-4'!A16</f>
        <v>（2）根据《工程款支付情况说明》，截至价值时点，估价对象不存在应付未付工程款项。（只要没有施工方盖章的，均“设定”进行表述）</v>
      </c>
    </row>
    <row r="63" spans="1:2" s="1588" customFormat="1">
      <c r="A63" s="1586" t="s">
        <v>1252</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1264</v>
      </c>
      <c r="B64" s="1587" t="str">
        <f>'预评函-4'!A18</f>
        <v>故，本次评估估价师知悉的法定优先受偿款为人民币18844.7万元整。</v>
      </c>
    </row>
    <row r="65" spans="1:2" s="1588" customFormat="1">
      <c r="A65" s="1586" t="s">
        <v>1253</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1254</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1265</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1266</v>
      </c>
      <c r="B68" s="1587" t="str">
        <f>'预评函-4'!A22</f>
        <v>8.其他需特殊说明事项：无（注意调整序号）</v>
      </c>
    </row>
    <row r="69" spans="1:2" s="1582" customFormat="1" ht="15" thickBot="1">
      <c r="A69" s="1589" t="s">
        <v>1255</v>
      </c>
      <c r="B69" s="1591">
        <f>'预评函-4'!C31</f>
        <v>42551</v>
      </c>
    </row>
    <row r="70" spans="1:2" ht="15" thickTop="1">
      <c r="A70" s="1592" t="s">
        <v>1256</v>
      </c>
      <c r="B70" s="1593" t="str">
        <f>'预评函-4'!A4</f>
        <v>郑燚</v>
      </c>
    </row>
    <row r="71" spans="1:2">
      <c r="A71" s="1586" t="s">
        <v>1257</v>
      </c>
      <c r="B71" s="1587">
        <f ca="1">'预评函-4'!B4</f>
        <v>1120070131</v>
      </c>
    </row>
    <row r="72" spans="1:2">
      <c r="A72" s="1586" t="s">
        <v>1258</v>
      </c>
      <c r="B72" s="1595" t="str">
        <f>'预评函-4'!A5</f>
        <v>王鹏</v>
      </c>
    </row>
    <row r="73" spans="1:2" s="1582" customFormat="1" ht="15" thickBot="1">
      <c r="A73" s="1589" t="s">
        <v>1259</v>
      </c>
      <c r="B73" s="1590">
        <f ca="1">'预评函-4'!B5</f>
        <v>1120050019</v>
      </c>
    </row>
    <row r="74" spans="1:2" ht="15" thickTop="1">
      <c r="A74" s="1579" t="s">
        <v>1295</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3.5"/>
  <cols>
    <col min="1" max="1" width="13.5" style="2018" customWidth="1"/>
    <col min="2" max="2" width="23.25" style="1969" customWidth="1"/>
    <col min="3" max="3" width="13" style="2013" customWidth="1"/>
    <col min="4" max="4" width="5.75" style="2010" customWidth="1"/>
    <col min="5" max="5" width="7.125" style="2010" customWidth="1"/>
    <col min="6" max="6" width="10.625" style="2010" customWidth="1"/>
    <col min="7" max="7" width="7.5" style="2010" customWidth="1"/>
    <col min="8" max="8" width="9" style="2013" customWidth="1"/>
    <col min="9" max="9" width="11.625" style="2013" customWidth="1"/>
    <col min="10" max="10" width="9" style="2013" customWidth="1"/>
    <col min="11" max="19" width="9" style="2010" customWidth="1"/>
    <col min="20" max="23" width="9" style="2013" customWidth="1"/>
    <col min="24" max="24" width="21.125" style="1969" customWidth="1"/>
    <col min="25" max="16384" width="9" style="1969"/>
  </cols>
  <sheetData>
    <row r="1" spans="1:23" s="2007" customFormat="1" ht="27">
      <c r="A1" s="2001" t="s">
        <v>71</v>
      </c>
      <c r="B1" s="2002" t="s">
        <v>1685</v>
      </c>
      <c r="C1" s="2003" t="s">
        <v>759</v>
      </c>
      <c r="D1" s="2004" t="s">
        <v>1686</v>
      </c>
      <c r="E1" s="2004" t="s">
        <v>1687</v>
      </c>
      <c r="F1" s="2004" t="s">
        <v>1688</v>
      </c>
      <c r="G1" s="2004" t="s">
        <v>1689</v>
      </c>
      <c r="H1" s="2004" t="s">
        <v>1690</v>
      </c>
      <c r="I1" s="2004" t="s">
        <v>1691</v>
      </c>
      <c r="J1" s="2004" t="s">
        <v>1692</v>
      </c>
      <c r="K1" s="2004" t="s">
        <v>1693</v>
      </c>
      <c r="L1" s="2004" t="s">
        <v>1694</v>
      </c>
      <c r="M1" s="2004" t="s">
        <v>1695</v>
      </c>
      <c r="N1" s="2004" t="s">
        <v>1696</v>
      </c>
      <c r="O1" s="2004" t="s">
        <v>1697</v>
      </c>
      <c r="P1" s="2005" t="s">
        <v>753</v>
      </c>
      <c r="Q1" s="2005" t="s">
        <v>1141</v>
      </c>
      <c r="R1" s="2004" t="s">
        <v>1135</v>
      </c>
      <c r="S1" s="2004" t="s">
        <v>1698</v>
      </c>
      <c r="T1" s="2006" t="s">
        <v>1699</v>
      </c>
      <c r="U1" s="2004" t="s">
        <v>1700</v>
      </c>
      <c r="V1" s="2004" t="s">
        <v>1701</v>
      </c>
      <c r="W1" s="2004" t="s">
        <v>755</v>
      </c>
    </row>
    <row r="2" spans="1:23">
      <c r="A2" s="2008" t="s">
        <v>22</v>
      </c>
      <c r="B2" s="2008" t="s">
        <v>1702</v>
      </c>
      <c r="C2" s="2009" t="s">
        <v>760</v>
      </c>
      <c r="D2" s="2010" t="s">
        <v>1703</v>
      </c>
      <c r="E2" s="2010" t="s">
        <v>1704</v>
      </c>
      <c r="F2" s="2010" t="s">
        <v>1705</v>
      </c>
      <c r="G2" s="2010">
        <v>40</v>
      </c>
      <c r="H2" s="2010" t="s">
        <v>1705</v>
      </c>
      <c r="I2" s="2010" t="s">
        <v>1706</v>
      </c>
      <c r="J2" s="2010" t="s">
        <v>1707</v>
      </c>
      <c r="K2" s="2010" t="s">
        <v>1708</v>
      </c>
      <c r="L2" s="2010" t="s">
        <v>1708</v>
      </c>
      <c r="M2" s="2010" t="s">
        <v>1708</v>
      </c>
      <c r="N2" s="2010" t="s">
        <v>1708</v>
      </c>
      <c r="O2" s="2010" t="s">
        <v>1708</v>
      </c>
      <c r="P2" s="2010" t="s">
        <v>1708</v>
      </c>
      <c r="Q2" s="2010" t="s">
        <v>1708</v>
      </c>
      <c r="R2" s="2010" t="s">
        <v>1137</v>
      </c>
      <c r="S2" s="2010" t="s">
        <v>1708</v>
      </c>
      <c r="T2" s="2010" t="s">
        <v>1709</v>
      </c>
      <c r="U2" s="2010" t="s">
        <v>1708</v>
      </c>
      <c r="V2" s="2010" t="s">
        <v>1710</v>
      </c>
      <c r="W2" s="2010" t="s">
        <v>1708</v>
      </c>
    </row>
    <row r="3" spans="1:23">
      <c r="A3" s="2008" t="s">
        <v>1711</v>
      </c>
      <c r="B3" s="2011" t="s">
        <v>1142</v>
      </c>
      <c r="C3" s="2012" t="s">
        <v>761</v>
      </c>
      <c r="D3" s="2010" t="s">
        <v>1712</v>
      </c>
      <c r="E3" s="2010" t="s">
        <v>16</v>
      </c>
      <c r="F3" s="2010" t="s">
        <v>1713</v>
      </c>
      <c r="G3" s="2010">
        <v>50</v>
      </c>
      <c r="H3" s="2010" t="s">
        <v>1713</v>
      </c>
      <c r="I3" s="2010" t="s">
        <v>1714</v>
      </c>
      <c r="J3" s="2010" t="s">
        <v>1715</v>
      </c>
      <c r="K3" s="2010" t="s">
        <v>1716</v>
      </c>
      <c r="L3" s="2010" t="s">
        <v>1716</v>
      </c>
      <c r="M3" s="2010" t="s">
        <v>1716</v>
      </c>
      <c r="N3" s="2010" t="s">
        <v>1716</v>
      </c>
      <c r="O3" s="2010" t="s">
        <v>1716</v>
      </c>
      <c r="P3" s="2010" t="s">
        <v>1716</v>
      </c>
      <c r="Q3" s="2010" t="s">
        <v>1716</v>
      </c>
      <c r="R3" s="2010" t="s">
        <v>1136</v>
      </c>
      <c r="S3" s="2010" t="s">
        <v>1716</v>
      </c>
      <c r="T3" s="2010" t="s">
        <v>1717</v>
      </c>
      <c r="U3" s="2010" t="s">
        <v>1716</v>
      </c>
      <c r="V3" s="2010" t="s">
        <v>1718</v>
      </c>
      <c r="W3" s="2010" t="s">
        <v>1716</v>
      </c>
    </row>
    <row r="4" spans="1:23">
      <c r="A4" s="2008" t="s">
        <v>1719</v>
      </c>
      <c r="B4" s="2008" t="s">
        <v>1720</v>
      </c>
      <c r="C4" s="2009" t="s">
        <v>762</v>
      </c>
      <c r="D4" s="2010" t="s">
        <v>865</v>
      </c>
      <c r="E4" s="2010" t="s">
        <v>1721</v>
      </c>
      <c r="F4" s="2010" t="s">
        <v>1722</v>
      </c>
      <c r="G4" s="2010">
        <v>70</v>
      </c>
      <c r="H4" s="2010" t="s">
        <v>1722</v>
      </c>
      <c r="I4" s="2010" t="s">
        <v>1723</v>
      </c>
      <c r="K4" s="2010" t="s">
        <v>1724</v>
      </c>
      <c r="L4" s="2010" t="s">
        <v>1724</v>
      </c>
      <c r="M4" s="2010" t="s">
        <v>1724</v>
      </c>
      <c r="N4" s="2010" t="s">
        <v>1724</v>
      </c>
      <c r="O4" s="2010" t="s">
        <v>1724</v>
      </c>
      <c r="P4" s="2010" t="s">
        <v>1724</v>
      </c>
      <c r="Q4" s="2010" t="s">
        <v>1724</v>
      </c>
      <c r="R4" s="2010" t="s">
        <v>1138</v>
      </c>
      <c r="S4" s="2010" t="s">
        <v>1724</v>
      </c>
      <c r="T4" s="2010" t="s">
        <v>1725</v>
      </c>
      <c r="U4" s="2010" t="s">
        <v>1724</v>
      </c>
      <c r="W4" s="2010" t="s">
        <v>1724</v>
      </c>
    </row>
    <row r="5" spans="1:23">
      <c r="A5" s="2008" t="s">
        <v>1726</v>
      </c>
      <c r="B5" s="2008" t="s">
        <v>1727</v>
      </c>
      <c r="C5" s="2009" t="s">
        <v>763</v>
      </c>
      <c r="F5" s="2010" t="s">
        <v>1728</v>
      </c>
      <c r="H5" s="2010" t="s">
        <v>1729</v>
      </c>
      <c r="I5" s="2010" t="s">
        <v>1730</v>
      </c>
      <c r="K5" s="2010" t="s">
        <v>1731</v>
      </c>
      <c r="L5" s="2010" t="s">
        <v>1731</v>
      </c>
      <c r="M5" s="2010" t="s">
        <v>1731</v>
      </c>
      <c r="N5" s="2010" t="s">
        <v>1731</v>
      </c>
      <c r="O5" s="2010" t="s">
        <v>1731</v>
      </c>
      <c r="P5" s="2010" t="s">
        <v>1731</v>
      </c>
      <c r="Q5" s="2010" t="s">
        <v>1731</v>
      </c>
      <c r="R5" s="2010" t="s">
        <v>1139</v>
      </c>
      <c r="S5" s="2010" t="s">
        <v>1731</v>
      </c>
      <c r="T5" s="2010" t="s">
        <v>1732</v>
      </c>
      <c r="U5" s="2010" t="s">
        <v>1731</v>
      </c>
      <c r="W5" s="2010" t="s">
        <v>1731</v>
      </c>
    </row>
    <row r="6" spans="1:23">
      <c r="A6" s="2008" t="s">
        <v>1733</v>
      </c>
      <c r="B6" s="2011" t="s">
        <v>1143</v>
      </c>
      <c r="C6" s="2014" t="s">
        <v>30</v>
      </c>
      <c r="F6" s="2010" t="s">
        <v>1729</v>
      </c>
      <c r="H6" s="2010" t="s">
        <v>1734</v>
      </c>
      <c r="I6" s="2010" t="s">
        <v>1735</v>
      </c>
      <c r="K6" s="2010" t="s">
        <v>1736</v>
      </c>
      <c r="L6" s="2010" t="s">
        <v>1736</v>
      </c>
      <c r="M6" s="2010" t="s">
        <v>1736</v>
      </c>
      <c r="N6" s="2010" t="s">
        <v>1736</v>
      </c>
      <c r="O6" s="2010" t="s">
        <v>1736</v>
      </c>
      <c r="P6" s="2010" t="s">
        <v>1736</v>
      </c>
      <c r="Q6" s="2010" t="s">
        <v>1736</v>
      </c>
      <c r="R6" s="2010" t="s">
        <v>1140</v>
      </c>
      <c r="S6" s="2010" t="s">
        <v>1736</v>
      </c>
      <c r="T6" s="2010"/>
      <c r="U6" s="2010" t="s">
        <v>1736</v>
      </c>
      <c r="W6" s="2010" t="s">
        <v>1736</v>
      </c>
    </row>
    <row r="7" spans="1:23">
      <c r="A7" s="2008" t="s">
        <v>1737</v>
      </c>
      <c r="B7" s="2011" t="s">
        <v>1144</v>
      </c>
      <c r="C7" s="2009" t="s">
        <v>31</v>
      </c>
      <c r="F7" s="2010" t="s">
        <v>1738</v>
      </c>
      <c r="H7" s="2010" t="s">
        <v>1739</v>
      </c>
      <c r="I7" s="2010" t="s">
        <v>1740</v>
      </c>
    </row>
    <row r="8" spans="1:23">
      <c r="A8" s="2008" t="s">
        <v>1741</v>
      </c>
      <c r="B8" s="2008" t="s">
        <v>1742</v>
      </c>
      <c r="C8" s="2009" t="s">
        <v>764</v>
      </c>
      <c r="F8" s="2010" t="s">
        <v>1743</v>
      </c>
      <c r="H8" s="2010"/>
      <c r="I8" s="2010" t="s">
        <v>1744</v>
      </c>
    </row>
    <row r="9" spans="1:23">
      <c r="A9" s="2008" t="s">
        <v>1745</v>
      </c>
      <c r="B9" s="2008" t="s">
        <v>1746</v>
      </c>
      <c r="C9" s="2009" t="s">
        <v>765</v>
      </c>
      <c r="F9" s="2010" t="s">
        <v>1747</v>
      </c>
      <c r="H9" s="2010"/>
    </row>
    <row r="10" spans="1:23">
      <c r="A10" s="2008" t="s">
        <v>1748</v>
      </c>
      <c r="B10" s="2008" t="s">
        <v>1749</v>
      </c>
      <c r="C10" s="2009" t="s">
        <v>766</v>
      </c>
      <c r="F10" s="2010" t="s">
        <v>16</v>
      </c>
    </row>
    <row r="11" spans="1:23">
      <c r="A11" s="2008" t="s">
        <v>1750</v>
      </c>
      <c r="B11" s="2008" t="s">
        <v>1751</v>
      </c>
      <c r="C11" s="2009" t="s">
        <v>767</v>
      </c>
    </row>
    <row r="12" spans="1:23">
      <c r="A12" s="2008" t="s">
        <v>1752</v>
      </c>
      <c r="B12" s="2008" t="s">
        <v>1753</v>
      </c>
      <c r="C12" s="2009" t="s">
        <v>768</v>
      </c>
    </row>
    <row r="13" spans="1:23">
      <c r="A13" s="2008" t="s">
        <v>1754</v>
      </c>
      <c r="B13" s="2008" t="s">
        <v>1755</v>
      </c>
      <c r="C13" s="2009" t="s">
        <v>769</v>
      </c>
    </row>
    <row r="14" spans="1:23">
      <c r="A14" s="2008" t="s">
        <v>1756</v>
      </c>
      <c r="B14" s="2008" t="s">
        <v>1757</v>
      </c>
      <c r="C14" s="2010" t="s">
        <v>16</v>
      </c>
    </row>
    <row r="15" spans="1:23">
      <c r="A15" s="2008" t="s">
        <v>1758</v>
      </c>
      <c r="B15" s="2008" t="s">
        <v>1759</v>
      </c>
      <c r="C15" s="2009"/>
    </row>
    <row r="16" spans="1:23">
      <c r="A16" s="2008" t="s">
        <v>1760</v>
      </c>
      <c r="B16" s="2008" t="s">
        <v>756</v>
      </c>
      <c r="C16" s="2009"/>
    </row>
    <row r="17" spans="1:3">
      <c r="A17" s="2008" t="s">
        <v>1761</v>
      </c>
      <c r="B17" s="2008" t="s">
        <v>757</v>
      </c>
      <c r="C17" s="2009"/>
    </row>
    <row r="18" spans="1:3">
      <c r="A18" s="2008" t="s">
        <v>1762</v>
      </c>
      <c r="B18" s="2008" t="s">
        <v>3154</v>
      </c>
      <c r="C18" s="2009"/>
    </row>
    <row r="19" spans="1:3">
      <c r="A19" s="2008" t="s">
        <v>1763</v>
      </c>
      <c r="B19" s="2008" t="s">
        <v>3155</v>
      </c>
      <c r="C19" s="2009"/>
    </row>
    <row r="20" spans="1:3">
      <c r="A20" s="2008" t="s">
        <v>1764</v>
      </c>
      <c r="B20" s="2008" t="s">
        <v>3156</v>
      </c>
      <c r="C20" s="2009"/>
    </row>
    <row r="21" spans="1:3">
      <c r="A21" s="2008" t="s">
        <v>1765</v>
      </c>
      <c r="B21" s="2008" t="s">
        <v>757</v>
      </c>
      <c r="C21" s="2009"/>
    </row>
    <row r="22" spans="1:3">
      <c r="A22" s="2008" t="s">
        <v>1766</v>
      </c>
      <c r="B22" s="2008" t="s">
        <v>757</v>
      </c>
      <c r="C22" s="2009"/>
    </row>
    <row r="23" spans="1:3">
      <c r="A23" s="2008" t="s">
        <v>1767</v>
      </c>
      <c r="B23" s="2008" t="s">
        <v>757</v>
      </c>
      <c r="C23" s="2009"/>
    </row>
    <row r="24" spans="1:3">
      <c r="A24" s="2008" t="s">
        <v>1768</v>
      </c>
      <c r="B24" s="2008" t="s">
        <v>757</v>
      </c>
      <c r="C24" s="2009"/>
    </row>
    <row r="25" spans="1:3">
      <c r="A25" s="2008" t="s">
        <v>1769</v>
      </c>
      <c r="B25" s="2008" t="s">
        <v>757</v>
      </c>
      <c r="C25" s="2009"/>
    </row>
    <row r="26" spans="1:3">
      <c r="A26" s="2008" t="s">
        <v>1770</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854</v>
      </c>
      <c r="B51" s="2016"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华诚投资有限公司拟使用重庆市江北区观音桥组团I分区I29-3-1/02地块“隆鑫中心”综合项目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16" t="s">
        <v>1280</v>
      </c>
    </row>
    <row r="52" spans="1:4">
      <c r="A52" s="2015" t="s">
        <v>855</v>
      </c>
      <c r="B52" s="2015" t="s">
        <v>856</v>
      </c>
      <c r="C52" s="2013" t="s">
        <v>857</v>
      </c>
      <c r="D52" s="2013" t="s">
        <v>858</v>
      </c>
    </row>
    <row r="53" spans="1:4">
      <c r="A53" s="3113" t="s">
        <v>859</v>
      </c>
      <c r="B53" s="2016" t="s">
        <v>860</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27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113"/>
      <c r="B54" s="2016" t="s">
        <v>861</v>
      </c>
      <c r="C54" s="2013" t="s">
        <v>1277</v>
      </c>
    </row>
    <row r="55" spans="1:4">
      <c r="A55" s="3113"/>
      <c r="B55" s="2016" t="s">
        <v>862</v>
      </c>
      <c r="C55" s="2013" t="s">
        <v>1278</v>
      </c>
    </row>
    <row r="56" spans="1:4">
      <c r="A56" s="3113"/>
      <c r="B56" s="2016" t="s">
        <v>863</v>
      </c>
      <c r="C56" s="2013" t="s">
        <v>1282</v>
      </c>
    </row>
    <row r="57" spans="1:4">
      <c r="A57" s="3113"/>
      <c r="B57" s="2016" t="s">
        <v>864</v>
      </c>
      <c r="C57" s="2013" t="s">
        <v>1279</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026" customWidth="1"/>
    <col min="2" max="2" width="12" style="2026" customWidth="1"/>
    <col min="3" max="3" width="11.5" style="2026" customWidth="1"/>
    <col min="4" max="4" width="13.5" style="2026" customWidth="1"/>
    <col min="5" max="6" width="10" style="2026" customWidth="1"/>
    <col min="7" max="7" width="10.75" style="2026" customWidth="1"/>
    <col min="8" max="8" width="10" style="2026" customWidth="1"/>
    <col min="9" max="9" width="11.125" style="2151" customWidth="1"/>
    <col min="10" max="10" width="10" style="2026" customWidth="1"/>
    <col min="11" max="11" width="10" style="2152" customWidth="1"/>
    <col min="12" max="13" width="10" style="2153" customWidth="1"/>
    <col min="14" max="14" width="10" style="2026" customWidth="1"/>
    <col min="15" max="15" width="10" style="2151" customWidth="1"/>
    <col min="16" max="17" width="10" style="2026"/>
    <col min="18" max="18" width="10" style="2026" customWidth="1"/>
    <col min="19" max="16384" width="10" style="2026"/>
  </cols>
  <sheetData>
    <row r="1" spans="1:19" ht="38.25" customHeight="1" thickBot="1">
      <c r="A1" s="2019" t="s">
        <v>1771</v>
      </c>
      <c r="B1" s="3114" t="str">
        <f>IF(B10="北京市","北京市",C10)&amp;F10&amp;IF(结果表!G1="在建","出让国有建设用地使用权及在建建筑物",IF(结果表!G1="土地","出让国有建设用地使用权",))&amp;B9&amp;"预评估"</f>
        <v>重庆市江北区观音桥组团I分区I29-3-1/02地块“隆鑫中心”综合项目出让国有建设用地使用权及在建建筑物房地产抵押价值预评估</v>
      </c>
      <c r="C1" s="3115"/>
      <c r="D1" s="3115"/>
      <c r="E1" s="3115"/>
      <c r="F1" s="3115"/>
      <c r="G1" s="3115"/>
      <c r="H1" s="3115"/>
      <c r="I1" s="3116"/>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重庆市江北区观音桥组团I分区I29-3-1/02地块“隆鑫中心”综合项目出让国有建设用地使用权及在建建筑物房地产抵押价值</v>
      </c>
    </row>
    <row r="2" spans="1:19" ht="18" customHeight="1">
      <c r="A2" s="2020" t="s">
        <v>1772</v>
      </c>
      <c r="B2" s="1035"/>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重庆市江北区观音桥组团I分区I29-3-1/02地块“隆鑫中心”综合项目出让国有建设用地使用权及在建建筑物房地产</v>
      </c>
    </row>
    <row r="3" spans="1:19" ht="18" customHeight="1">
      <c r="A3" s="2029" t="s">
        <v>1773</v>
      </c>
      <c r="B3" s="2030">
        <v>43796</v>
      </c>
      <c r="C3" s="2031" t="s">
        <v>1774</v>
      </c>
      <c r="D3" s="2030">
        <f>B3</f>
        <v>43796</v>
      </c>
      <c r="E3" s="2020"/>
      <c r="F3" s="2020"/>
      <c r="G3" s="2020"/>
      <c r="H3" s="2020"/>
      <c r="I3" s="2020"/>
      <c r="J3" s="2020"/>
      <c r="K3" s="2021"/>
      <c r="L3" s="2022"/>
      <c r="M3" s="2022"/>
      <c r="N3" s="2023"/>
      <c r="O3" s="2024"/>
      <c r="P3" s="2023"/>
      <c r="Q3" s="2023"/>
      <c r="R3" s="2023"/>
      <c r="S3" s="2025"/>
    </row>
    <row r="4" spans="1:19" ht="18" customHeight="1" thickBot="1">
      <c r="A4" s="2032" t="s">
        <v>1775</v>
      </c>
      <c r="B4" s="2033" t="s">
        <v>3071</v>
      </c>
      <c r="C4" s="1033">
        <f ca="1">SUMIF(注册房地产估价师,B4,估价师及机构信息!B3:B24)</f>
        <v>1120070131</v>
      </c>
      <c r="D4" s="2033" t="s">
        <v>3072</v>
      </c>
      <c r="E4" s="1034">
        <f ca="1">SUMIF(注册房地产估价师,D4,估价师及机构信息!B3:B24)</f>
        <v>1120050019</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郑燚（注册号：1120070131)、王鹏（注册号：1120050019)</v>
      </c>
      <c r="L4" s="2022"/>
      <c r="M4" s="2022"/>
      <c r="N4" s="2023"/>
      <c r="O4" s="2024"/>
      <c r="P4" s="2023"/>
      <c r="Q4" s="2023"/>
      <c r="R4" s="2023"/>
      <c r="S4" s="2025"/>
    </row>
    <row r="5" spans="1:19" ht="35.25" customHeight="1" thickTop="1">
      <c r="A5" s="2038" t="s">
        <v>1776</v>
      </c>
      <c r="B5" s="2039" t="str">
        <f>B6</f>
        <v>中诚信托有限责任公司</v>
      </c>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1777</v>
      </c>
      <c r="B6" s="2961" t="s">
        <v>3051</v>
      </c>
      <c r="C6" s="2043"/>
      <c r="D6" s="2044"/>
      <c r="E6" s="2028"/>
      <c r="F6" s="2036"/>
      <c r="G6" s="2036"/>
      <c r="H6" s="2036"/>
      <c r="I6" s="2036"/>
      <c r="J6" s="2036"/>
      <c r="K6" s="2045" t="str">
        <f>IF(COUNTIF(B6,"*上海银行*"),"上海银行","")</f>
        <v/>
      </c>
      <c r="L6" s="2022"/>
      <c r="M6" s="2022"/>
      <c r="N6" s="2023"/>
      <c r="O6" s="2024"/>
      <c r="P6" s="2023"/>
      <c r="Q6" s="2023"/>
      <c r="R6" s="2023"/>
    </row>
    <row r="7" spans="1:19" ht="33.75" customHeight="1">
      <c r="A7" s="2042" t="s">
        <v>1778</v>
      </c>
      <c r="B7" s="2046" t="str">
        <f>C11</f>
        <v>重庆华诚投资有限公司</v>
      </c>
      <c r="C7" s="2043"/>
      <c r="D7" s="2044"/>
      <c r="E7" s="2028"/>
      <c r="F7" s="2036"/>
      <c r="G7" s="2036"/>
      <c r="H7" s="2036"/>
      <c r="I7" s="2036"/>
      <c r="J7" s="2036"/>
      <c r="K7" s="2047"/>
      <c r="L7" s="2022"/>
      <c r="M7" s="2022"/>
      <c r="N7" s="2023"/>
      <c r="O7" s="2024"/>
      <c r="P7" s="2023"/>
      <c r="Q7" s="2023"/>
      <c r="R7" s="2023"/>
    </row>
    <row r="8" spans="1:19" ht="18" customHeight="1">
      <c r="A8" s="2042" t="s">
        <v>1779</v>
      </c>
      <c r="B8" s="2048" t="s">
        <v>3052</v>
      </c>
      <c r="C8" s="2049"/>
      <c r="D8" s="3117" t="s">
        <v>1780</v>
      </c>
      <c r="E8" s="2050" t="s">
        <v>3053</v>
      </c>
      <c r="F8" s="2051"/>
      <c r="G8" s="2020"/>
      <c r="H8" s="2020"/>
      <c r="I8" s="2020"/>
      <c r="J8" s="2036"/>
      <c r="K8" s="2037"/>
      <c r="L8" s="2022"/>
      <c r="M8" s="2022"/>
      <c r="N8" s="2023"/>
      <c r="O8" s="2024"/>
      <c r="P8" s="2023"/>
      <c r="Q8" s="2023"/>
      <c r="R8" s="2023"/>
    </row>
    <row r="9" spans="1:19" ht="18" customHeight="1" thickBot="1">
      <c r="A9" s="2034" t="s">
        <v>1781</v>
      </c>
      <c r="B9" s="2052" t="s">
        <v>3053</v>
      </c>
      <c r="C9" s="2053"/>
      <c r="D9" s="3118"/>
      <c r="E9" s="2052"/>
      <c r="F9" s="2054"/>
      <c r="G9" s="2055"/>
      <c r="H9" s="2055"/>
      <c r="I9" s="2055"/>
      <c r="J9" s="2036"/>
      <c r="K9" s="2047"/>
      <c r="L9" s="2022"/>
      <c r="M9" s="2022"/>
      <c r="N9" s="2023"/>
      <c r="O9" s="2024"/>
      <c r="P9" s="2023"/>
      <c r="Q9" s="2023"/>
      <c r="R9" s="2023"/>
    </row>
    <row r="10" spans="1:19" ht="18" customHeight="1" thickTop="1">
      <c r="A10" s="2056" t="s">
        <v>1782</v>
      </c>
      <c r="B10" s="2057" t="s">
        <v>3054</v>
      </c>
      <c r="C10" s="2058"/>
      <c r="D10" s="2041"/>
      <c r="E10" s="2059" t="s">
        <v>1783</v>
      </c>
      <c r="F10" s="2060" t="s">
        <v>3060</v>
      </c>
      <c r="G10" s="2061"/>
      <c r="H10" s="2062"/>
      <c r="I10" s="2041"/>
      <c r="J10" s="2036"/>
      <c r="K10" s="2047"/>
      <c r="L10" s="2022"/>
      <c r="M10" s="2022"/>
      <c r="N10" s="2023"/>
      <c r="O10" s="2024"/>
      <c r="P10" s="2023"/>
      <c r="Q10" s="2023"/>
      <c r="R10" s="2023"/>
    </row>
    <row r="11" spans="1:19" ht="18" customHeight="1">
      <c r="A11" s="2063" t="s">
        <v>1784</v>
      </c>
      <c r="B11" s="2064" t="s">
        <v>3055</v>
      </c>
      <c r="C11" s="2962" t="s">
        <v>3059</v>
      </c>
      <c r="D11" s="2065"/>
      <c r="E11" s="2036"/>
      <c r="F11" s="2036"/>
      <c r="G11" s="2036"/>
      <c r="H11" s="2036"/>
      <c r="I11" s="2036"/>
      <c r="J11" s="2036"/>
      <c r="K11" s="2047"/>
      <c r="L11" s="2022"/>
      <c r="M11" s="2022"/>
      <c r="N11" s="2023"/>
      <c r="O11" s="2024"/>
      <c r="P11" s="2023"/>
      <c r="Q11" s="2023"/>
      <c r="R11" s="2023"/>
    </row>
    <row r="12" spans="1:19" ht="18" customHeight="1">
      <c r="A12" s="2066" t="s">
        <v>1785</v>
      </c>
      <c r="B12" s="2064" t="s">
        <v>3056</v>
      </c>
      <c r="C12" s="2067" t="s">
        <v>1786</v>
      </c>
      <c r="D12" s="2068" t="s">
        <v>1787</v>
      </c>
      <c r="E12" s="2068" t="s">
        <v>1788</v>
      </c>
      <c r="F12" s="2068" t="s">
        <v>1789</v>
      </c>
      <c r="G12" s="2068" t="s">
        <v>1790</v>
      </c>
      <c r="H12" s="2068" t="s">
        <v>1791</v>
      </c>
      <c r="I12" s="2068" t="s">
        <v>1792</v>
      </c>
      <c r="J12" s="2036"/>
      <c r="K12" s="2047"/>
      <c r="L12" s="2022"/>
      <c r="M12" s="2022"/>
      <c r="N12" s="2023"/>
      <c r="O12" s="2024"/>
      <c r="P12" s="2023"/>
      <c r="Q12" s="2023"/>
      <c r="R12" s="2023"/>
    </row>
    <row r="13" spans="1:19" ht="18" customHeight="1">
      <c r="A13" s="2069"/>
      <c r="B13" s="2070"/>
      <c r="C13" s="2071" t="s">
        <v>1793</v>
      </c>
      <c r="D13" s="2072">
        <v>59048</v>
      </c>
      <c r="E13" s="2072">
        <v>55395</v>
      </c>
      <c r="F13" s="2072">
        <f>E13</f>
        <v>55395</v>
      </c>
      <c r="G13" s="2072">
        <f>E13</f>
        <v>55395</v>
      </c>
      <c r="H13" s="2072"/>
      <c r="I13" s="1043"/>
      <c r="J13" s="2036"/>
      <c r="K13" s="2047"/>
      <c r="L13" s="2022"/>
      <c r="M13" s="2022"/>
      <c r="N13" s="2023"/>
      <c r="O13" s="2024"/>
      <c r="P13" s="2023"/>
      <c r="Q13" s="2023"/>
      <c r="R13" s="2023"/>
    </row>
    <row r="14" spans="1:19" ht="18" customHeight="1">
      <c r="A14" s="2069"/>
      <c r="B14" s="2070"/>
      <c r="C14" s="2071" t="s">
        <v>1794</v>
      </c>
      <c r="D14" s="1046">
        <v>50</v>
      </c>
      <c r="E14" s="1046">
        <v>40</v>
      </c>
      <c r="F14" s="1046">
        <v>40</v>
      </c>
      <c r="G14" s="1046">
        <v>40</v>
      </c>
      <c r="H14" s="1046"/>
      <c r="I14" s="1046"/>
      <c r="J14" s="2036"/>
      <c r="K14" s="2073"/>
      <c r="L14" s="2022"/>
      <c r="M14" s="2022"/>
      <c r="N14" s="2023"/>
      <c r="O14" s="2024"/>
      <c r="P14" s="2023"/>
      <c r="Q14" s="2023"/>
      <c r="R14" s="2023"/>
    </row>
    <row r="15" spans="1:19" ht="18" customHeight="1">
      <c r="A15" s="2056"/>
      <c r="B15" s="2074"/>
      <c r="C15" s="2071" t="s">
        <v>1795</v>
      </c>
      <c r="D15" s="1045">
        <f>IF(B12="出让",IF(D13="","",ROUNDDOWN(MIN((D13-$D$3)/365,D14),2)),D14)</f>
        <v>41.78</v>
      </c>
      <c r="E15" s="1045">
        <f>IF(B12="出让",IF(E13="","",ROUNDDOWN(MIN((E13-$D$3)/365,E14),2)),E14)</f>
        <v>31.77</v>
      </c>
      <c r="F15" s="1045">
        <f>IF(B12="出让",IF(F13="","",ROUNDDOWN(MIN((F13-$D$3)/365,F14),2)),F14)</f>
        <v>31.77</v>
      </c>
      <c r="G15" s="1045">
        <f>IF(B12="出让",IF(G13="","",ROUNDDOWN(MIN((G13-$D$3)/365,G14),2)),G14)</f>
        <v>31.77</v>
      </c>
      <c r="H15" s="1045" t="str">
        <f>IF(B12="出让",IF(H13="","",ROUNDDOWN(MIN((H13-$D$3)/365,H14),2)),H14)</f>
        <v/>
      </c>
      <c r="I15" s="1045" t="str">
        <f>IF(B12="出让",IF(I13="","",ROUNDDOWN(MIN((I13-$D$3)/365,I14),2)),I14)</f>
        <v/>
      </c>
      <c r="J15" s="2036"/>
      <c r="K15" s="2075"/>
      <c r="L15" s="2076"/>
      <c r="M15" s="2076"/>
      <c r="N15" s="2077"/>
      <c r="O15" s="2076"/>
      <c r="P15" s="2077"/>
      <c r="Q15" s="2023"/>
      <c r="R15" s="2023"/>
    </row>
    <row r="16" spans="1:19" ht="30.75" customHeight="1">
      <c r="A16" s="2059" t="s">
        <v>1796</v>
      </c>
      <c r="B16" s="3124" t="s">
        <v>3062</v>
      </c>
      <c r="C16" s="3125"/>
      <c r="D16" s="3126"/>
      <c r="E16" s="2078" t="s">
        <v>1797</v>
      </c>
      <c r="F16" s="3127"/>
      <c r="G16" s="3128"/>
      <c r="H16" s="3128"/>
      <c r="I16" s="3129"/>
      <c r="J16" s="2023"/>
      <c r="K16" s="2075"/>
      <c r="L16" s="2076"/>
      <c r="M16" s="2076"/>
      <c r="N16" s="2077"/>
      <c r="O16" s="2076"/>
      <c r="P16" s="2077"/>
      <c r="Q16" s="2023"/>
      <c r="R16" s="2023"/>
    </row>
    <row r="17" spans="1:22" ht="18" customHeight="1">
      <c r="A17" s="2079" t="s">
        <v>1798</v>
      </c>
      <c r="B17" s="2029" t="s">
        <v>1799</v>
      </c>
      <c r="C17" s="1050">
        <f>'数据-汇总表'!E3</f>
        <v>378144.48</v>
      </c>
      <c r="D17" s="2080" t="s">
        <v>1800</v>
      </c>
      <c r="E17" s="3130" t="s">
        <v>1801</v>
      </c>
      <c r="F17" s="3131"/>
      <c r="G17" s="3131"/>
      <c r="H17" s="3131"/>
      <c r="I17" s="3132"/>
      <c r="J17" s="2023"/>
      <c r="K17" s="2081"/>
      <c r="L17" s="2076"/>
      <c r="M17" s="2076"/>
      <c r="N17" s="2077"/>
      <c r="O17" s="2076"/>
      <c r="P17" s="2077"/>
      <c r="Q17" s="2023"/>
      <c r="R17" s="2023"/>
      <c r="S17" s="2023"/>
      <c r="T17" s="2023"/>
      <c r="U17" s="2023"/>
      <c r="V17" s="2023"/>
    </row>
    <row r="18" spans="1:22" ht="36" customHeight="1" thickBot="1">
      <c r="A18" s="2082" t="s">
        <v>1802</v>
      </c>
      <c r="B18" s="2032" t="s">
        <v>1803</v>
      </c>
      <c r="C18" s="1440">
        <f>'数据-汇总表'!D3</f>
        <v>25136</v>
      </c>
      <c r="D18" s="2083" t="s">
        <v>1800</v>
      </c>
      <c r="E18" s="3133" t="s">
        <v>3058</v>
      </c>
      <c r="F18" s="3134"/>
      <c r="G18" s="3134"/>
      <c r="H18" s="3134"/>
      <c r="I18" s="3135"/>
      <c r="J18" s="2023"/>
      <c r="K18" s="2081"/>
      <c r="L18" s="2076"/>
      <c r="M18" s="2076"/>
      <c r="N18" s="2077"/>
      <c r="O18" s="2076"/>
      <c r="P18" s="2077"/>
      <c r="Q18" s="2023"/>
      <c r="R18" s="2023"/>
      <c r="S18" s="2023"/>
      <c r="T18" s="2023"/>
      <c r="U18" s="2023"/>
      <c r="V18" s="2023"/>
    </row>
    <row r="19" spans="1:22" ht="37.5" customHeight="1" thickTop="1" thickBot="1">
      <c r="A19" s="373" t="s">
        <v>1804</v>
      </c>
      <c r="B19" s="352" t="s">
        <v>1805</v>
      </c>
      <c r="C19" s="2084" t="s">
        <v>3070</v>
      </c>
      <c r="D19" s="2085" t="s">
        <v>1806</v>
      </c>
      <c r="E19" s="2086" t="s">
        <v>3816</v>
      </c>
      <c r="F19" s="2087" t="str">
        <f>IF(AND(C19="是",E19="否"),"是否提供他项权证或相关说明","")</f>
        <v>是否提供他项权证或相关说明</v>
      </c>
      <c r="G19" s="2088"/>
      <c r="H19" s="2036"/>
      <c r="I19" s="2036"/>
      <c r="J19" s="2036"/>
      <c r="K19" s="2047"/>
      <c r="L19" s="2022"/>
      <c r="M19" s="2022"/>
      <c r="N19" s="2077"/>
      <c r="O19" s="2076"/>
      <c r="P19" s="2077"/>
      <c r="Q19" s="2023"/>
      <c r="R19" s="2023"/>
      <c r="S19" s="2023"/>
      <c r="T19" s="2023"/>
      <c r="U19" s="2023"/>
      <c r="V19" s="2023"/>
    </row>
    <row r="20" spans="1:22" ht="18" customHeight="1">
      <c r="A20" s="2089" t="s">
        <v>1807</v>
      </c>
      <c r="B20" s="3120" t="s">
        <v>1808</v>
      </c>
      <c r="C20" s="3121"/>
      <c r="D20" s="3122" t="s">
        <v>1809</v>
      </c>
      <c r="E20" s="3123"/>
      <c r="F20" s="2090" t="s">
        <v>1810</v>
      </c>
      <c r="G20" s="2036"/>
      <c r="H20" s="2036"/>
      <c r="I20" s="2036"/>
      <c r="J20" s="2036"/>
      <c r="K20" s="3119" t="s">
        <v>1811</v>
      </c>
      <c r="L20" s="746"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22"/>
      <c r="N20" s="2077"/>
      <c r="O20" s="2076"/>
      <c r="P20" s="2077"/>
      <c r="Q20" s="2023"/>
      <c r="R20" s="2023"/>
      <c r="S20" s="2023"/>
      <c r="T20" s="2023"/>
      <c r="U20" s="2023"/>
      <c r="V20" s="2023"/>
    </row>
    <row r="21" spans="1:22" ht="24.75" customHeight="1">
      <c r="A21" s="2089"/>
      <c r="B21" s="2091" t="s">
        <v>3057</v>
      </c>
      <c r="C21" s="2092" t="s">
        <v>1812</v>
      </c>
      <c r="D21" s="2995" t="s">
        <v>3815</v>
      </c>
      <c r="E21" s="2093" t="s">
        <v>3814</v>
      </c>
      <c r="F21" s="2094"/>
      <c r="G21" s="2036"/>
      <c r="H21" s="2036"/>
      <c r="I21" s="2036"/>
      <c r="J21" s="2036"/>
      <c r="K21" s="3119"/>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7"/>
      <c r="O21" s="2076"/>
      <c r="P21" s="2077"/>
      <c r="Q21" s="2023"/>
      <c r="R21" s="2023"/>
      <c r="S21" s="2023"/>
      <c r="T21" s="2023"/>
      <c r="U21" s="2023"/>
      <c r="V21" s="2023"/>
    </row>
    <row r="22" spans="1:22" ht="24.75" customHeight="1" thickBot="1">
      <c r="A22" s="2089"/>
      <c r="B22" s="2095" t="s">
        <v>70</v>
      </c>
      <c r="C22" s="2092" t="s">
        <v>70</v>
      </c>
      <c r="D22" s="2020"/>
      <c r="E22" s="2020"/>
      <c r="F22" s="2096"/>
      <c r="G22" s="2036"/>
      <c r="H22" s="2036"/>
      <c r="I22" s="2036"/>
      <c r="J22" s="2036"/>
      <c r="K22" s="3119"/>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7"/>
      <c r="O22" s="2076"/>
      <c r="P22" s="2077"/>
      <c r="Q22" s="2023"/>
      <c r="R22" s="2023"/>
      <c r="S22" s="2023"/>
      <c r="T22" s="2023"/>
      <c r="U22" s="2023"/>
      <c r="V22" s="2023"/>
    </row>
    <row r="23" spans="1:22" ht="18" customHeight="1">
      <c r="A23" s="2097" t="s">
        <v>1813</v>
      </c>
      <c r="B23" s="183" t="s">
        <v>1814</v>
      </c>
      <c r="C23" s="2098"/>
      <c r="D23" s="2099" t="s">
        <v>1814</v>
      </c>
      <c r="E23" s="2100"/>
      <c r="F23" s="2096"/>
      <c r="G23" s="2036"/>
      <c r="H23" s="2036"/>
      <c r="I23" s="2036"/>
      <c r="J23" s="2036"/>
      <c r="K23" s="2101"/>
      <c r="L23" s="746"/>
      <c r="M23" s="2022"/>
      <c r="N23" s="2077"/>
      <c r="O23" s="2076"/>
      <c r="P23" s="2077"/>
      <c r="Q23" s="2023"/>
      <c r="R23" s="2023"/>
      <c r="S23" s="2023"/>
      <c r="T23" s="2023"/>
      <c r="U23" s="2023"/>
      <c r="V23" s="2023"/>
    </row>
    <row r="24" spans="1:22" ht="18" customHeight="1">
      <c r="A24" s="2102"/>
      <c r="B24" s="183" t="s">
        <v>1815</v>
      </c>
      <c r="C24" s="2103"/>
      <c r="D24" s="2097" t="s">
        <v>1815</v>
      </c>
      <c r="E24" s="2104"/>
      <c r="F24" s="2096"/>
      <c r="G24" s="2036"/>
      <c r="H24" s="2036"/>
      <c r="I24" s="2036"/>
      <c r="J24" s="2036"/>
      <c r="K24" s="2101"/>
      <c r="L24" s="746"/>
      <c r="M24" s="2022"/>
      <c r="N24" s="2077"/>
      <c r="O24" s="2076"/>
      <c r="P24" s="2077"/>
      <c r="Q24" s="2023"/>
      <c r="R24" s="2023"/>
      <c r="S24" s="2023"/>
      <c r="T24" s="2023"/>
      <c r="U24" s="2023"/>
      <c r="V24" s="2023"/>
    </row>
    <row r="25" spans="1:22" ht="18" customHeight="1">
      <c r="A25" s="2102"/>
      <c r="B25" s="183" t="s">
        <v>1816</v>
      </c>
      <c r="C25" s="2103"/>
      <c r="D25" s="2097" t="s">
        <v>1816</v>
      </c>
      <c r="E25" s="2104"/>
      <c r="F25" s="2096"/>
      <c r="G25" s="2036"/>
      <c r="H25" s="2036"/>
      <c r="I25" s="2036"/>
      <c r="J25" s="2036"/>
      <c r="K25" s="2047"/>
      <c r="L25" s="2022"/>
      <c r="M25" s="2022"/>
      <c r="N25" s="2077"/>
      <c r="O25" s="2076"/>
      <c r="P25" s="2077"/>
      <c r="Q25" s="2023"/>
      <c r="R25" s="2023"/>
      <c r="S25" s="2023"/>
      <c r="T25" s="2023"/>
      <c r="U25" s="2023"/>
      <c r="V25" s="2023"/>
    </row>
    <row r="26" spans="1:22" ht="18" customHeight="1" thickBot="1">
      <c r="A26" s="2105"/>
      <c r="B26" s="2106" t="s">
        <v>1817</v>
      </c>
      <c r="C26" s="2107"/>
      <c r="D26" s="2108" t="s">
        <v>1818</v>
      </c>
      <c r="E26" s="2109"/>
      <c r="F26" s="2110"/>
      <c r="G26" s="2055"/>
      <c r="H26" s="2055"/>
      <c r="I26" s="2055"/>
      <c r="J26" s="2036"/>
      <c r="K26" s="2047"/>
      <c r="L26" s="2022"/>
      <c r="M26" s="2022"/>
      <c r="N26" s="2077"/>
      <c r="O26" s="2076"/>
      <c r="P26" s="2077"/>
      <c r="Q26" s="2023"/>
      <c r="R26" s="2023"/>
      <c r="S26" s="2023"/>
      <c r="T26" s="2023"/>
      <c r="U26" s="2023"/>
      <c r="V26" s="2023"/>
    </row>
    <row r="27" spans="1:22" ht="18" customHeight="1" thickTop="1">
      <c r="A27" s="3137" t="s">
        <v>1819</v>
      </c>
      <c r="B27" s="2056" t="s">
        <v>1820</v>
      </c>
      <c r="C27" s="2111" t="s">
        <v>3069</v>
      </c>
      <c r="D27" s="2112"/>
      <c r="E27" s="2036"/>
      <c r="F27" s="2036"/>
      <c r="G27" s="2036"/>
      <c r="H27" s="2036"/>
      <c r="I27" s="2036"/>
      <c r="J27" s="2023"/>
      <c r="K27" s="2075"/>
      <c r="L27" s="2076"/>
      <c r="M27" s="2076"/>
      <c r="N27" s="2077"/>
      <c r="O27" s="2076"/>
      <c r="P27" s="2077"/>
      <c r="Q27" s="2023"/>
      <c r="R27" s="2023"/>
      <c r="S27" s="2023"/>
      <c r="T27" s="2023"/>
      <c r="U27" s="2023"/>
      <c r="V27" s="2023"/>
    </row>
    <row r="28" spans="1:22" ht="18" customHeight="1">
      <c r="A28" s="3137"/>
      <c r="B28" s="2029" t="s">
        <v>1821</v>
      </c>
      <c r="C28" s="2113"/>
      <c r="D28" s="2114"/>
      <c r="E28" s="2036"/>
      <c r="F28" s="2036"/>
      <c r="G28" s="2036"/>
      <c r="H28" s="2036"/>
      <c r="I28" s="2036"/>
      <c r="J28" s="2023"/>
      <c r="K28" s="2115"/>
      <c r="L28" s="2022"/>
      <c r="M28" s="2022"/>
      <c r="N28" s="2023"/>
      <c r="O28" s="2024"/>
      <c r="P28" s="2023"/>
      <c r="Q28" s="2023"/>
      <c r="R28" s="2023"/>
      <c r="S28" s="2023"/>
      <c r="T28" s="2023"/>
      <c r="U28" s="2023"/>
      <c r="V28" s="2023"/>
    </row>
    <row r="29" spans="1:22" ht="18" customHeight="1">
      <c r="A29" s="3137"/>
      <c r="B29" s="2029" t="s">
        <v>1822</v>
      </c>
      <c r="C29" s="2116"/>
      <c r="D29" s="2117"/>
      <c r="E29" s="2036"/>
      <c r="F29" s="2036"/>
      <c r="G29" s="2036"/>
      <c r="H29" s="2036"/>
      <c r="I29" s="2036"/>
      <c r="J29" s="2023"/>
      <c r="K29" s="2115"/>
      <c r="L29" s="2022"/>
      <c r="M29" s="2022"/>
      <c r="N29" s="2023"/>
      <c r="O29" s="2024"/>
      <c r="P29" s="2023"/>
      <c r="Q29" s="2023"/>
      <c r="R29" s="2023"/>
      <c r="S29" s="2023"/>
      <c r="T29" s="2023"/>
      <c r="U29" s="2023"/>
      <c r="V29" s="2023"/>
    </row>
    <row r="30" spans="1:22" ht="18" customHeight="1">
      <c r="A30" s="3138"/>
      <c r="B30" s="2029" t="s">
        <v>1823</v>
      </c>
      <c r="C30" s="3139"/>
      <c r="D30" s="3140"/>
      <c r="E30" s="2036"/>
      <c r="F30" s="2036"/>
      <c r="G30" s="2036"/>
      <c r="H30" s="2036"/>
      <c r="I30" s="2036"/>
      <c r="J30" s="2023"/>
      <c r="K30" s="2115"/>
      <c r="L30" s="2022"/>
      <c r="M30" s="2022"/>
      <c r="N30" s="2023"/>
      <c r="O30" s="2024"/>
      <c r="P30" s="2023"/>
      <c r="Q30" s="2023"/>
      <c r="R30" s="2023"/>
      <c r="S30" s="2023"/>
      <c r="T30" s="2023"/>
      <c r="U30" s="2023"/>
      <c r="V30" s="2023"/>
    </row>
    <row r="31" spans="1:22" ht="18" customHeight="1">
      <c r="A31" s="3141" t="s">
        <v>1824</v>
      </c>
      <c r="B31" s="2118" t="s">
        <v>3068</v>
      </c>
      <c r="C31" s="2119" t="str">
        <f>IF(B31="现房","成新及维护状况正常否",IF(B31="在建","工程状态是否正常",IF(B31="土地","是否闲置","-")))</f>
        <v>工程状态是否正常</v>
      </c>
      <c r="D31" s="2120"/>
      <c r="E31" s="2121"/>
      <c r="F31" s="2036"/>
      <c r="G31" s="2036"/>
      <c r="H31" s="2036"/>
      <c r="I31" s="2036"/>
      <c r="J31" s="2036"/>
      <c r="K31" s="2045"/>
      <c r="L31" s="2022"/>
      <c r="M31" s="2022"/>
      <c r="N31" s="2023"/>
      <c r="O31" s="2024"/>
      <c r="P31" s="2023"/>
      <c r="Q31" s="2023"/>
      <c r="R31" s="2023"/>
      <c r="S31" s="2023"/>
      <c r="T31" s="2023"/>
      <c r="U31" s="2023"/>
      <c r="V31" s="2023"/>
    </row>
    <row r="32" spans="1:22" ht="18" customHeight="1">
      <c r="A32" s="3142"/>
      <c r="B32" s="2118"/>
      <c r="C32" s="2119" t="str">
        <f>IF(B32="现房","成新及维护状况是否正常",IF(B32="在建","工程状态是否正常",IF(B32="土地","是否闲置","-")))</f>
        <v>-</v>
      </c>
      <c r="D32" s="2120"/>
      <c r="E32" s="2121"/>
      <c r="F32" s="2036"/>
      <c r="G32" s="2036"/>
      <c r="H32" s="2036"/>
      <c r="I32" s="2036"/>
      <c r="J32" s="2036"/>
      <c r="K32" s="2047"/>
      <c r="L32" s="2022"/>
      <c r="M32" s="2022"/>
      <c r="N32" s="2023"/>
      <c r="O32" s="2024"/>
      <c r="P32" s="2023"/>
      <c r="Q32" s="2023"/>
      <c r="R32" s="2023"/>
      <c r="S32" s="2023"/>
      <c r="T32" s="2023"/>
      <c r="U32" s="2023"/>
      <c r="V32" s="2023"/>
    </row>
    <row r="33" spans="1:22" ht="18" customHeight="1">
      <c r="A33" s="3142"/>
      <c r="B33" s="2122"/>
      <c r="C33" s="2063" t="str">
        <f>IF(B33="现房","成新及维护状况是否正常",IF(B33="在建","工程状态是否正常",IF(B33="土地","是否闲置","-")))</f>
        <v>-</v>
      </c>
      <c r="D33" s="2123"/>
      <c r="E33" s="2124"/>
      <c r="F33" s="2036"/>
      <c r="G33" s="2036"/>
      <c r="H33" s="2036"/>
      <c r="I33" s="2036"/>
      <c r="J33" s="2036"/>
      <c r="K33" s="2047"/>
      <c r="L33" s="2022"/>
      <c r="M33" s="2022"/>
      <c r="N33" s="2023"/>
      <c r="O33" s="2024"/>
      <c r="P33" s="2023"/>
      <c r="Q33" s="2023"/>
      <c r="R33" s="2023"/>
      <c r="S33" s="2023"/>
      <c r="T33" s="2023"/>
      <c r="U33" s="2023"/>
      <c r="V33" s="2023"/>
    </row>
    <row r="34" spans="1:22" ht="18" customHeight="1">
      <c r="A34" s="2029" t="s">
        <v>1825</v>
      </c>
      <c r="B34" s="2125" t="s">
        <v>3063</v>
      </c>
      <c r="C34" s="2125" t="s">
        <v>3064</v>
      </c>
      <c r="D34" s="2125" t="s">
        <v>3065</v>
      </c>
      <c r="E34" s="2125" t="s">
        <v>3066</v>
      </c>
      <c r="F34" s="2125" t="s">
        <v>3067</v>
      </c>
      <c r="G34" s="2125"/>
      <c r="H34" s="2125"/>
      <c r="I34" s="2036"/>
      <c r="J34" s="2036"/>
      <c r="K34" s="1790">
        <f>COUNTIF(B34:H34,"——")</f>
        <v>0</v>
      </c>
      <c r="L34" s="2067" t="s">
        <v>1826</v>
      </c>
      <c r="M34" s="2067" t="s">
        <v>1827</v>
      </c>
      <c r="N34" s="2067" t="s">
        <v>1828</v>
      </c>
      <c r="O34" s="2067" t="s">
        <v>1829</v>
      </c>
      <c r="P34" s="2067" t="s">
        <v>1830</v>
      </c>
      <c r="Q34" s="2067" t="s">
        <v>1831</v>
      </c>
      <c r="R34" s="2067" t="s">
        <v>1832</v>
      </c>
      <c r="S34" s="3136" t="s">
        <v>1833</v>
      </c>
      <c r="T34" s="2126" t="str">
        <f>NUMBERSTRING(7-K34,1)&amp;"通"</f>
        <v>七通</v>
      </c>
      <c r="U34" s="2023"/>
      <c r="V34" s="2023"/>
    </row>
    <row r="35" spans="1:22" ht="18" customHeight="1">
      <c r="A35" s="2127"/>
      <c r="B35" s="3143" t="s">
        <v>1834</v>
      </c>
      <c r="C35" s="3143"/>
      <c r="D35" s="3143"/>
      <c r="E35" s="3143"/>
      <c r="F35" s="2128">
        <f>C10</f>
        <v>0</v>
      </c>
      <c r="G35" s="2036"/>
      <c r="H35" s="2036"/>
      <c r="I35" s="2036"/>
      <c r="J35" s="2036"/>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136"/>
      <c r="T35" s="48" t="str">
        <f>IF(T34="一通",L35,IF(T34="二通",M35,IF(T34="三通",N35,IF(T34="四通",O35,IF(T34="五通",P35,IF(T34="六通",Q35,R35))))))</f>
        <v>通路、通电、通讯、通上水、通下水、、</v>
      </c>
      <c r="U35" s="2023"/>
      <c r="V35" s="2023"/>
    </row>
    <row r="36" spans="1:22" ht="18" customHeight="1">
      <c r="A36" s="2129"/>
      <c r="B36" s="2128" t="s">
        <v>1835</v>
      </c>
      <c r="C36" s="2128" t="s">
        <v>1836</v>
      </c>
      <c r="D36" s="2128" t="s">
        <v>1837</v>
      </c>
      <c r="E36" s="2128" t="s">
        <v>1838</v>
      </c>
      <c r="F36" s="2130"/>
      <c r="G36" s="2036"/>
      <c r="H36" s="2036"/>
      <c r="I36" s="2036"/>
      <c r="J36" s="2036"/>
      <c r="K36" s="2047"/>
      <c r="L36" s="2022"/>
      <c r="M36" s="2022"/>
      <c r="N36" s="2023"/>
      <c r="O36" s="2024"/>
      <c r="P36" s="2023"/>
      <c r="Q36" s="2023"/>
      <c r="R36" s="2023"/>
      <c r="S36" s="2023"/>
      <c r="T36" s="2023"/>
      <c r="U36" s="2023"/>
      <c r="V36" s="2023"/>
    </row>
    <row r="37" spans="1:22" ht="18" customHeight="1">
      <c r="A37" s="2131" t="s">
        <v>1839</v>
      </c>
      <c r="B37" s="2132"/>
      <c r="C37" s="2132"/>
      <c r="D37" s="2132"/>
      <c r="E37" s="2132"/>
      <c r="F37" s="2130"/>
      <c r="G37" s="2036"/>
      <c r="H37" s="2036"/>
      <c r="I37" s="2036"/>
      <c r="J37" s="2036"/>
      <c r="K37" s="2047"/>
      <c r="L37" s="2022"/>
      <c r="M37" s="2022"/>
      <c r="N37" s="2023"/>
      <c r="O37" s="2024"/>
      <c r="P37" s="2023"/>
      <c r="Q37" s="2023"/>
      <c r="R37" s="2023"/>
      <c r="S37" s="2023"/>
      <c r="T37" s="2023"/>
      <c r="U37" s="2023"/>
      <c r="V37" s="2023"/>
    </row>
    <row r="38" spans="1:22" ht="18" customHeight="1" thickBot="1">
      <c r="A38" s="2133" t="s">
        <v>1840</v>
      </c>
      <c r="B38" s="2134"/>
      <c r="C38" s="2134"/>
      <c r="D38" s="2134"/>
      <c r="E38" s="2134"/>
      <c r="F38" s="2135"/>
      <c r="G38" s="2055"/>
      <c r="H38" s="2055"/>
      <c r="I38" s="2055"/>
      <c r="J38" s="2036"/>
      <c r="K38" s="2047"/>
      <c r="L38" s="2022"/>
      <c r="M38" s="2022"/>
      <c r="N38" s="2023"/>
      <c r="O38" s="2024"/>
      <c r="P38" s="2023"/>
      <c r="Q38" s="2023"/>
      <c r="R38" s="2023"/>
      <c r="S38" s="2023"/>
      <c r="T38" s="2023"/>
      <c r="U38" s="2023"/>
      <c r="V38" s="2023"/>
    </row>
    <row r="39" spans="1:22" s="2140" customFormat="1" ht="18" customHeight="1" thickTop="1" thickBot="1">
      <c r="A39" s="2136" t="s">
        <v>1841</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3"/>
      <c r="B40" s="2023"/>
      <c r="C40" s="2023"/>
      <c r="D40" s="2023"/>
      <c r="E40" s="2023"/>
      <c r="F40" s="2023"/>
      <c r="G40" s="2023"/>
      <c r="H40" s="2023"/>
      <c r="I40" s="2141"/>
      <c r="J40" s="2077"/>
      <c r="K40" s="665"/>
      <c r="L40" s="2076"/>
      <c r="M40" s="2076"/>
      <c r="N40" s="2077"/>
      <c r="O40" s="2076"/>
      <c r="P40" s="2023"/>
      <c r="Q40" s="2023"/>
      <c r="R40" s="2023"/>
      <c r="S40" s="2023"/>
      <c r="T40" s="2023"/>
      <c r="U40" s="2023"/>
      <c r="V40" s="2023"/>
    </row>
    <row r="41" spans="1:22" ht="18" customHeight="1">
      <c r="A41" s="8" t="s">
        <v>1842</v>
      </c>
      <c r="B41" s="2142"/>
      <c r="C41" s="2143"/>
      <c r="D41" s="2023"/>
      <c r="E41" s="2023"/>
      <c r="F41" s="2023"/>
      <c r="G41" s="2023"/>
      <c r="H41" s="2023"/>
      <c r="I41" s="2024"/>
      <c r="J41" s="2023"/>
      <c r="K41" s="2115"/>
      <c r="L41" s="2022"/>
      <c r="M41" s="2022"/>
      <c r="N41" s="2023"/>
      <c r="O41" s="2024"/>
      <c r="P41" s="2023"/>
      <c r="Q41" s="2023"/>
      <c r="R41" s="2023"/>
      <c r="S41" s="2023"/>
      <c r="T41" s="2023"/>
      <c r="U41" s="2023"/>
      <c r="V41" s="2023"/>
    </row>
    <row r="42" spans="1:22" ht="18" customHeight="1">
      <c r="A42" s="2067" t="s">
        <v>1843</v>
      </c>
      <c r="B42" s="1790" t="s">
        <v>1844</v>
      </c>
      <c r="C42" s="1790" t="s">
        <v>1845</v>
      </c>
      <c r="D42" s="1790" t="s">
        <v>1846</v>
      </c>
      <c r="E42" s="1790" t="s">
        <v>1847</v>
      </c>
      <c r="F42" s="1790" t="s">
        <v>1848</v>
      </c>
      <c r="G42" s="1790" t="s">
        <v>1849</v>
      </c>
      <c r="H42" s="1790" t="s">
        <v>1850</v>
      </c>
      <c r="I42" s="1790" t="s">
        <v>1851</v>
      </c>
      <c r="J42" s="2144" t="s">
        <v>1852</v>
      </c>
      <c r="K42" s="2068" t="s">
        <v>1853</v>
      </c>
      <c r="L42" s="2068" t="s">
        <v>1854</v>
      </c>
      <c r="M42" s="2068" t="s">
        <v>1855</v>
      </c>
      <c r="N42" s="1790" t="s">
        <v>1856</v>
      </c>
      <c r="O42" s="1790" t="s">
        <v>1857</v>
      </c>
      <c r="P42" s="1790" t="s">
        <v>1858</v>
      </c>
      <c r="Q42" s="2067" t="s">
        <v>1859</v>
      </c>
      <c r="R42" s="2067" t="s">
        <v>1860</v>
      </c>
      <c r="S42" s="2023"/>
      <c r="T42" s="2023"/>
      <c r="U42" s="2023"/>
      <c r="V42" s="2023"/>
    </row>
    <row r="43" spans="1:22" s="2149" customFormat="1" ht="18" customHeight="1">
      <c r="A43" s="2145"/>
      <c r="B43" s="1268"/>
      <c r="C43" s="1268"/>
      <c r="D43" s="1268"/>
      <c r="E43" s="1268"/>
      <c r="F43" s="1268"/>
      <c r="G43" s="1268"/>
      <c r="H43" s="9"/>
      <c r="I43" s="9"/>
      <c r="J43" s="2146"/>
      <c r="K43" s="2147"/>
      <c r="L43" s="2147"/>
      <c r="M43" s="9"/>
      <c r="N43" s="1268"/>
      <c r="O43" s="9"/>
      <c r="P43" s="1268"/>
      <c r="Q43" s="1268"/>
      <c r="R43" s="1268"/>
      <c r="S43" s="2148"/>
      <c r="T43" s="2148"/>
      <c r="U43" s="2148"/>
      <c r="V43" s="2148"/>
    </row>
    <row r="44" spans="1:22" s="2149" customFormat="1" ht="18" customHeight="1">
      <c r="A44" s="2145"/>
      <c r="B44" s="2145"/>
      <c r="C44" s="1268"/>
      <c r="D44" s="1268"/>
      <c r="E44" s="1268"/>
      <c r="F44" s="1268"/>
      <c r="G44" s="1268"/>
      <c r="H44" s="9"/>
      <c r="I44" s="9"/>
      <c r="J44" s="2146"/>
      <c r="K44" s="2147"/>
      <c r="L44" s="2147"/>
      <c r="M44" s="9"/>
      <c r="N44" s="1268"/>
      <c r="O44" s="9"/>
      <c r="P44" s="1268"/>
      <c r="Q44" s="1268"/>
      <c r="R44" s="1268"/>
      <c r="S44" s="2148"/>
      <c r="T44" s="2148"/>
      <c r="U44" s="2148"/>
      <c r="V44" s="2148"/>
    </row>
    <row r="45" spans="1:22" s="2149" customFormat="1" ht="18" customHeight="1">
      <c r="A45" s="2145"/>
      <c r="B45" s="2145"/>
      <c r="C45" s="1268"/>
      <c r="D45" s="1268"/>
      <c r="E45" s="1268"/>
      <c r="F45" s="1268"/>
      <c r="G45" s="1268"/>
      <c r="H45" s="9"/>
      <c r="I45" s="9"/>
      <c r="J45" s="2146"/>
      <c r="K45" s="2147"/>
      <c r="L45" s="2147"/>
      <c r="M45" s="9"/>
      <c r="N45" s="1268"/>
      <c r="O45" s="9"/>
      <c r="P45" s="1268"/>
      <c r="Q45" s="1268"/>
      <c r="R45" s="1268"/>
      <c r="S45" s="2148"/>
      <c r="T45" s="2148"/>
      <c r="U45" s="2148"/>
      <c r="V45" s="2148"/>
    </row>
    <row r="46" spans="1:22" s="2149" customFormat="1" ht="18" customHeight="1">
      <c r="A46" s="2145"/>
      <c r="B46" s="2145"/>
      <c r="C46" s="1268"/>
      <c r="D46" s="1268"/>
      <c r="E46" s="1268"/>
      <c r="F46" s="1268"/>
      <c r="G46" s="1268"/>
      <c r="H46" s="9"/>
      <c r="I46" s="9"/>
      <c r="J46" s="2146"/>
      <c r="K46" s="2147"/>
      <c r="L46" s="2147"/>
      <c r="M46" s="9"/>
      <c r="N46" s="1268"/>
      <c r="O46" s="9"/>
      <c r="P46" s="1268"/>
      <c r="Q46" s="1268"/>
      <c r="R46" s="1268"/>
      <c r="S46" s="2148"/>
      <c r="T46" s="2148"/>
      <c r="U46" s="2148"/>
      <c r="V46" s="2148"/>
    </row>
    <row r="47" spans="1:22" s="2149" customFormat="1" ht="18" customHeight="1">
      <c r="A47" s="2145"/>
      <c r="B47" s="2145"/>
      <c r="C47" s="1268"/>
      <c r="D47" s="1268"/>
      <c r="E47" s="1268"/>
      <c r="F47" s="1268"/>
      <c r="G47" s="1268"/>
      <c r="H47" s="9"/>
      <c r="I47" s="9"/>
      <c r="J47" s="2146"/>
      <c r="K47" s="2147"/>
      <c r="L47" s="2147"/>
      <c r="M47" s="9"/>
      <c r="N47" s="1268"/>
      <c r="O47" s="9"/>
      <c r="P47" s="1268"/>
      <c r="Q47" s="1268"/>
      <c r="R47" s="1268"/>
      <c r="S47" s="2148"/>
      <c r="T47" s="2148"/>
      <c r="U47" s="2148"/>
      <c r="V47" s="2148"/>
    </row>
    <row r="48" spans="1:22" s="2149" customFormat="1" ht="18" customHeight="1">
      <c r="A48" s="2145"/>
      <c r="B48" s="2145"/>
      <c r="C48" s="1268"/>
      <c r="D48" s="1268"/>
      <c r="E48" s="1268"/>
      <c r="F48" s="1268"/>
      <c r="G48" s="1268"/>
      <c r="H48" s="9"/>
      <c r="I48" s="9"/>
      <c r="J48" s="2146"/>
      <c r="K48" s="2147"/>
      <c r="L48" s="2147"/>
      <c r="M48" s="9"/>
      <c r="N48" s="1268"/>
      <c r="O48" s="9"/>
      <c r="P48" s="1268"/>
      <c r="Q48" s="1268"/>
      <c r="R48" s="1268"/>
      <c r="S48" s="2148"/>
      <c r="T48" s="2148"/>
      <c r="U48" s="2148"/>
      <c r="V48" s="2148"/>
    </row>
    <row r="49" spans="1:22" s="2149" customFormat="1" ht="18" customHeight="1">
      <c r="A49" s="2145"/>
      <c r="B49" s="2145"/>
      <c r="C49" s="1268"/>
      <c r="D49" s="1268"/>
      <c r="E49" s="1268"/>
      <c r="F49" s="1268"/>
      <c r="G49" s="1268"/>
      <c r="H49" s="9"/>
      <c r="I49" s="9"/>
      <c r="J49" s="2146"/>
      <c r="K49" s="2147"/>
      <c r="L49" s="2147"/>
      <c r="M49" s="9"/>
      <c r="N49" s="1268"/>
      <c r="O49" s="9"/>
      <c r="P49" s="1268"/>
      <c r="Q49" s="1268"/>
      <c r="R49" s="1268"/>
      <c r="S49" s="2148"/>
      <c r="T49" s="2148"/>
      <c r="U49" s="2148"/>
      <c r="V49" s="2148"/>
    </row>
    <row r="50" spans="1:22" s="2149" customFormat="1" ht="18" customHeight="1">
      <c r="A50" s="2145"/>
      <c r="B50" s="2145"/>
      <c r="C50" s="1268"/>
      <c r="D50" s="1268"/>
      <c r="E50" s="1268"/>
      <c r="F50" s="1268"/>
      <c r="G50" s="1268"/>
      <c r="H50" s="9"/>
      <c r="I50" s="9"/>
      <c r="J50" s="2146"/>
      <c r="K50" s="2147"/>
      <c r="L50" s="2147"/>
      <c r="M50" s="9"/>
      <c r="N50" s="1268"/>
      <c r="O50" s="9"/>
      <c r="P50" s="1268"/>
      <c r="Q50" s="1268"/>
      <c r="R50" s="1268"/>
      <c r="S50" s="2148"/>
      <c r="T50" s="2148"/>
      <c r="U50" s="2148"/>
      <c r="V50" s="2148"/>
    </row>
    <row r="51" spans="1:22" s="2149" customFormat="1" ht="18" customHeight="1">
      <c r="A51" s="2145"/>
      <c r="B51" s="2145"/>
      <c r="C51" s="1268"/>
      <c r="D51" s="1268"/>
      <c r="E51" s="1268"/>
      <c r="F51" s="1268"/>
      <c r="G51" s="1268"/>
      <c r="H51" s="9"/>
      <c r="I51" s="9"/>
      <c r="J51" s="2146"/>
      <c r="K51" s="2147"/>
      <c r="L51" s="2147"/>
      <c r="M51" s="9"/>
      <c r="N51" s="1268"/>
      <c r="O51" s="9"/>
      <c r="P51" s="1268"/>
      <c r="Q51" s="1268"/>
      <c r="R51" s="1268"/>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hidden="1" customWidth="1"/>
    <col min="20" max="21" width="10.75" style="2151" hidden="1" customWidth="1"/>
    <col min="22" max="22" width="10.875" style="2151" hidden="1" customWidth="1"/>
    <col min="23" max="27" width="10.75" style="2151" hidden="1" customWidth="1"/>
    <col min="28" max="28" width="10.875" style="2151" hidden="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1861</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5" t="s">
        <v>1862</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9" customFormat="1" ht="24">
      <c r="A2" s="11" t="s">
        <v>1863</v>
      </c>
      <c r="B2" s="11" t="s">
        <v>1864</v>
      </c>
      <c r="C2" s="11" t="s">
        <v>1865</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5" t="s">
        <v>1866</v>
      </c>
      <c r="AZ2" s="1266" t="s">
        <v>1867</v>
      </c>
      <c r="BA2" s="11" t="s">
        <v>1868</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v>25136</v>
      </c>
      <c r="B3" s="14">
        <f>IF(C3="否",G5-AT5,G5)</f>
        <v>378144.48</v>
      </c>
      <c r="C3" s="2160" t="s">
        <v>1869</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7"/>
      <c r="AZ3" s="1268"/>
      <c r="BA3" s="1269"/>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1870</v>
      </c>
      <c r="B5" s="1798"/>
      <c r="C5" s="1798"/>
      <c r="D5" s="1801"/>
      <c r="E5" s="16" t="s">
        <v>1</v>
      </c>
      <c r="F5" s="16">
        <f>SUM(F13:F587)</f>
        <v>0</v>
      </c>
      <c r="G5" s="16">
        <f>SUM(G13:G587)</f>
        <v>378716.45999999996</v>
      </c>
      <c r="H5" s="16">
        <f t="shared" ref="H5:AT5" si="0">SUM(H13:H656)</f>
        <v>366047.19</v>
      </c>
      <c r="I5" s="16">
        <f t="shared" si="0"/>
        <v>91600</v>
      </c>
      <c r="J5" s="16">
        <f t="shared" si="0"/>
        <v>0</v>
      </c>
      <c r="K5" s="16">
        <f t="shared" si="0"/>
        <v>81667.509999999995</v>
      </c>
      <c r="L5" s="16">
        <f t="shared" si="0"/>
        <v>0</v>
      </c>
      <c r="M5" s="16">
        <f t="shared" si="0"/>
        <v>44775.299999999996</v>
      </c>
      <c r="N5" s="16">
        <f t="shared" si="0"/>
        <v>0</v>
      </c>
      <c r="O5" s="16">
        <f t="shared" si="0"/>
        <v>32618.32</v>
      </c>
      <c r="P5" s="16">
        <f t="shared" si="0"/>
        <v>0</v>
      </c>
      <c r="Q5" s="16">
        <f t="shared" si="0"/>
        <v>115386.06</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12097.29</v>
      </c>
      <c r="AD5" s="16">
        <f t="shared" si="0"/>
        <v>0</v>
      </c>
      <c r="AE5" s="16">
        <f t="shared" si="0"/>
        <v>0</v>
      </c>
      <c r="AF5" s="16">
        <f t="shared" si="0"/>
        <v>0</v>
      </c>
      <c r="AG5" s="16">
        <f t="shared" si="0"/>
        <v>0</v>
      </c>
      <c r="AH5" s="16">
        <f t="shared" si="0"/>
        <v>0</v>
      </c>
      <c r="AI5" s="16">
        <f t="shared" si="0"/>
        <v>0</v>
      </c>
      <c r="AJ5" s="16">
        <f t="shared" si="0"/>
        <v>0</v>
      </c>
      <c r="AK5" s="16">
        <f t="shared" si="0"/>
        <v>0</v>
      </c>
      <c r="AL5" s="16">
        <f t="shared" si="0"/>
        <v>4644.6099999999997</v>
      </c>
      <c r="AM5" s="16">
        <f t="shared" si="0"/>
        <v>0</v>
      </c>
      <c r="AN5" s="16">
        <f t="shared" si="0"/>
        <v>7452.68</v>
      </c>
      <c r="AO5" s="16">
        <f t="shared" si="0"/>
        <v>0</v>
      </c>
      <c r="AP5" s="16">
        <f t="shared" si="0"/>
        <v>0</v>
      </c>
      <c r="AQ5" s="16">
        <f t="shared" si="0"/>
        <v>0</v>
      </c>
      <c r="AR5" s="16">
        <f t="shared" si="0"/>
        <v>0</v>
      </c>
      <c r="AS5" s="16">
        <f t="shared" si="0"/>
        <v>0</v>
      </c>
      <c r="AT5" s="16">
        <f t="shared" si="0"/>
        <v>571.98</v>
      </c>
      <c r="AU5" s="1797"/>
      <c r="AV5" s="15" t="s">
        <v>1870</v>
      </c>
      <c r="AW5" s="1798"/>
      <c r="AX5" s="1798"/>
      <c r="AY5" s="17" t="s">
        <v>3</v>
      </c>
      <c r="AZ5" s="18">
        <f t="shared" ref="AZ5:BT5" si="1">SUM(AZ13:AZ656)</f>
        <v>378144.48</v>
      </c>
      <c r="BA5" s="18">
        <f t="shared" si="1"/>
        <v>366047.19</v>
      </c>
      <c r="BB5" s="18">
        <f t="shared" si="1"/>
        <v>91600</v>
      </c>
      <c r="BC5" s="18">
        <f t="shared" si="1"/>
        <v>81667.509999999995</v>
      </c>
      <c r="BD5" s="18">
        <f t="shared" si="1"/>
        <v>44775.299999999996</v>
      </c>
      <c r="BE5" s="18">
        <f t="shared" si="1"/>
        <v>32618.32</v>
      </c>
      <c r="BF5" s="18">
        <f t="shared" si="1"/>
        <v>115386.06</v>
      </c>
      <c r="BG5" s="18">
        <f t="shared" si="1"/>
        <v>0</v>
      </c>
      <c r="BH5" s="18">
        <f t="shared" si="1"/>
        <v>0</v>
      </c>
      <c r="BI5" s="18">
        <f t="shared" si="1"/>
        <v>0</v>
      </c>
      <c r="BJ5" s="18">
        <f t="shared" si="1"/>
        <v>0</v>
      </c>
      <c r="BK5" s="18">
        <f t="shared" si="1"/>
        <v>0</v>
      </c>
      <c r="BL5" s="18">
        <f t="shared" si="1"/>
        <v>12097.29</v>
      </c>
      <c r="BM5" s="18">
        <f t="shared" si="1"/>
        <v>0</v>
      </c>
      <c r="BN5" s="18">
        <f t="shared" si="1"/>
        <v>0</v>
      </c>
      <c r="BO5" s="18">
        <f t="shared" si="1"/>
        <v>0</v>
      </c>
      <c r="BP5" s="18">
        <f t="shared" si="1"/>
        <v>0</v>
      </c>
      <c r="BQ5" s="18">
        <f t="shared" si="1"/>
        <v>4644.6099999999997</v>
      </c>
      <c r="BR5" s="18">
        <f t="shared" si="1"/>
        <v>7452.68</v>
      </c>
      <c r="BS5" s="18">
        <f t="shared" si="1"/>
        <v>0</v>
      </c>
      <c r="BT5" s="19">
        <f t="shared" si="1"/>
        <v>0</v>
      </c>
    </row>
    <row r="6" spans="1:72" s="2169" customFormat="1" ht="12.75">
      <c r="A6" s="15" t="s">
        <v>1871</v>
      </c>
      <c r="B6" s="2166"/>
      <c r="C6" s="2166"/>
      <c r="D6" s="2167"/>
      <c r="E6" s="16">
        <f>H6+AC6+AT6</f>
        <v>25136</v>
      </c>
      <c r="F6" s="16" t="s">
        <v>1</v>
      </c>
      <c r="G6" s="16" t="s">
        <v>2</v>
      </c>
      <c r="H6" s="20">
        <f>SUMIF(I$12:AB$12,"总值",I6:AB6)</f>
        <v>24331.87</v>
      </c>
      <c r="I6" s="16">
        <f t="shared" ref="I6:AB6" si="2">ROUND($A$3*I5/$B$3,2)</f>
        <v>6088.83</v>
      </c>
      <c r="J6" s="16">
        <f t="shared" si="2"/>
        <v>0</v>
      </c>
      <c r="K6" s="16">
        <f t="shared" si="2"/>
        <v>5428.6</v>
      </c>
      <c r="L6" s="16">
        <f t="shared" si="2"/>
        <v>0</v>
      </c>
      <c r="M6" s="16">
        <f t="shared" si="2"/>
        <v>2976.3</v>
      </c>
      <c r="N6" s="16">
        <f t="shared" si="2"/>
        <v>0</v>
      </c>
      <c r="O6" s="16">
        <f t="shared" si="2"/>
        <v>2168.1999999999998</v>
      </c>
      <c r="P6" s="16">
        <f t="shared" si="2"/>
        <v>0</v>
      </c>
      <c r="Q6" s="16">
        <f t="shared" si="2"/>
        <v>7669.94</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804.13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308.74</v>
      </c>
      <c r="AM6" s="16">
        <f t="shared" si="3"/>
        <v>0</v>
      </c>
      <c r="AN6" s="16">
        <f t="shared" si="3"/>
        <v>495.39</v>
      </c>
      <c r="AO6" s="16">
        <f t="shared" si="3"/>
        <v>0</v>
      </c>
      <c r="AP6" s="16">
        <f t="shared" si="3"/>
        <v>0</v>
      </c>
      <c r="AQ6" s="16">
        <f t="shared" si="3"/>
        <v>0</v>
      </c>
      <c r="AR6" s="16">
        <f t="shared" si="3"/>
        <v>0</v>
      </c>
      <c r="AS6" s="16">
        <f t="shared" si="3"/>
        <v>0</v>
      </c>
      <c r="AT6" s="20">
        <f>IF(C3="是",ROUND($A$3*AT5/$B$3,2),0)</f>
        <v>0</v>
      </c>
      <c r="AU6" s="2168"/>
      <c r="AV6" s="15" t="s">
        <v>1871</v>
      </c>
      <c r="AW6" s="2166"/>
      <c r="AX6" s="2166"/>
      <c r="AY6" s="21">
        <f>IF(AY3&gt;0,AY3,ROUND($A$3*AZ5/$B$3,2))</f>
        <v>25136</v>
      </c>
      <c r="AZ6" s="16" t="s">
        <v>3</v>
      </c>
      <c r="BA6" s="16">
        <f>ROUND($AY$6*BA5/$AZ$5,2)</f>
        <v>24331.87</v>
      </c>
      <c r="BB6" s="16">
        <f>ROUND($AY$6*BB5/$AZ$5,2)</f>
        <v>6088.83</v>
      </c>
      <c r="BC6" s="16">
        <f t="shared" ref="BC6:BH6" si="4">ROUND($AY$6*BC5/$AZ$5,2)</f>
        <v>5428.6</v>
      </c>
      <c r="BD6" s="16">
        <f t="shared" si="4"/>
        <v>2976.3</v>
      </c>
      <c r="BE6" s="16">
        <f t="shared" si="4"/>
        <v>2168.1999999999998</v>
      </c>
      <c r="BF6" s="16">
        <f t="shared" si="4"/>
        <v>7669.94</v>
      </c>
      <c r="BG6" s="16">
        <f t="shared" si="4"/>
        <v>0</v>
      </c>
      <c r="BH6" s="16">
        <f t="shared" si="4"/>
        <v>0</v>
      </c>
      <c r="BI6" s="16">
        <f t="shared" ref="BI6:BT6" si="5">ROUND($AY$6*BI5/$AZ$5,2)</f>
        <v>0</v>
      </c>
      <c r="BJ6" s="16">
        <f t="shared" si="5"/>
        <v>0</v>
      </c>
      <c r="BK6" s="16">
        <f t="shared" si="5"/>
        <v>0</v>
      </c>
      <c r="BL6" s="16">
        <f t="shared" si="5"/>
        <v>804.13</v>
      </c>
      <c r="BM6" s="16">
        <f t="shared" si="5"/>
        <v>0</v>
      </c>
      <c r="BN6" s="16">
        <f t="shared" si="5"/>
        <v>0</v>
      </c>
      <c r="BO6" s="16">
        <f t="shared" si="5"/>
        <v>0</v>
      </c>
      <c r="BP6" s="16">
        <f t="shared" si="5"/>
        <v>0</v>
      </c>
      <c r="BQ6" s="16">
        <f t="shared" si="5"/>
        <v>308.74</v>
      </c>
      <c r="BR6" s="16">
        <f t="shared" si="5"/>
        <v>495.39</v>
      </c>
      <c r="BS6" s="16">
        <f t="shared" si="5"/>
        <v>0</v>
      </c>
      <c r="BT6" s="22">
        <f t="shared" si="5"/>
        <v>0</v>
      </c>
    </row>
    <row r="7" spans="1:72" s="2159" customFormat="1" ht="24.75">
      <c r="A7" s="2101" t="s">
        <v>1872</v>
      </c>
      <c r="B7" s="2101" t="s">
        <v>1873</v>
      </c>
      <c r="C7" s="2101" t="s">
        <v>1874</v>
      </c>
      <c r="D7" s="2101" t="s">
        <v>1875</v>
      </c>
      <c r="E7" s="2101" t="s">
        <v>1876</v>
      </c>
      <c r="F7" s="2101" t="s">
        <v>1877</v>
      </c>
      <c r="G7" s="2170" t="s">
        <v>1878</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1"/>
      <c r="AU7" s="2171" t="s">
        <v>1879</v>
      </c>
      <c r="AV7" s="23" t="s">
        <v>1880</v>
      </c>
      <c r="AW7" s="2158" t="s">
        <v>1881</v>
      </c>
      <c r="AX7" s="23" t="s">
        <v>1874</v>
      </c>
      <c r="AY7" s="1798" t="s">
        <v>1882</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1883</v>
      </c>
      <c r="H8" s="2176" t="s">
        <v>1884</v>
      </c>
      <c r="I8" s="2177"/>
      <c r="J8" s="1813"/>
      <c r="K8" s="1813"/>
      <c r="L8" s="1813"/>
      <c r="M8" s="1813"/>
      <c r="N8" s="1813"/>
      <c r="O8" s="1813"/>
      <c r="P8" s="1813"/>
      <c r="Q8" s="1813"/>
      <c r="R8" s="1813"/>
      <c r="S8" s="1813"/>
      <c r="T8" s="1813"/>
      <c r="U8" s="1813"/>
      <c r="V8" s="2178"/>
      <c r="W8" s="1813"/>
      <c r="X8" s="1813"/>
      <c r="Y8" s="1813"/>
      <c r="Z8" s="1813"/>
      <c r="AA8" s="2178"/>
      <c r="AB8" s="2179"/>
      <c r="AC8" s="977" t="s">
        <v>1885</v>
      </c>
      <c r="AD8" s="2180"/>
      <c r="AE8" s="2172"/>
      <c r="AF8" s="1813"/>
      <c r="AG8" s="1813"/>
      <c r="AH8" s="1813"/>
      <c r="AI8" s="1813"/>
      <c r="AJ8" s="1813"/>
      <c r="AK8" s="1813"/>
      <c r="AL8" s="1813"/>
      <c r="AM8" s="1813"/>
      <c r="AN8" s="1813"/>
      <c r="AO8" s="1813"/>
      <c r="AP8" s="1813"/>
      <c r="AQ8" s="1813"/>
      <c r="AR8" s="1813"/>
      <c r="AS8" s="1813"/>
      <c r="AT8" s="1288" t="s">
        <v>1886</v>
      </c>
      <c r="AU8" s="2174" t="s">
        <v>1887</v>
      </c>
      <c r="AV8" s="1288"/>
      <c r="AW8" s="2157"/>
      <c r="AX8" s="1288"/>
      <c r="AY8" s="2158" t="s">
        <v>1888</v>
      </c>
      <c r="AZ8" s="1812" t="s">
        <v>1889</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1" customFormat="1" ht="12.75">
      <c r="A9" s="2174"/>
      <c r="B9" s="2174"/>
      <c r="C9" s="2174"/>
      <c r="D9" s="2174"/>
      <c r="E9" s="2174"/>
      <c r="F9" s="2174"/>
      <c r="G9" s="1288"/>
      <c r="H9" s="2182" t="s">
        <v>1890</v>
      </c>
      <c r="I9" s="2183" t="s">
        <v>3097</v>
      </c>
      <c r="J9" s="977"/>
      <c r="K9" s="2183" t="s">
        <v>3097</v>
      </c>
      <c r="L9" s="977"/>
      <c r="M9" s="2183" t="s">
        <v>3097</v>
      </c>
      <c r="N9" s="977"/>
      <c r="O9" s="2183" t="s">
        <v>3098</v>
      </c>
      <c r="P9" s="977"/>
      <c r="Q9" s="2183" t="s">
        <v>3098</v>
      </c>
      <c r="R9" s="977"/>
      <c r="S9" s="2183"/>
      <c r="T9" s="977"/>
      <c r="U9" s="2183"/>
      <c r="V9" s="977"/>
      <c r="W9" s="2183"/>
      <c r="X9" s="2184"/>
      <c r="Y9" s="2183"/>
      <c r="Z9" s="977"/>
      <c r="AA9" s="2183"/>
      <c r="AB9" s="977"/>
      <c r="AC9" s="2175" t="s">
        <v>1890</v>
      </c>
      <c r="AD9" s="15" t="s">
        <v>1891</v>
      </c>
      <c r="AE9" s="1294"/>
      <c r="AF9" s="15" t="s">
        <v>1892</v>
      </c>
      <c r="AG9" s="1294"/>
      <c r="AH9" s="15" t="s">
        <v>1891</v>
      </c>
      <c r="AI9" s="1294"/>
      <c r="AJ9" s="15" t="s">
        <v>1892</v>
      </c>
      <c r="AK9" s="1294"/>
      <c r="AL9" s="15" t="s">
        <v>1891</v>
      </c>
      <c r="AM9" s="1294"/>
      <c r="AN9" s="15" t="s">
        <v>1892</v>
      </c>
      <c r="AO9" s="1294"/>
      <c r="AP9" s="15" t="s">
        <v>1891</v>
      </c>
      <c r="AQ9" s="1294"/>
      <c r="AR9" s="15" t="s">
        <v>1892</v>
      </c>
      <c r="AS9" s="2185"/>
      <c r="AT9" s="2174"/>
      <c r="AU9" s="2174" t="s">
        <v>1893</v>
      </c>
      <c r="AV9" s="1288"/>
      <c r="AW9" s="2157"/>
      <c r="AX9" s="1288"/>
      <c r="AY9" s="28"/>
      <c r="AZ9" s="28" t="s">
        <v>1883</v>
      </c>
      <c r="BA9" s="2186" t="s">
        <v>1894</v>
      </c>
      <c r="BB9" s="2187"/>
      <c r="BC9" s="1334"/>
      <c r="BD9" s="1334"/>
      <c r="BE9" s="1334"/>
      <c r="BF9" s="1334"/>
      <c r="BG9" s="1334"/>
      <c r="BH9" s="1334"/>
      <c r="BI9" s="1334"/>
      <c r="BJ9" s="1334"/>
      <c r="BK9" s="2188"/>
      <c r="BL9" s="15" t="s">
        <v>1895</v>
      </c>
      <c r="BM9" s="1813"/>
      <c r="BN9" s="2177"/>
      <c r="BO9" s="1813"/>
      <c r="BP9" s="1813"/>
      <c r="BQ9" s="1813"/>
      <c r="BR9" s="1813"/>
      <c r="BS9" s="1813"/>
      <c r="BT9" s="26"/>
    </row>
    <row r="10" spans="1:72" s="2181" customFormat="1" ht="12.75">
      <c r="A10" s="2174"/>
      <c r="B10" s="2174"/>
      <c r="C10" s="2174"/>
      <c r="D10" s="2174"/>
      <c r="E10" s="2174"/>
      <c r="F10" s="2174"/>
      <c r="G10" s="1288"/>
      <c r="H10" s="28"/>
      <c r="I10" s="2183" t="s">
        <v>3061</v>
      </c>
      <c r="J10" s="977"/>
      <c r="K10" s="2189" t="s">
        <v>1373</v>
      </c>
      <c r="L10" s="977"/>
      <c r="M10" s="2189" t="s">
        <v>1373</v>
      </c>
      <c r="N10" s="977"/>
      <c r="O10" s="2189" t="s">
        <v>1373</v>
      </c>
      <c r="P10" s="977"/>
      <c r="Q10" s="2189" t="s">
        <v>3090</v>
      </c>
      <c r="R10" s="977"/>
      <c r="S10" s="2189"/>
      <c r="T10" s="977"/>
      <c r="U10" s="2189"/>
      <c r="V10" s="977"/>
      <c r="W10" s="2189"/>
      <c r="X10" s="977"/>
      <c r="Y10" s="2189"/>
      <c r="Z10" s="977"/>
      <c r="AA10" s="2189"/>
      <c r="AB10" s="977"/>
      <c r="AC10" s="1288"/>
      <c r="AD10" s="15" t="s">
        <v>1896</v>
      </c>
      <c r="AE10" s="2190"/>
      <c r="AF10" s="15" t="s">
        <v>1896</v>
      </c>
      <c r="AG10" s="2190"/>
      <c r="AH10" s="15" t="s">
        <v>1897</v>
      </c>
      <c r="AI10" s="2190"/>
      <c r="AJ10" s="15" t="s">
        <v>1897</v>
      </c>
      <c r="AK10" s="2190"/>
      <c r="AL10" s="15" t="s">
        <v>1898</v>
      </c>
      <c r="AM10" s="1294"/>
      <c r="AN10" s="15" t="s">
        <v>1898</v>
      </c>
      <c r="AO10" s="1294"/>
      <c r="AP10" s="15" t="s">
        <v>1899</v>
      </c>
      <c r="AQ10" s="1294"/>
      <c r="AR10" s="15" t="s">
        <v>1899</v>
      </c>
      <c r="AS10" s="1294"/>
      <c r="AT10" s="2174"/>
      <c r="AU10" s="2174"/>
      <c r="AV10" s="1288"/>
      <c r="AW10" s="2157"/>
      <c r="AX10" s="1288"/>
      <c r="AY10" s="28"/>
      <c r="AZ10" s="28"/>
      <c r="BA10" s="2191" t="s">
        <v>1890</v>
      </c>
      <c r="BB10" s="2192"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1890</v>
      </c>
      <c r="BM10" s="1812" t="str">
        <f>AD9</f>
        <v>地上</v>
      </c>
      <c r="BN10" s="29" t="str">
        <f>AF9</f>
        <v>地下</v>
      </c>
      <c r="BO10" s="1812" t="str">
        <f>AH9</f>
        <v>地上</v>
      </c>
      <c r="BP10" s="29" t="str">
        <f>AJ9</f>
        <v>地下</v>
      </c>
      <c r="BQ10" s="1812" t="str">
        <f>AL9</f>
        <v>地上</v>
      </c>
      <c r="BR10" s="29" t="str">
        <f>AN9</f>
        <v>地下</v>
      </c>
      <c r="BS10" s="1812" t="str">
        <f>AP9</f>
        <v>地上</v>
      </c>
      <c r="BT10" s="2193" t="str">
        <f>AR9</f>
        <v>地下</v>
      </c>
    </row>
    <row r="11" spans="1:72" s="2181" customFormat="1" ht="12.75">
      <c r="A11" s="2174"/>
      <c r="B11" s="2174"/>
      <c r="C11" s="2174"/>
      <c r="D11" s="2174"/>
      <c r="E11" s="2174"/>
      <c r="F11" s="2174"/>
      <c r="G11" s="1288"/>
      <c r="H11" s="2191"/>
      <c r="I11" s="2194"/>
      <c r="J11" s="2195"/>
      <c r="K11" s="2194" t="s">
        <v>3116</v>
      </c>
      <c r="L11" s="2195"/>
      <c r="M11" s="2194"/>
      <c r="N11" s="2195"/>
      <c r="O11" s="2194"/>
      <c r="P11" s="2195"/>
      <c r="Q11" s="2194"/>
      <c r="R11" s="2195"/>
      <c r="S11" s="2194"/>
      <c r="T11" s="2195"/>
      <c r="U11" s="2194"/>
      <c r="V11" s="2195"/>
      <c r="W11" s="2194"/>
      <c r="X11" s="2195"/>
      <c r="Y11" s="2194"/>
      <c r="Z11" s="2195"/>
      <c r="AA11" s="2194"/>
      <c r="AB11" s="2195"/>
      <c r="AC11" s="1288"/>
      <c r="AD11" s="2196" t="s">
        <v>1900</v>
      </c>
      <c r="AE11" s="1814"/>
      <c r="AF11" s="2196" t="s">
        <v>1900</v>
      </c>
      <c r="AG11" s="1814"/>
      <c r="AH11" s="2196" t="s">
        <v>1901</v>
      </c>
      <c r="AI11" s="2197"/>
      <c r="AJ11" s="2196" t="s">
        <v>1901</v>
      </c>
      <c r="AK11" s="1814"/>
      <c r="AL11" s="1812"/>
      <c r="AM11" s="1814"/>
      <c r="AN11" s="1812"/>
      <c r="AO11" s="1814"/>
      <c r="AP11" s="1812"/>
      <c r="AQ11" s="1814"/>
      <c r="AR11" s="1812"/>
      <c r="AS11" s="1814"/>
      <c r="AT11" s="2157"/>
      <c r="AU11" s="2174"/>
      <c r="AV11" s="1288"/>
      <c r="AW11" s="2157"/>
      <c r="AX11" s="1288"/>
      <c r="AY11" s="28"/>
      <c r="AZ11" s="28"/>
      <c r="BA11" s="28"/>
      <c r="BB11" s="2179" t="str">
        <f>I10</f>
        <v>住宅</v>
      </c>
      <c r="BC11" s="2179" t="str">
        <f>K10</f>
        <v>商业</v>
      </c>
      <c r="BD11" s="2179" t="str">
        <f>M10</f>
        <v>商业</v>
      </c>
      <c r="BE11" s="2179" t="str">
        <f>O10</f>
        <v>商业</v>
      </c>
      <c r="BF11" s="2179" t="str">
        <f>Q10</f>
        <v>车库</v>
      </c>
      <c r="BG11" s="2179">
        <f>S10</f>
        <v>0</v>
      </c>
      <c r="BH11" s="2179">
        <f>U10</f>
        <v>0</v>
      </c>
      <c r="BI11" s="2179">
        <f>W10</f>
        <v>0</v>
      </c>
      <c r="BJ11" s="2179">
        <f>Y10</f>
        <v>0</v>
      </c>
      <c r="BK11" s="2179">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1"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797" t="s">
        <v>1903</v>
      </c>
      <c r="W12" s="11" t="s">
        <v>1902</v>
      </c>
      <c r="X12" s="11" t="s">
        <v>1903</v>
      </c>
      <c r="Y12" s="11" t="s">
        <v>1902</v>
      </c>
      <c r="Z12" s="11" t="s">
        <v>1903</v>
      </c>
      <c r="AA12" s="11" t="s">
        <v>1902</v>
      </c>
      <c r="AB12" s="11" t="s">
        <v>1903</v>
      </c>
      <c r="AC12" s="2201"/>
      <c r="AD12" s="1801"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199" t="s">
        <v>1903</v>
      </c>
      <c r="AT12" s="2202"/>
      <c r="AU12" s="2199"/>
      <c r="AV12" s="31"/>
      <c r="AW12" s="2158"/>
      <c r="AX12" s="31"/>
      <c r="AY12" s="2203"/>
      <c r="AZ12" s="28"/>
      <c r="BA12" s="2191"/>
      <c r="BB12" s="24">
        <f>I11</f>
        <v>0</v>
      </c>
      <c r="BC12" s="2204" t="str">
        <f>K11</f>
        <v>公寓</v>
      </c>
      <c r="BD12" s="2204">
        <f>M11</f>
        <v>0</v>
      </c>
      <c r="BE12" s="2179">
        <f>O11</f>
        <v>0</v>
      </c>
      <c r="BF12" s="2179">
        <f>Q11</f>
        <v>0</v>
      </c>
      <c r="BG12" s="2179">
        <f>S11</f>
        <v>0</v>
      </c>
      <c r="BH12" s="2179">
        <f>U11</f>
        <v>0</v>
      </c>
      <c r="BI12" s="2179">
        <f>W11</f>
        <v>0</v>
      </c>
      <c r="BJ12" s="2179">
        <f>Y11</f>
        <v>0</v>
      </c>
      <c r="BK12" s="2179">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198">
        <f>AR11</f>
        <v>0</v>
      </c>
    </row>
    <row r="13" spans="1:72" s="2159" customFormat="1" ht="12.75">
      <c r="A13" s="1268"/>
      <c r="B13" s="1268"/>
      <c r="C13" s="1268"/>
      <c r="D13" s="2205" t="s">
        <v>3070</v>
      </c>
      <c r="E13" s="16">
        <f>IF($C$3="是",ROUND($A$3*G13/$B$3,2),ROUND($A$3*(G13-AT13)/$B$3,2))</f>
        <v>25136</v>
      </c>
      <c r="F13" s="32"/>
      <c r="G13" s="33">
        <f>H13+AC13+AT13</f>
        <v>378144.48</v>
      </c>
      <c r="H13" s="20">
        <f>SUMIF(I$12:AB$12,"总值",I13:AB13)</f>
        <v>366047.19</v>
      </c>
      <c r="I13" s="2206">
        <v>91600</v>
      </c>
      <c r="J13" s="2206"/>
      <c r="K13" s="2206">
        <f>抵押物汇总表!K9</f>
        <v>81667.509999999995</v>
      </c>
      <c r="L13" s="2206"/>
      <c r="M13" s="2206">
        <f>抵押物汇总表!K10</f>
        <v>44775.299999999996</v>
      </c>
      <c r="N13" s="2206"/>
      <c r="O13" s="2206">
        <f>抵押物汇总表!G51</f>
        <v>32618.32</v>
      </c>
      <c r="P13" s="2206"/>
      <c r="Q13" s="2206">
        <f>抵押物汇总表!G52</f>
        <v>115386.06</v>
      </c>
      <c r="R13" s="2206"/>
      <c r="S13" s="2206"/>
      <c r="T13" s="2206"/>
      <c r="U13" s="2206"/>
      <c r="V13" s="2206"/>
      <c r="W13" s="2206"/>
      <c r="X13" s="2206"/>
      <c r="Y13" s="2206"/>
      <c r="Z13" s="2206"/>
      <c r="AA13" s="2206"/>
      <c r="AB13" s="2206"/>
      <c r="AC13" s="16">
        <f>SUMIF(AD$12:AS$12,"总值",AD13:AS13)</f>
        <v>12097.29</v>
      </c>
      <c r="AD13" s="2207"/>
      <c r="AE13" s="2207"/>
      <c r="AF13" s="2207"/>
      <c r="AG13" s="2207"/>
      <c r="AH13" s="2207"/>
      <c r="AI13" s="2207"/>
      <c r="AJ13" s="2207"/>
      <c r="AK13" s="2207"/>
      <c r="AL13" s="2207">
        <f>抵押物汇总表!K11+抵押物汇总表!K12+抵押物汇总表!K13+抵押物汇总表!K14</f>
        <v>4644.6099999999997</v>
      </c>
      <c r="AM13" s="2207"/>
      <c r="AN13" s="2207">
        <f>抵押物汇总表!G53+抵押物汇总表!G54+抵押物汇总表!G55+抵押物汇总表!G56</f>
        <v>7452.68</v>
      </c>
      <c r="AO13" s="2207"/>
      <c r="AP13" s="2207"/>
      <c r="AQ13" s="2207"/>
      <c r="AR13" s="2207"/>
      <c r="AS13" s="2207"/>
      <c r="AT13" s="2208"/>
      <c r="AU13" s="2209"/>
      <c r="AV13" s="11">
        <f t="shared" ref="AV13:AX17" si="6">A13</f>
        <v>0</v>
      </c>
      <c r="AW13" s="11">
        <f t="shared" si="6"/>
        <v>0</v>
      </c>
      <c r="AX13" s="11">
        <f t="shared" si="6"/>
        <v>0</v>
      </c>
      <c r="AY13" s="1801">
        <f>ROUND($AY$6*AZ13/$AZ$5,2)</f>
        <v>25136</v>
      </c>
      <c r="AZ13" s="16">
        <f>BA13+BL13</f>
        <v>378144.48</v>
      </c>
      <c r="BA13" s="16">
        <f>SUM(BB13:BK13)</f>
        <v>366047.19</v>
      </c>
      <c r="BB13" s="16">
        <f>IF($D13="是",I13-J13,0)</f>
        <v>91600</v>
      </c>
      <c r="BC13" s="16">
        <f>IF($D13="是",K13-L13,0)</f>
        <v>81667.509999999995</v>
      </c>
      <c r="BD13" s="16">
        <f>IF($D13="是",M13-N13,0)</f>
        <v>44775.299999999996</v>
      </c>
      <c r="BE13" s="16">
        <f>IF($D13="是",O13-P13,0)</f>
        <v>32618.32</v>
      </c>
      <c r="BF13" s="16">
        <f>IF($D13="是",Q13-R13,0)</f>
        <v>115386.06</v>
      </c>
      <c r="BG13" s="16">
        <f>IF($D13="是",S13-T13,0)</f>
        <v>0</v>
      </c>
      <c r="BH13" s="16">
        <f>IF($D13="是",U13-V13,0)</f>
        <v>0</v>
      </c>
      <c r="BI13" s="16">
        <f>IF($D13="是",W13-X13,0)</f>
        <v>0</v>
      </c>
      <c r="BJ13" s="16">
        <f>IF($D13="是",Y13-Z13,0)</f>
        <v>0</v>
      </c>
      <c r="BK13" s="16">
        <f>IF($D13="是",AA13-AB13,0)</f>
        <v>0</v>
      </c>
      <c r="BL13" s="16">
        <f>SUM(BM13:BT13)</f>
        <v>12097.29</v>
      </c>
      <c r="BM13" s="16">
        <f>IF($D13="是",AD13-AE13,0)</f>
        <v>0</v>
      </c>
      <c r="BN13" s="16">
        <f>IF($D13="是",AF13-AG13,0)</f>
        <v>0</v>
      </c>
      <c r="BO13" s="16">
        <f>IF($D13="是",AH13-AI13,0)</f>
        <v>0</v>
      </c>
      <c r="BP13" s="16">
        <f>IF($D13="是",AJ13-AK13,0)</f>
        <v>0</v>
      </c>
      <c r="BQ13" s="16">
        <f>IF($D13="是",AL13-AM13,0)</f>
        <v>4644.6099999999997</v>
      </c>
      <c r="BR13" s="16">
        <f>IF($D13="是",AN13-AO13,0)</f>
        <v>7452.68</v>
      </c>
      <c r="BS13" s="16">
        <f>IF($D13="是",AP13-AQ13,0)</f>
        <v>0</v>
      </c>
      <c r="BT13" s="22">
        <f>IF($D13="是",AR13-AS13,0)</f>
        <v>0</v>
      </c>
    </row>
    <row r="14" spans="1:72" s="2159" customFormat="1" ht="12.75">
      <c r="A14" s="1268"/>
      <c r="B14" s="1268"/>
      <c r="C14" s="2145"/>
      <c r="D14" s="2205"/>
      <c r="E14" s="16">
        <f>IF($C$3="是",ROUND($A$3*G14/$B$3,2),ROUND($A$3*(G14-AT14)/$B$3,2))</f>
        <v>0</v>
      </c>
      <c r="F14" s="32"/>
      <c r="G14" s="33">
        <f>H14+AC14+AT14</f>
        <v>571.98</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f>抵押物汇总表!G57</f>
        <v>571.98</v>
      </c>
      <c r="AU14" s="2209"/>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68"/>
      <c r="B15" s="1268"/>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8"/>
      <c r="B16" s="1268"/>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8"/>
      <c r="B17" s="1268"/>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4" t="s">
        <v>0</v>
      </c>
      <c r="B1" s="3144" t="s">
        <v>4</v>
      </c>
      <c r="C1" s="3144" t="s">
        <v>5</v>
      </c>
      <c r="D1" s="3145" t="s">
        <v>53</v>
      </c>
      <c r="E1" s="3145" t="s">
        <v>54</v>
      </c>
      <c r="F1" s="3145"/>
      <c r="G1" s="3145"/>
      <c r="H1" s="3145"/>
      <c r="I1" s="3145"/>
      <c r="J1" s="3145"/>
      <c r="K1" s="3145"/>
      <c r="L1" s="3145"/>
      <c r="M1" s="3145"/>
    </row>
    <row r="2" spans="1:13" ht="27" customHeight="1">
      <c r="A2" s="3144"/>
      <c r="B2" s="3144"/>
      <c r="C2" s="3144"/>
      <c r="D2" s="3145"/>
      <c r="E2" s="3145" t="s">
        <v>37</v>
      </c>
      <c r="F2" s="3145" t="s">
        <v>38</v>
      </c>
      <c r="G2" s="3145"/>
      <c r="H2" s="3145"/>
      <c r="I2" s="3145"/>
      <c r="J2" s="3145" t="s">
        <v>39</v>
      </c>
      <c r="K2" s="3145"/>
      <c r="L2" s="3145"/>
      <c r="M2" s="3145"/>
    </row>
    <row r="3" spans="1:13" ht="28.5">
      <c r="A3" s="3144"/>
      <c r="B3" s="3144"/>
      <c r="C3" s="3144"/>
      <c r="D3" s="3145"/>
      <c r="E3" s="31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5" t="s">
        <v>55</v>
      </c>
      <c r="B9" s="3145"/>
      <c r="C9" s="31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L58"/>
  <sheetViews>
    <sheetView topLeftCell="D7" zoomScaleNormal="100" workbookViewId="0">
      <selection activeCell="G52" sqref="G52"/>
    </sheetView>
  </sheetViews>
  <sheetFormatPr defaultColWidth="9" defaultRowHeight="14.25"/>
  <cols>
    <col min="1" max="1" width="2" style="3056" customWidth="1"/>
    <col min="2" max="2" width="35.375" style="2963" customWidth="1"/>
    <col min="3" max="3" width="29.625" style="2963" customWidth="1"/>
    <col min="4" max="4" width="69.25" style="2963" customWidth="1"/>
    <col min="5" max="5" width="2" style="3056" customWidth="1"/>
    <col min="6" max="11" width="12.625" style="2963" customWidth="1"/>
    <col min="12" max="12" width="2" style="3056" customWidth="1"/>
    <col min="13" max="16384" width="9" style="2963"/>
  </cols>
  <sheetData>
    <row r="1" spans="2:11" s="3056" customFormat="1" ht="11.25" customHeight="1"/>
    <row r="2" spans="2:11" ht="26.25" customHeight="1" thickBot="1">
      <c r="B2" s="2964" t="s">
        <v>3077</v>
      </c>
      <c r="C2" s="2964" t="s">
        <v>3078</v>
      </c>
      <c r="D2" s="2964" t="s">
        <v>3115</v>
      </c>
      <c r="F2" s="3056"/>
      <c r="G2" s="3056"/>
      <c r="H2" s="3056"/>
      <c r="I2" s="3056"/>
      <c r="J2" s="3056"/>
      <c r="K2" s="3056"/>
    </row>
    <row r="3" spans="2:11" ht="39.75" customHeight="1">
      <c r="B3" s="2963" t="s">
        <v>3118</v>
      </c>
      <c r="C3" s="2963" t="s">
        <v>3079</v>
      </c>
      <c r="D3" s="3146" t="s">
        <v>3088</v>
      </c>
      <c r="F3" s="2967" t="s">
        <v>3089</v>
      </c>
      <c r="G3" s="2968">
        <v>0</v>
      </c>
      <c r="H3" s="2968" t="s">
        <v>3099</v>
      </c>
      <c r="I3" s="2968">
        <v>225585.81</v>
      </c>
      <c r="J3" s="2968" t="s">
        <v>3104</v>
      </c>
      <c r="K3" s="2969">
        <v>1157</v>
      </c>
    </row>
    <row r="4" spans="2:11" ht="39.75" customHeight="1">
      <c r="B4" s="2963" t="s">
        <v>3080</v>
      </c>
      <c r="D4" s="3146"/>
      <c r="F4" s="2970" t="s">
        <v>3092</v>
      </c>
      <c r="G4" s="2965">
        <v>236054.15</v>
      </c>
      <c r="H4" s="2965" t="s">
        <v>3100</v>
      </c>
      <c r="I4" s="2965">
        <v>156225.29999999999</v>
      </c>
      <c r="J4" s="2965" t="s">
        <v>3105</v>
      </c>
      <c r="K4" s="2971">
        <v>110</v>
      </c>
    </row>
    <row r="5" spans="2:11" ht="39.75" customHeight="1">
      <c r="B5" s="2963" t="s">
        <v>3081</v>
      </c>
      <c r="C5" s="2963" t="s">
        <v>3082</v>
      </c>
      <c r="D5" s="2963" t="s">
        <v>3083</v>
      </c>
      <c r="F5" s="2970" t="s">
        <v>3093</v>
      </c>
      <c r="G5" s="2965">
        <v>1786</v>
      </c>
      <c r="H5" s="2965" t="s">
        <v>3101</v>
      </c>
      <c r="I5" s="2965">
        <f>I3+I4</f>
        <v>381811.11</v>
      </c>
      <c r="J5" s="2965" t="s">
        <v>3106</v>
      </c>
      <c r="K5" s="2971">
        <v>211</v>
      </c>
    </row>
    <row r="6" spans="2:11" ht="39.75" customHeight="1">
      <c r="B6" s="2963" t="s">
        <v>3084</v>
      </c>
      <c r="C6" s="2963" t="s">
        <v>3085</v>
      </c>
      <c r="D6" s="2963" t="s">
        <v>3086</v>
      </c>
      <c r="F6" s="3057" t="s">
        <v>3094</v>
      </c>
      <c r="G6" s="2966">
        <v>113810.36</v>
      </c>
      <c r="H6" s="2965" t="s">
        <v>3102</v>
      </c>
      <c r="I6" s="2965">
        <v>225585.81</v>
      </c>
      <c r="J6" s="2965" t="s">
        <v>3107</v>
      </c>
      <c r="K6" s="2971">
        <v>308</v>
      </c>
    </row>
    <row r="7" spans="2:11" ht="39.75" customHeight="1">
      <c r="B7" s="2963" t="s">
        <v>3087</v>
      </c>
      <c r="C7" s="2963" t="s">
        <v>4090</v>
      </c>
      <c r="D7" s="2963" t="s">
        <v>3091</v>
      </c>
      <c r="F7" s="2970" t="s">
        <v>3095</v>
      </c>
      <c r="G7" s="2965">
        <v>24418.25</v>
      </c>
      <c r="H7" s="2965" t="s">
        <v>3103</v>
      </c>
      <c r="I7" s="2993">
        <v>2396</v>
      </c>
      <c r="J7" s="2965" t="s">
        <v>3108</v>
      </c>
      <c r="K7" s="2971">
        <f>SUM(K3:K6)</f>
        <v>1786</v>
      </c>
    </row>
    <row r="8" spans="2:11" ht="61.5" customHeight="1" thickBot="1">
      <c r="B8" s="2963" t="s">
        <v>3109</v>
      </c>
      <c r="C8" s="2963" t="s">
        <v>3110</v>
      </c>
      <c r="D8" s="2963" t="s">
        <v>3111</v>
      </c>
      <c r="F8" s="2972" t="s">
        <v>3096</v>
      </c>
      <c r="G8" s="2973">
        <v>5742.35</v>
      </c>
      <c r="H8" s="2973"/>
      <c r="I8" s="2973"/>
      <c r="J8" s="2973"/>
      <c r="K8" s="2974"/>
    </row>
    <row r="9" spans="2:11" ht="27" customHeight="1">
      <c r="B9" s="2963" t="s">
        <v>3112</v>
      </c>
      <c r="C9" s="2963" t="s">
        <v>3113</v>
      </c>
      <c r="D9" s="2963" t="s">
        <v>3114</v>
      </c>
      <c r="F9" s="3148" t="s">
        <v>3120</v>
      </c>
      <c r="G9" s="2968" t="s">
        <v>3121</v>
      </c>
      <c r="H9" s="2968">
        <v>86514.4</v>
      </c>
      <c r="I9" s="2969" t="s">
        <v>3125</v>
      </c>
      <c r="J9" s="3058" t="s">
        <v>4119</v>
      </c>
      <c r="K9" s="3059">
        <f>H11+H13</f>
        <v>81667.509999999995</v>
      </c>
    </row>
    <row r="10" spans="2:11" ht="27" customHeight="1">
      <c r="B10" s="2963" t="s">
        <v>3807</v>
      </c>
      <c r="C10" s="2963" t="s">
        <v>3808</v>
      </c>
      <c r="F10" s="3147"/>
      <c r="G10" s="2965" t="s">
        <v>3122</v>
      </c>
      <c r="H10" s="2965">
        <f>618.13+649.69+698.75</f>
        <v>1966.5700000000002</v>
      </c>
      <c r="I10" s="2971" t="s">
        <v>3126</v>
      </c>
      <c r="J10" s="3060" t="s">
        <v>4120</v>
      </c>
      <c r="K10" s="3061">
        <f>H15+H16</f>
        <v>44775.299999999996</v>
      </c>
    </row>
    <row r="11" spans="2:11" ht="27" customHeight="1">
      <c r="B11" s="2963" t="s">
        <v>3117</v>
      </c>
      <c r="C11" s="2963" t="s">
        <v>3119</v>
      </c>
      <c r="F11" s="3147" t="s">
        <v>3123</v>
      </c>
      <c r="G11" s="2965" t="s">
        <v>3124</v>
      </c>
      <c r="H11" s="2965">
        <v>40331.949999999997</v>
      </c>
      <c r="I11" s="2971" t="s">
        <v>3127</v>
      </c>
      <c r="J11" s="3060" t="s">
        <v>4121</v>
      </c>
      <c r="K11" s="3061">
        <f>H12+H14</f>
        <v>2956.54</v>
      </c>
    </row>
    <row r="12" spans="2:11" ht="27" customHeight="1">
      <c r="B12" s="3056"/>
      <c r="C12" s="3056"/>
      <c r="D12" s="3056"/>
      <c r="F12" s="3147"/>
      <c r="G12" s="2965" t="s">
        <v>3122</v>
      </c>
      <c r="H12" s="2965">
        <f>429.83+532.04+523.19</f>
        <v>1485.06</v>
      </c>
      <c r="I12" s="2971" t="s">
        <v>3128</v>
      </c>
      <c r="J12" s="3060" t="s">
        <v>4122</v>
      </c>
      <c r="K12" s="3061">
        <f>H17</f>
        <v>221.19</v>
      </c>
    </row>
    <row r="13" spans="2:11" ht="27" customHeight="1">
      <c r="F13" s="3147" t="s">
        <v>3129</v>
      </c>
      <c r="G13" s="2965" t="s">
        <v>3130</v>
      </c>
      <c r="H13" s="2965">
        <v>41335.56</v>
      </c>
      <c r="I13" s="2971" t="s">
        <v>3131</v>
      </c>
      <c r="J13" s="3060" t="s">
        <v>4123</v>
      </c>
      <c r="K13" s="3061">
        <f>H18</f>
        <v>637.6400000000001</v>
      </c>
    </row>
    <row r="14" spans="2:11" ht="27" customHeight="1">
      <c r="F14" s="3147"/>
      <c r="G14" s="2965" t="s">
        <v>3122</v>
      </c>
      <c r="H14" s="2965">
        <f>428.59+523.5+519.39</f>
        <v>1471.48</v>
      </c>
      <c r="I14" s="2971" t="s">
        <v>3132</v>
      </c>
      <c r="J14" s="3060" t="s">
        <v>4117</v>
      </c>
      <c r="K14" s="3061">
        <f>H19</f>
        <v>829.24</v>
      </c>
    </row>
    <row r="15" spans="2:11" ht="27" customHeight="1" thickBot="1">
      <c r="F15" s="3147" t="s">
        <v>3133</v>
      </c>
      <c r="G15" s="2965" t="s">
        <v>3134</v>
      </c>
      <c r="H15" s="2965">
        <v>38502.519999999997</v>
      </c>
      <c r="I15" s="2971"/>
      <c r="J15" s="3062" t="s">
        <v>4091</v>
      </c>
      <c r="K15" s="3063">
        <f>SUM(K9:K14)</f>
        <v>131087.41999999998</v>
      </c>
    </row>
    <row r="16" spans="2:11" ht="27" customHeight="1">
      <c r="F16" s="3147"/>
      <c r="G16" s="2965" t="s">
        <v>3136</v>
      </c>
      <c r="H16" s="2965">
        <v>6272.78</v>
      </c>
      <c r="I16" s="2971"/>
      <c r="J16" s="3056"/>
      <c r="K16" s="3056"/>
    </row>
    <row r="17" spans="6:11" ht="27" customHeight="1">
      <c r="F17" s="3147"/>
      <c r="G17" s="2965" t="s">
        <v>3135</v>
      </c>
      <c r="H17" s="2965">
        <v>221.19</v>
      </c>
      <c r="I17" s="2971"/>
      <c r="J17" s="3056"/>
      <c r="K17" s="3056"/>
    </row>
    <row r="18" spans="6:11" ht="27" customHeight="1">
      <c r="F18" s="3147"/>
      <c r="G18" s="2965" t="s">
        <v>3137</v>
      </c>
      <c r="H18" s="2965">
        <f>102.02+250.53+23.78+16.82+16.24+17.77+22.58+25.24+65.33+97.33</f>
        <v>637.6400000000001</v>
      </c>
      <c r="I18" s="2971" t="s">
        <v>3138</v>
      </c>
      <c r="J18" s="3056"/>
      <c r="K18" s="3056"/>
    </row>
    <row r="19" spans="6:11" ht="27" customHeight="1">
      <c r="F19" s="3054" t="s">
        <v>3139</v>
      </c>
      <c r="G19" s="2965"/>
      <c r="H19" s="2965">
        <v>829.24</v>
      </c>
      <c r="I19" s="2971" t="s">
        <v>3140</v>
      </c>
      <c r="J19" s="3056"/>
      <c r="K19" s="3056"/>
    </row>
    <row r="20" spans="6:11" ht="27" customHeight="1" thickBot="1">
      <c r="F20" s="2972" t="s">
        <v>3108</v>
      </c>
      <c r="G20" s="2973"/>
      <c r="H20" s="2973">
        <f>SUM(H9:H19)</f>
        <v>219568.38999999998</v>
      </c>
      <c r="I20" s="2974"/>
      <c r="J20" s="3056"/>
      <c r="K20" s="3056"/>
    </row>
    <row r="21" spans="6:11" ht="27" customHeight="1" thickBot="1">
      <c r="F21" s="3056"/>
      <c r="G21" s="3056"/>
      <c r="H21" s="3056"/>
      <c r="I21" s="3056"/>
      <c r="J21" s="3056"/>
      <c r="K21" s="3056"/>
    </row>
    <row r="22" spans="6:11" ht="27" customHeight="1">
      <c r="F22" s="3151" t="s">
        <v>4092</v>
      </c>
      <c r="G22" s="3149" t="s">
        <v>4093</v>
      </c>
      <c r="H22" s="3064" t="s">
        <v>4094</v>
      </c>
      <c r="I22" s="3059">
        <v>14385.89</v>
      </c>
      <c r="J22" s="3064" t="s">
        <v>4113</v>
      </c>
      <c r="K22" s="3059">
        <f>I22</f>
        <v>14385.89</v>
      </c>
    </row>
    <row r="23" spans="6:11" ht="27" customHeight="1">
      <c r="F23" s="3152"/>
      <c r="G23" s="3150"/>
      <c r="H23" s="3065" t="s">
        <v>4095</v>
      </c>
      <c r="I23" s="3061">
        <v>5119.42</v>
      </c>
      <c r="J23" s="3065" t="s">
        <v>4114</v>
      </c>
      <c r="K23" s="3061">
        <f>I25</f>
        <v>12869.9</v>
      </c>
    </row>
    <row r="24" spans="6:11" ht="27" customHeight="1">
      <c r="F24" s="3152"/>
      <c r="G24" s="3150"/>
      <c r="H24" s="3065" t="s">
        <v>4096</v>
      </c>
      <c r="I24" s="3061">
        <v>544.76</v>
      </c>
      <c r="J24" s="3065" t="s">
        <v>4115</v>
      </c>
      <c r="K24" s="3061">
        <f>I28+I30+I34+I35+I36+I38</f>
        <v>113567.55</v>
      </c>
    </row>
    <row r="25" spans="6:11" ht="27" customHeight="1">
      <c r="F25" s="3152"/>
      <c r="G25" s="3150" t="s">
        <v>4097</v>
      </c>
      <c r="H25" s="3065" t="s">
        <v>4094</v>
      </c>
      <c r="I25" s="3061">
        <v>12869.9</v>
      </c>
      <c r="J25" s="3065" t="s">
        <v>4116</v>
      </c>
      <c r="K25" s="3061">
        <f>I23+I31+I29+I37+I39</f>
        <v>13433.29</v>
      </c>
    </row>
    <row r="26" spans="6:11" ht="27" customHeight="1">
      <c r="F26" s="3152"/>
      <c r="G26" s="3150"/>
      <c r="H26" s="3065" t="s">
        <v>4098</v>
      </c>
      <c r="I26" s="3061">
        <v>132.32</v>
      </c>
      <c r="J26" s="3065" t="s">
        <v>4117</v>
      </c>
      <c r="K26" s="3061">
        <f>I26+I40</f>
        <v>577</v>
      </c>
    </row>
    <row r="27" spans="6:11" ht="27" customHeight="1">
      <c r="F27" s="3152"/>
      <c r="G27" s="3150"/>
      <c r="H27" s="3065" t="s">
        <v>4099</v>
      </c>
      <c r="I27" s="3061">
        <v>211</v>
      </c>
      <c r="J27" s="3065" t="s">
        <v>4096</v>
      </c>
      <c r="K27" s="3061">
        <f>I24+I33</f>
        <v>1105.81</v>
      </c>
    </row>
    <row r="28" spans="6:11" ht="27" customHeight="1">
      <c r="F28" s="3152"/>
      <c r="G28" s="3150"/>
      <c r="H28" s="3065" t="s">
        <v>4100</v>
      </c>
      <c r="I28" s="3061">
        <v>2984.62</v>
      </c>
      <c r="J28" s="3065" t="s">
        <v>4099</v>
      </c>
      <c r="K28" s="3061">
        <f>I27</f>
        <v>211</v>
      </c>
    </row>
    <row r="29" spans="6:11" ht="27" customHeight="1">
      <c r="F29" s="3152"/>
      <c r="G29" s="3150"/>
      <c r="H29" s="3065" t="s">
        <v>4101</v>
      </c>
      <c r="I29" s="3061">
        <v>6554.94</v>
      </c>
      <c r="J29" s="3065" t="s">
        <v>4105</v>
      </c>
      <c r="K29" s="3061">
        <f>I32</f>
        <v>74.86</v>
      </c>
    </row>
    <row r="30" spans="6:11" ht="27" customHeight="1" thickBot="1">
      <c r="F30" s="3152"/>
      <c r="G30" s="3150" t="s">
        <v>4102</v>
      </c>
      <c r="H30" s="3065" t="s">
        <v>4103</v>
      </c>
      <c r="I30" s="3061">
        <v>21748.58</v>
      </c>
      <c r="J30" s="3066" t="s">
        <v>4118</v>
      </c>
      <c r="K30" s="3063">
        <f>SUM(K22:K29)</f>
        <v>156225.29999999999</v>
      </c>
    </row>
    <row r="31" spans="6:11" ht="27" customHeight="1">
      <c r="F31" s="3152"/>
      <c r="G31" s="3150"/>
      <c r="H31" s="3065" t="s">
        <v>4104</v>
      </c>
      <c r="I31" s="3061">
        <v>300</v>
      </c>
      <c r="J31" s="3056"/>
      <c r="K31" s="3056"/>
    </row>
    <row r="32" spans="6:11" ht="27" customHeight="1">
      <c r="F32" s="3152"/>
      <c r="G32" s="3150"/>
      <c r="H32" s="3065" t="s">
        <v>4105</v>
      </c>
      <c r="I32" s="3061">
        <v>74.86</v>
      </c>
      <c r="J32" s="3056"/>
      <c r="K32" s="3056"/>
    </row>
    <row r="33" spans="1:12" ht="27" customHeight="1">
      <c r="F33" s="3152"/>
      <c r="G33" s="3150"/>
      <c r="H33" s="2965" t="s">
        <v>4106</v>
      </c>
      <c r="I33" s="2971">
        <v>561.04999999999995</v>
      </c>
      <c r="J33" s="3056"/>
      <c r="K33" s="3056"/>
    </row>
    <row r="34" spans="1:12" ht="27" customHeight="1">
      <c r="F34" s="3152"/>
      <c r="G34" s="2965" t="s">
        <v>4107</v>
      </c>
      <c r="H34" s="2965" t="s">
        <v>4108</v>
      </c>
      <c r="I34" s="2971">
        <v>22684.49</v>
      </c>
      <c r="J34" s="3056"/>
      <c r="K34" s="3056"/>
    </row>
    <row r="35" spans="1:12" s="3053" customFormat="1" ht="27" customHeight="1">
      <c r="A35" s="3056"/>
      <c r="E35" s="3056"/>
      <c r="F35" s="3152"/>
      <c r="G35" s="2965" t="s">
        <v>4110</v>
      </c>
      <c r="H35" s="2965" t="s">
        <v>4109</v>
      </c>
      <c r="I35" s="2971">
        <v>22684.49</v>
      </c>
      <c r="J35" s="3056"/>
      <c r="K35" s="3056"/>
      <c r="L35" s="3056"/>
    </row>
    <row r="36" spans="1:12" s="3053" customFormat="1" ht="27" customHeight="1">
      <c r="A36" s="3056"/>
      <c r="E36" s="3056"/>
      <c r="F36" s="3152"/>
      <c r="G36" s="3155" t="s">
        <v>4111</v>
      </c>
      <c r="H36" s="2965" t="s">
        <v>4108</v>
      </c>
      <c r="I36" s="2971">
        <v>22378.57</v>
      </c>
      <c r="J36" s="3056"/>
      <c r="K36" s="3056"/>
      <c r="L36" s="3056"/>
    </row>
    <row r="37" spans="1:12" s="3053" customFormat="1" ht="27" customHeight="1">
      <c r="A37" s="3056"/>
      <c r="E37" s="3056"/>
      <c r="F37" s="3152"/>
      <c r="G37" s="3155"/>
      <c r="H37" s="2965" t="s">
        <v>4104</v>
      </c>
      <c r="I37" s="2971">
        <v>305.92</v>
      </c>
      <c r="J37" s="3056"/>
      <c r="K37" s="3056"/>
      <c r="L37" s="3056"/>
    </row>
    <row r="38" spans="1:12" s="3053" customFormat="1" ht="27" customHeight="1">
      <c r="A38" s="3056"/>
      <c r="E38" s="3056"/>
      <c r="F38" s="3152"/>
      <c r="G38" s="3155" t="s">
        <v>4112</v>
      </c>
      <c r="H38" s="2965" t="s">
        <v>4108</v>
      </c>
      <c r="I38" s="2971">
        <v>21086.799999999999</v>
      </c>
      <c r="J38" s="3056"/>
      <c r="K38" s="3056"/>
      <c r="L38" s="3056"/>
    </row>
    <row r="39" spans="1:12" s="3053" customFormat="1" ht="27" customHeight="1">
      <c r="A39" s="3056"/>
      <c r="E39" s="3056"/>
      <c r="F39" s="3152"/>
      <c r="G39" s="3155"/>
      <c r="H39" s="2965" t="s">
        <v>4104</v>
      </c>
      <c r="I39" s="2971">
        <v>1153.01</v>
      </c>
      <c r="J39" s="3056"/>
      <c r="K39" s="3056"/>
      <c r="L39" s="3056"/>
    </row>
    <row r="40" spans="1:12" s="3053" customFormat="1" ht="27" customHeight="1">
      <c r="A40" s="3056"/>
      <c r="E40" s="3056"/>
      <c r="F40" s="3152"/>
      <c r="G40" s="3155"/>
      <c r="H40" s="2965" t="s">
        <v>4098</v>
      </c>
      <c r="I40" s="2971">
        <v>444.68</v>
      </c>
      <c r="J40" s="3056"/>
      <c r="K40" s="3056"/>
      <c r="L40" s="3056"/>
    </row>
    <row r="41" spans="1:12" s="3053" customFormat="1" ht="27" customHeight="1" thickBot="1">
      <c r="A41" s="3056"/>
      <c r="E41" s="3056"/>
      <c r="F41" s="3153" t="s">
        <v>4091</v>
      </c>
      <c r="G41" s="3154"/>
      <c r="H41" s="3154"/>
      <c r="I41" s="3063">
        <f>SUM(I22:I40)</f>
        <v>156225.30000000002</v>
      </c>
      <c r="J41" s="3056"/>
      <c r="K41" s="3056"/>
      <c r="L41" s="3056"/>
    </row>
    <row r="42" spans="1:12" s="3053" customFormat="1" ht="21" customHeight="1">
      <c r="A42" s="3056"/>
      <c r="E42" s="3056"/>
      <c r="F42" s="3056"/>
      <c r="G42" s="3056"/>
      <c r="H42" s="3056"/>
      <c r="I42" s="3056"/>
      <c r="J42" s="3056"/>
      <c r="K42" s="3056"/>
      <c r="L42" s="3056"/>
    </row>
    <row r="43" spans="1:12" s="3053" customFormat="1" ht="19.5" customHeight="1">
      <c r="A43" s="3056"/>
      <c r="E43" s="3056"/>
      <c r="F43" s="2964" t="s">
        <v>4125</v>
      </c>
      <c r="G43" s="3055"/>
      <c r="H43" s="3055"/>
      <c r="I43" s="3055"/>
      <c r="J43" s="3055"/>
      <c r="K43" s="3055"/>
      <c r="L43" s="3056"/>
    </row>
    <row r="44" spans="1:12" s="3053" customFormat="1" ht="19.5" customHeight="1">
      <c r="A44" s="3056"/>
      <c r="E44" s="3056"/>
      <c r="F44" s="3055"/>
      <c r="G44" s="3055" t="s">
        <v>4126</v>
      </c>
      <c r="H44" s="3055" t="s">
        <v>1373</v>
      </c>
      <c r="I44" s="3055" t="s">
        <v>4127</v>
      </c>
      <c r="J44" s="3055" t="s">
        <v>4128</v>
      </c>
      <c r="K44" s="3055" t="s">
        <v>4129</v>
      </c>
      <c r="L44" s="3056"/>
    </row>
    <row r="45" spans="1:12" ht="19.5" customHeight="1">
      <c r="F45" s="3055" t="s">
        <v>4130</v>
      </c>
      <c r="G45" s="3055">
        <f>4800+22680+28350+28350+1341.14</f>
        <v>85521.14</v>
      </c>
      <c r="H45" s="3055"/>
      <c r="I45" s="3055">
        <f>410+60+1220+160+1130+140+1180+56.54</f>
        <v>4356.54</v>
      </c>
      <c r="J45" s="3055">
        <f>610+600+570</f>
        <v>1780</v>
      </c>
      <c r="K45" s="3055">
        <f>G45+I45+J45+H45</f>
        <v>91657.68</v>
      </c>
    </row>
    <row r="46" spans="1:12" ht="19.5" customHeight="1">
      <c r="F46" s="3055" t="s">
        <v>4131</v>
      </c>
      <c r="G46" s="3055">
        <f>10451+10451+16423</f>
        <v>37325</v>
      </c>
      <c r="H46" s="3055"/>
      <c r="I46" s="3055">
        <f>259+993+993+1093</f>
        <v>3338</v>
      </c>
      <c r="J46" s="3055">
        <f>500+500+400</f>
        <v>1400</v>
      </c>
      <c r="K46" s="3055">
        <f t="shared" ref="K46:K49" si="0">G46+I46+J46+H46</f>
        <v>42063</v>
      </c>
    </row>
    <row r="47" spans="1:12" ht="19.5" customHeight="1">
      <c r="F47" s="3055" t="s">
        <v>4132</v>
      </c>
      <c r="G47" s="3055">
        <f>10451+10451+1493+1493+13437+1273</f>
        <v>38598</v>
      </c>
      <c r="H47" s="3055"/>
      <c r="I47" s="3055">
        <f>259+993+993+220+1099</f>
        <v>3564</v>
      </c>
      <c r="J47" s="3055">
        <f>500+500+400</f>
        <v>1400</v>
      </c>
      <c r="K47" s="3055">
        <f t="shared" si="0"/>
        <v>43562</v>
      </c>
    </row>
    <row r="48" spans="1:12" ht="19.5" customHeight="1">
      <c r="F48" s="3055" t="s">
        <v>4133</v>
      </c>
      <c r="G48" s="3055">
        <f>503.64+1177.15</f>
        <v>1680.79</v>
      </c>
      <c r="H48" s="3055">
        <f>5817.14+7047.23+7383.84+5920.36+6046.12</f>
        <v>32214.69</v>
      </c>
      <c r="I48" s="3055">
        <f>308+107.36+35.14+242.81+255.6</f>
        <v>948.91</v>
      </c>
      <c r="J48" s="3055"/>
      <c r="K48" s="3055">
        <f t="shared" si="0"/>
        <v>34844.39</v>
      </c>
    </row>
    <row r="49" spans="6:11" ht="19.5" customHeight="1">
      <c r="F49" s="3055" t="s">
        <v>4134</v>
      </c>
      <c r="G49" s="3055">
        <v>618.42999999999995</v>
      </c>
      <c r="H49" s="3055">
        <f>3215.58+3505.84+3435.25+2683.64</f>
        <v>12840.31</v>
      </c>
      <c r="I49" s="3055"/>
      <c r="J49" s="3055"/>
      <c r="K49" s="3055">
        <f t="shared" si="0"/>
        <v>13458.74</v>
      </c>
    </row>
    <row r="50" spans="6:11" ht="15" thickBot="1">
      <c r="F50" s="3056"/>
      <c r="G50" s="3056"/>
      <c r="H50" s="3056"/>
      <c r="I50" s="3056"/>
      <c r="J50" s="3056"/>
      <c r="K50" s="3056"/>
    </row>
    <row r="51" spans="6:11" ht="28.5">
      <c r="F51" s="3069" t="s">
        <v>4135</v>
      </c>
      <c r="G51" s="2969">
        <f>H51+I51</f>
        <v>32618.32</v>
      </c>
      <c r="H51" s="2963">
        <v>17319.87</v>
      </c>
      <c r="I51" s="2963">
        <v>15298.45</v>
      </c>
    </row>
    <row r="52" spans="6:11" ht="28.5">
      <c r="F52" s="3068" t="s">
        <v>4136</v>
      </c>
      <c r="G52" s="2971">
        <v>115386.06</v>
      </c>
    </row>
    <row r="53" spans="6:11" ht="28.5">
      <c r="F53" s="3068" t="s">
        <v>4137</v>
      </c>
      <c r="G53" s="2971">
        <v>1209.1600000000001</v>
      </c>
    </row>
    <row r="54" spans="6:11" ht="28.5">
      <c r="F54" s="3068" t="s">
        <v>4138</v>
      </c>
      <c r="G54" s="2971">
        <v>955.17</v>
      </c>
    </row>
    <row r="55" spans="6:11">
      <c r="F55" s="3068" t="s">
        <v>4139</v>
      </c>
      <c r="G55" s="2971">
        <f>58.38+9.59+1778.14+131.33+248.2+218.24+940.9+61.77+50.33+18+56.04+29.68+48.37+41.18+92.01+34.03+8.64+27.8+321.45+28.8+201.93+134.64+120.94</f>
        <v>4660.3900000000003</v>
      </c>
    </row>
    <row r="56" spans="6:11">
      <c r="F56" s="3068" t="s">
        <v>4140</v>
      </c>
      <c r="G56" s="2971">
        <v>627.96</v>
      </c>
    </row>
    <row r="57" spans="6:11">
      <c r="F57" s="3068" t="s">
        <v>4141</v>
      </c>
      <c r="G57" s="2971">
        <v>571.98</v>
      </c>
    </row>
    <row r="58" spans="6:11" ht="15" thickBot="1">
      <c r="F58" s="2972" t="s">
        <v>4142</v>
      </c>
      <c r="G58" s="2974">
        <f>SUM(G51:G57)</f>
        <v>156029.04000000004</v>
      </c>
    </row>
  </sheetData>
  <mergeCells count="12">
    <mergeCell ref="G22:G24"/>
    <mergeCell ref="F22:F40"/>
    <mergeCell ref="F41:H41"/>
    <mergeCell ref="G38:G40"/>
    <mergeCell ref="G36:G37"/>
    <mergeCell ref="G30:G33"/>
    <mergeCell ref="G25:G29"/>
    <mergeCell ref="D3:D4"/>
    <mergeCell ref="F15:F18"/>
    <mergeCell ref="F13:F14"/>
    <mergeCell ref="F11:F12"/>
    <mergeCell ref="F9:F10"/>
  </mergeCells>
  <phoneticPr fontId="143" type="noConversion"/>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F36" sqref="F36"/>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1929</v>
      </c>
      <c r="B1" s="1388"/>
      <c r="C1" s="1388"/>
      <c r="D1" s="1388"/>
      <c r="E1" s="1388"/>
      <c r="F1" s="1388"/>
      <c r="G1" s="1388"/>
      <c r="H1" s="1388"/>
      <c r="I1" s="1388"/>
      <c r="J1" s="1388"/>
      <c r="K1" s="1388"/>
      <c r="L1" s="1388"/>
      <c r="M1" s="1388"/>
      <c r="N1" s="1388"/>
      <c r="O1" s="1388"/>
      <c r="P1" s="1388"/>
    </row>
    <row r="2" spans="1:16" ht="15">
      <c r="A2" s="3165" t="s">
        <v>1930</v>
      </c>
      <c r="B2" s="3165"/>
      <c r="C2" s="3165"/>
      <c r="D2" s="963" t="s">
        <v>1906</v>
      </c>
      <c r="E2" s="2219" t="s">
        <v>1907</v>
      </c>
      <c r="F2" s="1388"/>
      <c r="G2" s="2220"/>
      <c r="H2" s="2221"/>
      <c r="I2" s="2222" t="s">
        <v>1931</v>
      </c>
      <c r="J2" s="1388"/>
      <c r="K2" s="1388"/>
      <c r="L2" s="1388"/>
      <c r="M2" s="1388"/>
      <c r="N2" s="1423"/>
      <c r="O2" s="1388"/>
      <c r="P2" s="1388"/>
    </row>
    <row r="3" spans="1:16" ht="15.75" thickBot="1">
      <c r="A3" s="3166" t="s">
        <v>1904</v>
      </c>
      <c r="B3" s="3166"/>
      <c r="C3" s="3166"/>
      <c r="D3" s="46">
        <f>'数据-基础表'!AY6</f>
        <v>25136</v>
      </c>
      <c r="E3" s="46">
        <f>'数据-基础表'!AZ5</f>
        <v>378144.48</v>
      </c>
      <c r="F3" s="1388"/>
      <c r="G3" s="1395"/>
      <c r="H3" s="1243" t="s">
        <v>1905</v>
      </c>
      <c r="I3" s="55">
        <f>ROUND('数据-基础表'!B3/'数据-基础表'!A3,2)</f>
        <v>15.04</v>
      </c>
      <c r="J3" s="1388"/>
      <c r="K3" s="1388"/>
      <c r="L3" s="1388"/>
      <c r="M3" s="1388"/>
      <c r="N3" s="1423"/>
      <c r="O3" s="1388"/>
      <c r="P3" s="1388"/>
    </row>
    <row r="4" spans="1:16" ht="15">
      <c r="A4" s="3167"/>
      <c r="B4" s="3168"/>
      <c r="C4" s="3169"/>
      <c r="D4" s="2223" t="s">
        <v>1906</v>
      </c>
      <c r="E4" s="2224" t="s">
        <v>1907</v>
      </c>
      <c r="F4" s="1388"/>
      <c r="G4" s="2225" t="s">
        <v>1932</v>
      </c>
      <c r="H4" s="1243" t="s">
        <v>1912</v>
      </c>
      <c r="I4" s="55">
        <f>ROUND(SUMIF('数据-基础表'!I9:AS9,"地上",'数据-基础表'!I5:AS5)/'数据-基础表'!A3,2)</f>
        <v>8.86</v>
      </c>
      <c r="J4" s="1388"/>
      <c r="K4" s="1388"/>
      <c r="L4" s="1388"/>
      <c r="M4" s="1388"/>
      <c r="N4" s="1423"/>
      <c r="O4" s="1388"/>
      <c r="P4" s="1388"/>
    </row>
    <row r="5" spans="1:16">
      <c r="A5" s="47" t="s">
        <v>1908</v>
      </c>
      <c r="B5" s="3170" t="s">
        <v>1909</v>
      </c>
      <c r="C5" s="3170"/>
      <c r="D5" s="48">
        <f>ROUND($D$3*E5/$E$3,2)</f>
        <v>6088.83</v>
      </c>
      <c r="E5" s="49">
        <f>SUMIF('数据-基础表'!$11:$11,"住宅",'数据-基础表'!$5:$5)</f>
        <v>91600</v>
      </c>
      <c r="F5" s="1388"/>
      <c r="G5" s="1395"/>
      <c r="H5" s="1243" t="s">
        <v>1905</v>
      </c>
      <c r="I5" s="55">
        <f>ROUND(E31/D31,2)</f>
        <v>15.04</v>
      </c>
      <c r="J5" s="1388"/>
      <c r="K5" s="1388"/>
      <c r="L5" s="1388"/>
      <c r="M5" s="1388"/>
      <c r="N5" s="1388"/>
      <c r="O5" s="1388"/>
      <c r="P5" s="1388"/>
    </row>
    <row r="6" spans="1:16" ht="15" thickBot="1">
      <c r="A6" s="2226"/>
      <c r="B6" s="3170" t="s">
        <v>1910</v>
      </c>
      <c r="C6" s="3170"/>
      <c r="D6" s="48">
        <f>ROUND($D$3*E6/$E$3,2)</f>
        <v>19047.169999999998</v>
      </c>
      <c r="E6" s="49">
        <f>E3-E5</f>
        <v>286544.48</v>
      </c>
      <c r="F6" s="1388"/>
      <c r="G6" s="2227" t="s">
        <v>1911</v>
      </c>
      <c r="H6" s="1395" t="s">
        <v>1912</v>
      </c>
      <c r="I6" s="935">
        <f>ROUND(F31/D31,2)</f>
        <v>8.86</v>
      </c>
      <c r="J6" s="1388"/>
      <c r="K6" s="1388"/>
      <c r="L6" s="1388"/>
      <c r="M6" s="1388"/>
      <c r="N6" s="1388"/>
      <c r="O6" s="1388"/>
      <c r="P6" s="1388"/>
    </row>
    <row r="7" spans="1:16" ht="15">
      <c r="A7" s="3162"/>
      <c r="B7" s="3163"/>
      <c r="C7" s="3164"/>
      <c r="D7" s="2223" t="s">
        <v>1906</v>
      </c>
      <c r="E7" s="2228" t="s">
        <v>1913</v>
      </c>
      <c r="F7" s="1388"/>
      <c r="G7" s="2220" t="s">
        <v>1914</v>
      </c>
      <c r="H7" s="64"/>
      <c r="I7" s="420"/>
      <c r="J7" s="1388"/>
      <c r="K7" s="1388"/>
      <c r="L7" s="1388"/>
      <c r="M7" s="1388"/>
      <c r="N7" s="1388"/>
      <c r="O7" s="1388"/>
      <c r="P7" s="1388"/>
    </row>
    <row r="8" spans="1:16">
      <c r="A8" s="47" t="s">
        <v>1915</v>
      </c>
      <c r="B8" s="50" t="s">
        <v>1916</v>
      </c>
      <c r="C8" s="48" t="s">
        <v>1917</v>
      </c>
      <c r="D8" s="48">
        <f t="shared" ref="D8:D15" si="0">ROUND($D$3*E8/$E$3,2)</f>
        <v>14493.73</v>
      </c>
      <c r="E8" s="51">
        <f>SUMIF('数据-基础表'!BB10:BK10,"地上",'数据-基础表'!BB5:BK5)</f>
        <v>218042.81</v>
      </c>
      <c r="F8" s="1388"/>
      <c r="G8" s="2229"/>
      <c r="H8" s="2229"/>
      <c r="I8" s="1388"/>
      <c r="J8" s="1388"/>
      <c r="K8" s="1388"/>
      <c r="L8" s="1388"/>
      <c r="M8" s="1388"/>
      <c r="N8" s="1388"/>
      <c r="O8" s="1388"/>
      <c r="P8" s="1388"/>
    </row>
    <row r="9" spans="1:16">
      <c r="A9" s="2230"/>
      <c r="B9" s="2231"/>
      <c r="C9" s="48" t="s">
        <v>1918</v>
      </c>
      <c r="D9" s="48">
        <f t="shared" si="0"/>
        <v>0</v>
      </c>
      <c r="E9" s="52">
        <v>0</v>
      </c>
      <c r="F9" s="1388"/>
      <c r="G9" s="2229"/>
      <c r="H9" s="2229"/>
      <c r="I9" s="1388"/>
      <c r="J9" s="1388"/>
      <c r="K9" s="1388"/>
      <c r="L9" s="1388"/>
      <c r="M9" s="1388"/>
      <c r="N9" s="1388"/>
      <c r="O9" s="1388"/>
      <c r="P9" s="1388"/>
    </row>
    <row r="10" spans="1:16">
      <c r="A10" s="2230"/>
      <c r="B10" s="2231"/>
      <c r="C10" s="48" t="s">
        <v>1927</v>
      </c>
      <c r="D10" s="48">
        <f t="shared" si="0"/>
        <v>2168.1999999999998</v>
      </c>
      <c r="E10" s="51">
        <f>SUMPRODUCT(('数据-基础表'!BB10:BK10="地下")*('数据-基础表'!BB11:BK11="商业")*('数据-基础表'!BB5:BK5))</f>
        <v>32618.32</v>
      </c>
      <c r="F10" s="1388"/>
      <c r="G10" s="2229"/>
      <c r="H10" s="2229"/>
      <c r="I10" s="1388"/>
      <c r="J10" s="1388"/>
      <c r="K10" s="1388"/>
      <c r="L10" s="1388"/>
      <c r="M10" s="1388"/>
      <c r="N10" s="1388"/>
      <c r="O10" s="1388"/>
      <c r="P10" s="1388"/>
    </row>
    <row r="11" spans="1:16">
      <c r="A11" s="2230"/>
      <c r="B11" s="2231"/>
      <c r="C11" s="48" t="s">
        <v>1919</v>
      </c>
      <c r="D11" s="48">
        <f t="shared" si="0"/>
        <v>0</v>
      </c>
      <c r="E11" s="51">
        <f>SUMPRODUCT(('数据-基础表'!BB10:BK10="地下")*('数据-基础表'!BB11:BK11="办公")*('数据-基础表'!BB5:BK5))+'数据-基础表'!BP5</f>
        <v>0</v>
      </c>
      <c r="F11" s="1388"/>
      <c r="G11" s="2229"/>
      <c r="H11" s="2229"/>
      <c r="I11" s="1388"/>
      <c r="J11" s="1388"/>
      <c r="K11" s="1388"/>
      <c r="L11" s="1388"/>
      <c r="M11" s="1388"/>
      <c r="N11" s="1388"/>
      <c r="O11" s="1388"/>
      <c r="P11" s="1388"/>
    </row>
    <row r="12" spans="1:16">
      <c r="A12" s="2230"/>
      <c r="B12" s="2231"/>
      <c r="C12" s="48" t="s">
        <v>1920</v>
      </c>
      <c r="D12" s="48">
        <f t="shared" si="0"/>
        <v>0</v>
      </c>
      <c r="E12" s="51">
        <f>SUMPRODUCT(('数据-基础表'!BB10:BK10="地下")*('数据-基础表'!BB11:BK11="仓储")*('数据-基础表'!BB5:BK5))</f>
        <v>0</v>
      </c>
      <c r="F12" s="1388"/>
      <c r="G12" s="2229"/>
      <c r="H12" s="2229"/>
      <c r="I12" s="1388"/>
      <c r="J12" s="1388"/>
      <c r="K12" s="1388"/>
      <c r="L12" s="1388"/>
      <c r="M12" s="1388"/>
      <c r="N12" s="1388"/>
      <c r="O12" s="1388"/>
      <c r="P12" s="1388"/>
    </row>
    <row r="13" spans="1:16">
      <c r="A13" s="2230"/>
      <c r="B13" s="2231"/>
      <c r="C13" s="48" t="s">
        <v>1921</v>
      </c>
      <c r="D13" s="48">
        <f t="shared" si="0"/>
        <v>7669.94</v>
      </c>
      <c r="E13" s="51">
        <f>SUMPRODUCT(('数据-基础表'!BB10:BK10="地下")*('数据-基础表'!BB11:BK11="车库")*('数据-基础表'!BB5:BK5))</f>
        <v>115386.06</v>
      </c>
      <c r="F13" s="1388"/>
      <c r="G13" s="2229"/>
      <c r="H13" s="2229"/>
      <c r="I13" s="1388"/>
      <c r="J13" s="1388"/>
      <c r="K13" s="1388"/>
      <c r="L13" s="1388"/>
      <c r="M13" s="1388"/>
      <c r="N13" s="1388"/>
      <c r="O13" s="1388"/>
      <c r="P13" s="1388"/>
    </row>
    <row r="14" spans="1:16">
      <c r="A14" s="2230"/>
      <c r="B14" s="2231"/>
      <c r="C14" s="48" t="s">
        <v>1933</v>
      </c>
      <c r="D14" s="48">
        <f t="shared" si="0"/>
        <v>0</v>
      </c>
      <c r="E14" s="51">
        <f>SUMPRODUCT(('数据-基础表'!BB10:BK10="地下")*('数据-基础表'!BB11:BK11="车库—商业")*('数据-基础表'!BB5:BK5))</f>
        <v>0</v>
      </c>
      <c r="F14" s="1388"/>
      <c r="G14" s="2229"/>
      <c r="H14" s="2229"/>
      <c r="I14" s="1388"/>
      <c r="J14" s="1388"/>
      <c r="K14" s="1388"/>
      <c r="L14" s="1388"/>
      <c r="M14" s="1388"/>
      <c r="N14" s="1388"/>
      <c r="O14" s="1388"/>
      <c r="P14" s="1388"/>
    </row>
    <row r="15" spans="1:16" ht="15" thickBot="1">
      <c r="A15" s="2230"/>
      <c r="B15" s="2231"/>
      <c r="C15" s="48" t="s">
        <v>1928</v>
      </c>
      <c r="D15" s="48">
        <f t="shared" si="0"/>
        <v>0</v>
      </c>
      <c r="E15" s="51">
        <f>SUMPRODUCT(('数据-基础表'!BB10:BK10="地下")*('数据-基础表'!BB11:BK11="车库—办公")*('数据-基础表'!BB5:BK5))</f>
        <v>0</v>
      </c>
      <c r="F15" s="1388"/>
      <c r="G15" s="2229"/>
      <c r="H15" s="2229"/>
      <c r="I15" s="1388"/>
      <c r="J15" s="1388"/>
      <c r="K15" s="1388"/>
      <c r="L15" s="1388"/>
      <c r="M15" s="1388"/>
      <c r="N15" s="1388"/>
      <c r="O15" s="1388"/>
      <c r="P15" s="1388"/>
    </row>
    <row r="16" spans="1:16" ht="15.75" thickBot="1">
      <c r="A16" s="2226"/>
      <c r="B16" s="2231"/>
      <c r="C16" s="50" t="s">
        <v>1922</v>
      </c>
      <c r="D16" s="50">
        <f>SUM(D8:D15)</f>
        <v>24331.87</v>
      </c>
      <c r="E16" s="53">
        <f>SUM(E8:E15)</f>
        <v>366047.19</v>
      </c>
      <c r="F16" s="1388"/>
      <c r="G16" s="2229"/>
      <c r="H16" s="2232" t="s">
        <v>1934</v>
      </c>
      <c r="I16" s="2233"/>
      <c r="J16" s="1388"/>
      <c r="K16" s="3159" t="s">
        <v>1934</v>
      </c>
      <c r="L16" s="3160"/>
      <c r="M16" s="3160"/>
      <c r="N16" s="3160"/>
      <c r="O16" s="3160"/>
      <c r="P16" s="3161"/>
    </row>
    <row r="17" spans="1:19" ht="15">
      <c r="A17" s="2234" t="s">
        <v>1935</v>
      </c>
      <c r="B17" s="2235" t="s">
        <v>1936</v>
      </c>
      <c r="C17" s="2236" t="s">
        <v>1937</v>
      </c>
      <c r="D17" s="2237" t="s">
        <v>1925</v>
      </c>
      <c r="E17" s="2238" t="s">
        <v>1926</v>
      </c>
      <c r="F17" s="2239"/>
      <c r="G17" s="2240"/>
      <c r="H17" s="2241" t="s">
        <v>1938</v>
      </c>
      <c r="I17" s="2242" t="s">
        <v>1923</v>
      </c>
      <c r="J17" s="1388"/>
      <c r="K17" s="3156" t="s">
        <v>1939</v>
      </c>
      <c r="L17" s="3157"/>
      <c r="M17" s="3158"/>
      <c r="N17" s="3156" t="s">
        <v>1940</v>
      </c>
      <c r="O17" s="3157"/>
      <c r="P17" s="3158"/>
      <c r="R17" s="2220" t="s">
        <v>1941</v>
      </c>
      <c r="S17" s="64"/>
    </row>
    <row r="18" spans="1:19" ht="15">
      <c r="A18" s="2230"/>
      <c r="B18" s="2243"/>
      <c r="C18" s="2244"/>
      <c r="D18" s="2245"/>
      <c r="E18" s="2246" t="s">
        <v>1942</v>
      </c>
      <c r="F18" s="2247" t="s">
        <v>1943</v>
      </c>
      <c r="G18" s="2248" t="s">
        <v>1944</v>
      </c>
      <c r="H18" s="1258" t="s">
        <v>1945</v>
      </c>
      <c r="I18" s="2249" t="s">
        <v>1946</v>
      </c>
      <c r="J18" s="1388"/>
      <c r="K18" s="1258" t="s">
        <v>1947</v>
      </c>
      <c r="L18" s="2250" t="s">
        <v>1948</v>
      </c>
      <c r="M18" s="1042" t="s">
        <v>1949</v>
      </c>
      <c r="N18" s="1258" t="s">
        <v>1947</v>
      </c>
      <c r="O18" s="2250" t="s">
        <v>1948</v>
      </c>
      <c r="P18" s="1042" t="s">
        <v>1949</v>
      </c>
      <c r="R18" s="1243" t="s">
        <v>1950</v>
      </c>
      <c r="S18" s="1243" t="s">
        <v>1951</v>
      </c>
    </row>
    <row r="19" spans="1:19">
      <c r="A19" s="2251"/>
      <c r="B19" s="50" t="s">
        <v>1924</v>
      </c>
      <c r="C19" s="2975" t="s">
        <v>3141</v>
      </c>
      <c r="D19" s="48">
        <f>ROUND($D$3*E19/$E$3,2)</f>
        <v>6088.83</v>
      </c>
      <c r="E19" s="56">
        <f t="shared" ref="E19:E26" si="1">SUM(F19:G19)</f>
        <v>91600</v>
      </c>
      <c r="F19" s="57">
        <f>'数据-基础表'!I13</f>
        <v>91600</v>
      </c>
      <c r="G19" s="58"/>
      <c r="H19" s="722">
        <f>ROUND($D$3*I19/$E$3,2)</f>
        <v>201.23</v>
      </c>
      <c r="I19" s="51">
        <f t="shared" ref="I19:I26" si="2">IF($I$17="自定义",P19,M19)</f>
        <v>3027.24</v>
      </c>
      <c r="J19" s="1388"/>
      <c r="K19" s="1387">
        <f t="shared" ref="K19:K26" si="3">ROUND(E$28*E19/E$27,2)</f>
        <v>3027.24</v>
      </c>
      <c r="L19" s="1243">
        <f t="shared" ref="L19:L26" si="4">ROUND(IF(COUNTIF(C19,"*住宅*")&gt;0,E$29*E19/E$32,0),2)</f>
        <v>0</v>
      </c>
      <c r="M19" s="1399">
        <f>K19+L19</f>
        <v>3027.24</v>
      </c>
      <c r="N19" s="2252"/>
      <c r="O19" s="2253"/>
      <c r="P19" s="1399">
        <f>N19+O19</f>
        <v>0</v>
      </c>
      <c r="R19" s="1243">
        <f t="shared" ref="R19:S26" si="5">D19+H19</f>
        <v>6290.0599999999995</v>
      </c>
      <c r="S19" s="1244">
        <f t="shared" si="5"/>
        <v>94627.24</v>
      </c>
    </row>
    <row r="20" spans="1:19">
      <c r="A20" s="2254"/>
      <c r="B20" s="50" t="s">
        <v>1952</v>
      </c>
      <c r="C20" s="2975" t="s">
        <v>3142</v>
      </c>
      <c r="D20" s="48">
        <f t="shared" ref="D20:D26" si="6">ROUND($D$3*E20/$E$3,2)</f>
        <v>5428.6</v>
      </c>
      <c r="E20" s="56">
        <f t="shared" si="1"/>
        <v>81667.509999999995</v>
      </c>
      <c r="F20" s="57">
        <f>'数据-基础表'!K13</f>
        <v>81667.509999999995</v>
      </c>
      <c r="G20" s="58"/>
      <c r="H20" s="722">
        <f t="shared" ref="H20:H26" si="7">ROUND($D$3*I20/$E$3,2)</f>
        <v>179.41</v>
      </c>
      <c r="I20" s="51">
        <f t="shared" si="2"/>
        <v>2698.98</v>
      </c>
      <c r="J20" s="1388"/>
      <c r="K20" s="1387">
        <f t="shared" si="3"/>
        <v>2698.98</v>
      </c>
      <c r="L20" s="1243">
        <f t="shared" si="4"/>
        <v>0</v>
      </c>
      <c r="M20" s="1399">
        <f t="shared" ref="M20:M26" si="8">K20+L20</f>
        <v>2698.98</v>
      </c>
      <c r="N20" s="2252"/>
      <c r="O20" s="2253"/>
      <c r="P20" s="1399">
        <f t="shared" ref="P20:P26" si="9">N20+O20</f>
        <v>0</v>
      </c>
      <c r="R20" s="1243">
        <f t="shared" si="5"/>
        <v>5608.01</v>
      </c>
      <c r="S20" s="1244">
        <f t="shared" si="5"/>
        <v>84366.489999999991</v>
      </c>
    </row>
    <row r="21" spans="1:19">
      <c r="A21" s="2254"/>
      <c r="B21" s="50" t="s">
        <v>1952</v>
      </c>
      <c r="C21" s="2975" t="s">
        <v>3143</v>
      </c>
      <c r="D21" s="48">
        <f t="shared" si="6"/>
        <v>5144.5</v>
      </c>
      <c r="E21" s="56">
        <f t="shared" si="1"/>
        <v>77393.62</v>
      </c>
      <c r="F21" s="57">
        <f>'数据-基础表'!M13</f>
        <v>44775.299999999996</v>
      </c>
      <c r="G21" s="58">
        <f>'数据-基础表'!O13</f>
        <v>32618.32</v>
      </c>
      <c r="H21" s="722">
        <f t="shared" si="7"/>
        <v>170.02</v>
      </c>
      <c r="I21" s="51">
        <f t="shared" si="2"/>
        <v>2557.7399999999998</v>
      </c>
      <c r="J21" s="1388"/>
      <c r="K21" s="1387">
        <f t="shared" si="3"/>
        <v>2557.7399999999998</v>
      </c>
      <c r="L21" s="1243">
        <f t="shared" si="4"/>
        <v>0</v>
      </c>
      <c r="M21" s="1399">
        <f t="shared" si="8"/>
        <v>2557.7399999999998</v>
      </c>
      <c r="N21" s="2252"/>
      <c r="O21" s="2253"/>
      <c r="P21" s="1399">
        <f t="shared" si="9"/>
        <v>0</v>
      </c>
      <c r="R21" s="1243">
        <f t="shared" si="5"/>
        <v>5314.52</v>
      </c>
      <c r="S21" s="1244">
        <f t="shared" si="5"/>
        <v>79951.360000000001</v>
      </c>
    </row>
    <row r="22" spans="1:19">
      <c r="A22" s="2254"/>
      <c r="B22" s="50" t="s">
        <v>1952</v>
      </c>
      <c r="C22" s="2976" t="s">
        <v>3144</v>
      </c>
      <c r="D22" s="48">
        <f t="shared" si="6"/>
        <v>7669.94</v>
      </c>
      <c r="E22" s="56">
        <f t="shared" si="1"/>
        <v>115386.06</v>
      </c>
      <c r="F22" s="61"/>
      <c r="G22" s="62">
        <f>'数据-基础表'!Q13</f>
        <v>115386.06</v>
      </c>
      <c r="H22" s="722">
        <f t="shared" si="7"/>
        <v>253.48</v>
      </c>
      <c r="I22" s="51">
        <f t="shared" si="2"/>
        <v>3813.33</v>
      </c>
      <c r="J22" s="1388"/>
      <c r="K22" s="1387">
        <f t="shared" si="3"/>
        <v>3813.33</v>
      </c>
      <c r="L22" s="1243">
        <f t="shared" si="4"/>
        <v>0</v>
      </c>
      <c r="M22" s="1399">
        <f t="shared" si="8"/>
        <v>3813.33</v>
      </c>
      <c r="N22" s="2252"/>
      <c r="O22" s="2253"/>
      <c r="P22" s="1399">
        <f t="shared" si="9"/>
        <v>0</v>
      </c>
      <c r="R22" s="1243">
        <f t="shared" si="5"/>
        <v>7923.4199999999992</v>
      </c>
      <c r="S22" s="1244">
        <f t="shared" si="5"/>
        <v>119199.39</v>
      </c>
    </row>
    <row r="23" spans="1:19">
      <c r="A23" s="2254"/>
      <c r="B23" s="50" t="s">
        <v>1952</v>
      </c>
      <c r="C23" s="60"/>
      <c r="D23" s="48">
        <f>ROUND($D$3*E23/$E$3,2)</f>
        <v>0</v>
      </c>
      <c r="E23" s="56">
        <f>SUM(F23:G23)</f>
        <v>0</v>
      </c>
      <c r="F23" s="61"/>
      <c r="G23" s="62"/>
      <c r="H23" s="722">
        <f>ROUND($D$3*I23/$E$3,2)</f>
        <v>0</v>
      </c>
      <c r="I23" s="51">
        <f t="shared" si="2"/>
        <v>0</v>
      </c>
      <c r="J23" s="1388"/>
      <c r="K23" s="1387">
        <f t="shared" si="3"/>
        <v>0</v>
      </c>
      <c r="L23" s="1243">
        <f t="shared" si="4"/>
        <v>0</v>
      </c>
      <c r="M23" s="1399">
        <f t="shared" si="8"/>
        <v>0</v>
      </c>
      <c r="N23" s="2252"/>
      <c r="O23" s="2253"/>
      <c r="P23" s="1399">
        <f t="shared" si="9"/>
        <v>0</v>
      </c>
      <c r="R23" s="1243">
        <f t="shared" si="5"/>
        <v>0</v>
      </c>
      <c r="S23" s="1244">
        <f t="shared" si="5"/>
        <v>0</v>
      </c>
    </row>
    <row r="24" spans="1:19">
      <c r="A24" s="2254"/>
      <c r="B24" s="50" t="s">
        <v>1952</v>
      </c>
      <c r="C24" s="60"/>
      <c r="D24" s="48">
        <f>ROUND($D$3*E24/$E$3,2)</f>
        <v>0</v>
      </c>
      <c r="E24" s="56">
        <f>SUM(F24:G24)</f>
        <v>0</v>
      </c>
      <c r="F24" s="61"/>
      <c r="G24" s="62"/>
      <c r="H24" s="722">
        <f>ROUND($D$3*I24/$E$3,2)</f>
        <v>0</v>
      </c>
      <c r="I24" s="51">
        <f t="shared" si="2"/>
        <v>0</v>
      </c>
      <c r="J24" s="1388"/>
      <c r="K24" s="1387">
        <f t="shared" si="3"/>
        <v>0</v>
      </c>
      <c r="L24" s="1243">
        <f t="shared" si="4"/>
        <v>0</v>
      </c>
      <c r="M24" s="1399">
        <f t="shared" si="8"/>
        <v>0</v>
      </c>
      <c r="N24" s="2252"/>
      <c r="O24" s="2253"/>
      <c r="P24" s="1399">
        <f t="shared" si="9"/>
        <v>0</v>
      </c>
      <c r="R24" s="1243">
        <f t="shared" si="5"/>
        <v>0</v>
      </c>
      <c r="S24" s="1244">
        <f t="shared" si="5"/>
        <v>0</v>
      </c>
    </row>
    <row r="25" spans="1:19">
      <c r="A25" s="2254"/>
      <c r="B25" s="50" t="s">
        <v>1952</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2"/>
      <c r="O25" s="2253"/>
      <c r="P25" s="1399">
        <f t="shared" si="9"/>
        <v>0</v>
      </c>
      <c r="R25" s="1243">
        <f t="shared" si="5"/>
        <v>0</v>
      </c>
      <c r="S25" s="1244">
        <f t="shared" si="5"/>
        <v>0</v>
      </c>
    </row>
    <row r="26" spans="1:19">
      <c r="A26" s="2254"/>
      <c r="B26" s="50" t="s">
        <v>1952</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5"/>
      <c r="O26" s="2256"/>
      <c r="P26" s="67">
        <f t="shared" si="9"/>
        <v>0</v>
      </c>
      <c r="R26" s="1243">
        <f t="shared" si="5"/>
        <v>0</v>
      </c>
      <c r="S26" s="1244">
        <f t="shared" si="5"/>
        <v>0</v>
      </c>
    </row>
    <row r="27" spans="1:19" ht="29.25" thickBot="1">
      <c r="A27" s="2254"/>
      <c r="B27" s="48"/>
      <c r="C27" s="2257" t="s">
        <v>1953</v>
      </c>
      <c r="D27" s="1389">
        <f>SUM(D19:D26)</f>
        <v>24331.87</v>
      </c>
      <c r="E27" s="1390">
        <f>IF(SUM(E19:E26)='数据-基础表'!BA5,SUM(E19:E26),IF(F27="地上面积有误","面积有误","地下面积有误"))</f>
        <v>366047.19</v>
      </c>
      <c r="F27" s="1389">
        <f>IF(SUM(F19:F26)=E8,SUM(F19:F26),"地上面积有误")</f>
        <v>218042.81</v>
      </c>
      <c r="G27" s="1391">
        <f>SUM(G19:G26)</f>
        <v>148004.38</v>
      </c>
      <c r="H27" s="1392">
        <f>SUM(H19:H26)</f>
        <v>804.14</v>
      </c>
      <c r="I27" s="1393">
        <f>SUM(I19:I26)</f>
        <v>12097.289999999999</v>
      </c>
      <c r="J27" s="1388"/>
      <c r="K27" s="1396">
        <f>SUM(K19:K26)</f>
        <v>12097.289999999999</v>
      </c>
      <c r="L27" s="1397">
        <f>SUM(L19:L26)</f>
        <v>0</v>
      </c>
      <c r="M27" s="1400">
        <f>SUM(M19:M26)</f>
        <v>12097.289999999999</v>
      </c>
      <c r="N27" s="1396">
        <f t="shared" ref="N27:O27" si="10">SUM(N19:N26)</f>
        <v>0</v>
      </c>
      <c r="O27" s="1397">
        <f t="shared" si="10"/>
        <v>0</v>
      </c>
      <c r="P27" s="1398">
        <f>SUM(P19:P26)</f>
        <v>0</v>
      </c>
      <c r="R27" s="1245" t="str">
        <f>IF(SUM(R19:R26)=$D$3,SUM(R19:R26),SUM(R19:R26)&amp;"误差"&amp;ROUND(SUM(R19:R26)-$D$3,2))</f>
        <v>25136.01误差0.01</v>
      </c>
      <c r="S27" s="1243">
        <f>IF(SUM(S19:S26)=$E$3,SUM(S19:S26),SUM(S19:S26)&amp;"误差"&amp;ROUND(SUM(S19:S26)-E3,2))</f>
        <v>378144.48</v>
      </c>
    </row>
    <row r="28" spans="1:19">
      <c r="A28" s="2254"/>
      <c r="B28" s="50" t="s">
        <v>1954</v>
      </c>
      <c r="C28" s="1255" t="s">
        <v>1955</v>
      </c>
      <c r="D28" s="48">
        <f>ROUND($D$3*E28/$E$3,2)</f>
        <v>804.13</v>
      </c>
      <c r="E28" s="56">
        <f>SUM(F28:G28)</f>
        <v>12097.29</v>
      </c>
      <c r="F28" s="64">
        <f>'数据-基础表'!BQ5+'数据-基础表'!BS5</f>
        <v>4644.6099999999997</v>
      </c>
      <c r="G28" s="65">
        <f>'数据-基础表'!BR5+'数据-基础表'!BT5</f>
        <v>7452.68</v>
      </c>
      <c r="H28" s="1388"/>
      <c r="I28" s="1388"/>
      <c r="J28" s="1388"/>
      <c r="K28" s="1388"/>
      <c r="L28" s="1388"/>
      <c r="M28" s="1388"/>
      <c r="N28" s="1388"/>
      <c r="O28" s="1388"/>
      <c r="P28" s="1388"/>
    </row>
    <row r="29" spans="1:19">
      <c r="A29" s="2254"/>
      <c r="B29" s="50" t="s">
        <v>1954</v>
      </c>
      <c r="C29" s="2258" t="s">
        <v>1956</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4"/>
      <c r="B30" s="50"/>
      <c r="C30" s="2259" t="s">
        <v>1953</v>
      </c>
      <c r="D30" s="1389">
        <f>SUM(D28:D29)</f>
        <v>804.13</v>
      </c>
      <c r="E30" s="1389">
        <f>SUM(E28:E29)</f>
        <v>12097.29</v>
      </c>
      <c r="F30" s="1389">
        <f>SUM(F28:F29)</f>
        <v>4644.6099999999997</v>
      </c>
      <c r="G30" s="1391">
        <f>SUM(G28:G29)</f>
        <v>7452.68</v>
      </c>
      <c r="H30" s="1388"/>
      <c r="I30" s="1388"/>
      <c r="J30" s="1388"/>
      <c r="K30" s="1388"/>
      <c r="L30" s="1388"/>
      <c r="M30" s="1388"/>
      <c r="N30" s="1388"/>
      <c r="O30" s="1388"/>
      <c r="P30" s="1388"/>
    </row>
    <row r="31" spans="1:19" ht="15.75" thickBot="1">
      <c r="A31" s="2260"/>
      <c r="B31" s="2261"/>
      <c r="C31" s="1003" t="s">
        <v>1957</v>
      </c>
      <c r="D31" s="727">
        <f>D27+D30</f>
        <v>25136</v>
      </c>
      <c r="E31" s="727">
        <f>E27+E30</f>
        <v>378144.48</v>
      </c>
      <c r="F31" s="728">
        <f>F27+F30</f>
        <v>222687.41999999998</v>
      </c>
      <c r="G31" s="729">
        <f>G27+G30</f>
        <v>155457.06</v>
      </c>
      <c r="H31" s="1388"/>
      <c r="I31" s="1388"/>
      <c r="J31" s="1388"/>
      <c r="K31" s="1388"/>
      <c r="L31" s="1388"/>
      <c r="M31" s="1388"/>
      <c r="N31" s="1388"/>
      <c r="O31" s="1388"/>
      <c r="P31" s="1388"/>
    </row>
    <row r="32" spans="1:19">
      <c r="A32" s="2225"/>
      <c r="B32" s="2225" t="s">
        <v>1958</v>
      </c>
      <c r="C32" s="2225"/>
      <c r="D32" s="2225"/>
      <c r="E32" s="1270">
        <f>SUMIF(C19:C26,"*住宅*",E19:E26)</f>
        <v>91600</v>
      </c>
      <c r="F32" s="2225"/>
      <c r="G32" s="2225"/>
      <c r="H32" s="1388"/>
      <c r="I32" s="1388"/>
      <c r="J32" s="1388"/>
      <c r="K32" s="1388"/>
      <c r="L32" s="1388"/>
      <c r="M32" s="1388"/>
      <c r="N32" s="1388"/>
      <c r="O32" s="1388"/>
      <c r="P32" s="1388"/>
    </row>
    <row r="33" spans="4:6">
      <c r="D33" s="2262"/>
    </row>
    <row r="34" spans="4:6">
      <c r="E34" s="3067" t="s">
        <v>4124</v>
      </c>
      <c r="F34" s="2218">
        <f>抵押物汇总表!I6</f>
        <v>225585.81</v>
      </c>
    </row>
    <row r="36" spans="4:6">
      <c r="F36" s="2218">
        <f>(F20+F21)/F27</f>
        <v>0.57989901157483703</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U10" sqref="U10"/>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1"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25" width="6.75" style="2266" customWidth="1"/>
    <col min="26" max="30" width="6.75" style="2266" hidden="1"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1959</v>
      </c>
      <c r="B1" s="730"/>
      <c r="C1" s="1576"/>
      <c r="D1" s="2264"/>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5" customFormat="1" ht="15.75" thickBot="1">
      <c r="A2" s="2267" t="s">
        <v>1960</v>
      </c>
      <c r="B2" s="1262">
        <f>项目基本情况!D3</f>
        <v>43796</v>
      </c>
      <c r="C2" s="2268"/>
      <c r="D2" s="2269"/>
      <c r="E2" s="2268"/>
      <c r="F2" s="2268"/>
      <c r="G2" s="2268"/>
      <c r="H2" s="2268"/>
      <c r="I2" s="2268"/>
      <c r="J2" s="2268"/>
      <c r="K2" s="1423"/>
      <c r="L2" s="1423"/>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5" customFormat="1" ht="15" thickBot="1">
      <c r="A3" s="2023"/>
      <c r="B3" s="2271"/>
      <c r="C3" s="2268"/>
      <c r="D3" s="2269"/>
      <c r="E3" s="2268"/>
      <c r="F3" s="2268"/>
      <c r="G3" s="2268"/>
      <c r="H3" s="2268"/>
      <c r="I3" s="2268"/>
      <c r="J3" s="2268"/>
      <c r="K3" s="1423"/>
      <c r="L3" s="1423"/>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5" customFormat="1" ht="15" thickBot="1">
      <c r="A4" s="68" t="s">
        <v>1961</v>
      </c>
      <c r="B4" s="2272"/>
      <c r="C4" s="2273"/>
      <c r="D4" s="2274"/>
      <c r="E4" s="2273" t="s">
        <v>1962</v>
      </c>
      <c r="F4" s="2273"/>
      <c r="G4" s="2273"/>
      <c r="H4" s="2273"/>
      <c r="I4" s="2273"/>
      <c r="J4" s="2275"/>
      <c r="K4" s="2276"/>
      <c r="L4" s="2277"/>
      <c r="M4" s="2273"/>
      <c r="N4" s="2273" t="s">
        <v>1963</v>
      </c>
      <c r="O4" s="2273"/>
      <c r="P4" s="2273"/>
      <c r="Q4" s="2273"/>
      <c r="R4" s="2273"/>
      <c r="S4" s="2275"/>
      <c r="T4" s="2278" t="str">
        <f>'数据-汇总表'!I17</f>
        <v>按面积比例</v>
      </c>
      <c r="U4" s="2272" t="s">
        <v>1964</v>
      </c>
      <c r="V4" s="2273"/>
      <c r="W4" s="2273"/>
      <c r="X4" s="2273"/>
      <c r="Y4" s="2275"/>
      <c r="Z4" s="2236" t="s">
        <v>1965</v>
      </c>
      <c r="AA4" s="2236"/>
      <c r="AB4" s="2236"/>
      <c r="AC4" s="2236"/>
      <c r="AD4" s="2236"/>
      <c r="AE4" s="2234" t="s">
        <v>1966</v>
      </c>
      <c r="AF4" s="2236"/>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6" customFormat="1" ht="42">
      <c r="A5" s="2280" t="s">
        <v>1967</v>
      </c>
      <c r="B5" s="2281" t="s">
        <v>1968</v>
      </c>
      <c r="C5" s="2282" t="s">
        <v>1969</v>
      </c>
      <c r="D5" s="2283" t="s">
        <v>1970</v>
      </c>
      <c r="E5" s="1264" t="s">
        <v>1971</v>
      </c>
      <c r="F5" s="2284" t="s">
        <v>1972</v>
      </c>
      <c r="G5" s="1264" t="s">
        <v>1973</v>
      </c>
      <c r="H5" s="1264" t="s">
        <v>1974</v>
      </c>
      <c r="I5" s="1264" t="s">
        <v>1975</v>
      </c>
      <c r="J5" s="2285" t="s">
        <v>1976</v>
      </c>
      <c r="K5" s="2286" t="s">
        <v>1977</v>
      </c>
      <c r="L5" s="2287" t="s">
        <v>1978</v>
      </c>
      <c r="M5" s="2288" t="s">
        <v>1979</v>
      </c>
      <c r="N5" s="2289" t="s">
        <v>1980</v>
      </c>
      <c r="O5" s="2287" t="s">
        <v>1981</v>
      </c>
      <c r="P5" s="2290" t="s">
        <v>1982</v>
      </c>
      <c r="Q5" s="69" t="s">
        <v>1983</v>
      </c>
      <c r="R5" s="2291" t="s">
        <v>1984</v>
      </c>
      <c r="S5" s="2292" t="s">
        <v>1985</v>
      </c>
      <c r="T5" s="2293" t="s">
        <v>1986</v>
      </c>
      <c r="U5" s="1263" t="s">
        <v>1987</v>
      </c>
      <c r="V5" s="1264" t="s">
        <v>1988</v>
      </c>
      <c r="W5" s="1264" t="s">
        <v>1989</v>
      </c>
      <c r="X5" s="71"/>
      <c r="Y5" s="70" t="s">
        <v>1990</v>
      </c>
      <c r="Z5" s="2294" t="s">
        <v>1987</v>
      </c>
      <c r="AA5" s="1264" t="s">
        <v>1988</v>
      </c>
      <c r="AB5" s="1264" t="s">
        <v>1989</v>
      </c>
      <c r="AC5" s="71"/>
      <c r="AD5" s="71" t="s">
        <v>1990</v>
      </c>
      <c r="AE5" s="1263" t="s">
        <v>1991</v>
      </c>
      <c r="AF5" s="1264" t="s">
        <v>1992</v>
      </c>
      <c r="AG5" s="70" t="s">
        <v>1993</v>
      </c>
      <c r="AH5" s="1263" t="s">
        <v>1994</v>
      </c>
      <c r="AI5" s="2294" t="s">
        <v>1995</v>
      </c>
      <c r="AJ5" s="2294" t="s">
        <v>1996</v>
      </c>
      <c r="AK5" s="1264" t="s">
        <v>1997</v>
      </c>
      <c r="AL5" s="1264" t="s">
        <v>1998</v>
      </c>
      <c r="AM5" s="70" t="s">
        <v>1999</v>
      </c>
      <c r="AN5" s="2295" t="s">
        <v>2000</v>
      </c>
      <c r="AO5" s="2067" t="s">
        <v>2001</v>
      </c>
      <c r="AP5" s="1245" t="s">
        <v>2002</v>
      </c>
      <c r="AQ5" s="2296" t="s">
        <v>2003</v>
      </c>
      <c r="AR5" s="2296" t="s">
        <v>2004</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5" customFormat="1" ht="14.25">
      <c r="A6" s="2297" t="str">
        <f>'数据-汇总表'!C19</f>
        <v>住宅</v>
      </c>
      <c r="B6" s="2298" t="str">
        <f>IF(A6=0,"","经营性")</f>
        <v>经营性</v>
      </c>
      <c r="C6" s="2299" t="s">
        <v>3061</v>
      </c>
      <c r="D6" s="1047">
        <f>SUMIF(项目基本情况!D$12:I$12,C6,项目基本情况!D$14:I$14)</f>
        <v>50</v>
      </c>
      <c r="E6" s="1044">
        <f>IF(B6="","",SUMIF(项目基本情况!D$12:I$12,C6,项目基本情况!D$13:I$13))</f>
        <v>59048</v>
      </c>
      <c r="F6" s="72">
        <f>SUMIF(项目基本情况!D$12:I$12,C6,项目基本情况!D$15:I$15)</f>
        <v>41.78</v>
      </c>
      <c r="G6" s="73">
        <f>IF(ISERROR(ROUND(POWER(1+H6,D6-F6)*(POWER(1+H6,F6)-1)/(POWER(1+H6,D6)-1),3)),0,ROUND(POWER(1+H6,D6-F6)*(POWER(1+H6,F6)-1)/(POWER(1+H6,D6)-1),3))</f>
        <v>0.94599999999999995</v>
      </c>
      <c r="H6" s="800">
        <v>4.4999999999999998E-2</v>
      </c>
      <c r="I6" s="800">
        <v>0.05</v>
      </c>
      <c r="J6" s="74"/>
      <c r="K6" s="1247">
        <f>SUMIF('数据-汇总表'!C$19:C$33,A6,'数据-汇总表'!E$19:E$33)</f>
        <v>91600</v>
      </c>
      <c r="L6" s="801">
        <v>4500</v>
      </c>
      <c r="M6" s="75">
        <f t="shared" ref="M6:M14" si="0">ROUND(K6*L6/10000,0)</f>
        <v>41220</v>
      </c>
      <c r="N6" s="799">
        <v>0</v>
      </c>
      <c r="O6" s="75">
        <f>IF($N$5="成新度","——",ROUND(M6*N6,0))</f>
        <v>0</v>
      </c>
      <c r="P6" s="76">
        <f>IF($N$5="成新度","——",M6-O6)</f>
        <v>41220</v>
      </c>
      <c r="Q6" s="802">
        <v>0.1</v>
      </c>
      <c r="R6" s="77">
        <f ca="1">SUMIF('数据-汇总表'!C$19:C$33,A6,'数据-汇总表'!R$19:R$27)</f>
        <v>6290.0599999999995</v>
      </c>
      <c r="S6" s="54">
        <f>IF('数据-汇总表'!$I$17="按面积比例",SUMIF('数据-汇总表'!C$19:C$33,A6,'数据-汇总表'!K$19:K$33),SUMIF('数据-汇总表'!C$19:C$33,A6,'数据-汇总表'!N$19:N$33))</f>
        <v>3027.24</v>
      </c>
      <c r="T6" s="1439">
        <f>ROUND($L$14*S6/10000,0)</f>
        <v>1060</v>
      </c>
      <c r="U6" s="78"/>
      <c r="V6" s="79"/>
      <c r="W6" s="79"/>
      <c r="X6" s="1257"/>
      <c r="Y6" s="80"/>
      <c r="Z6" s="81"/>
      <c r="AA6" s="74"/>
      <c r="AB6" s="74"/>
      <c r="AC6" s="1257"/>
      <c r="AD6" s="82"/>
      <c r="AE6" s="1258">
        <f ca="1">IF(AN6="",0,SUMIF(INDIRECT("'"&amp;AN6&amp;"'"&amp;"!E:E"),$AE$5,INDIRECT("'"&amp;AN6&amp;"'"&amp;"!F:F")))</f>
        <v>0</v>
      </c>
      <c r="AF6" s="1799"/>
      <c r="AG6" s="147">
        <f>IF(AF6="",0,AE6-AF6)</f>
        <v>0</v>
      </c>
      <c r="AH6" s="83"/>
      <c r="AI6" s="85"/>
      <c r="AJ6" s="86"/>
      <c r="AK6" s="87"/>
      <c r="AL6" s="88"/>
      <c r="AM6" s="89"/>
      <c r="AN6" s="2300"/>
      <c r="AO6" s="55" t="e">
        <f ca="1">SUMIF(INDIRECT("'"&amp;AN6&amp;"'"&amp;"!A:A"),"总价",INDIRECT("'"&amp;AN6&amp;"'"&amp;"!B:B"))</f>
        <v>#REF!</v>
      </c>
      <c r="AP6" s="2301">
        <f>IF(C6="住宅",K6*L6,0)</f>
        <v>412200000</v>
      </c>
      <c r="AQ6" s="55">
        <f>ROUND($L$14*$N$14*S6/10000,0)</f>
        <v>636</v>
      </c>
      <c r="AR6" s="55">
        <f>ROUND($L$14*(1-$N$14)*S6/10000,0)</f>
        <v>424</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5" customFormat="1" ht="14.25">
      <c r="A7" s="2297" t="str">
        <f>'数据-汇总表'!C20</f>
        <v>公寓</v>
      </c>
      <c r="B7" s="2298" t="str">
        <f t="shared" ref="B7:B13" si="1">IF(A7=0,"","经营性")</f>
        <v>经营性</v>
      </c>
      <c r="C7" s="2299" t="s">
        <v>1373</v>
      </c>
      <c r="D7" s="1047">
        <f>SUMIF(项目基本情况!D$12:I$12,C7,项目基本情况!D$14:I$14)</f>
        <v>40</v>
      </c>
      <c r="E7" s="1044">
        <f>IF(B7="","",SUMIF(项目基本情况!D$12:I$12,C7,项目基本情况!D$13:I$13))</f>
        <v>55395</v>
      </c>
      <c r="F7" s="72">
        <f>SUMIF(项目基本情况!D$12:I$12,C7,项目基本情况!D$15:I$15)</f>
        <v>31.77</v>
      </c>
      <c r="G7" s="73">
        <f t="shared" ref="G7:G11" si="2">IF(ISERROR(ROUND(POWER(1+H7,D7-F7)*(POWER(1+H7,F7)-1)/(POWER(1+H7,D7)-1),3)),0,ROUND(POWER(1+H7,D7-F7)*(POWER(1+H7,F7)-1)/(POWER(1+H7,D7)-1),3))</f>
        <v>0.91800000000000004</v>
      </c>
      <c r="H7" s="800">
        <v>0.05</v>
      </c>
      <c r="I7" s="800">
        <v>5.5E-2</v>
      </c>
      <c r="J7" s="74"/>
      <c r="K7" s="1247">
        <f>SUMIF('数据-汇总表'!C$19:C$33,A7,'数据-汇总表'!E$19:E$33)</f>
        <v>81667.509999999995</v>
      </c>
      <c r="L7" s="801">
        <v>3500</v>
      </c>
      <c r="M7" s="75">
        <f t="shared" si="0"/>
        <v>28584</v>
      </c>
      <c r="N7" s="799">
        <v>0.6</v>
      </c>
      <c r="O7" s="75">
        <f t="shared" ref="O7:O14" si="3">IF($N$5="成新度","——",ROUND(M7*N7,0))</f>
        <v>17150</v>
      </c>
      <c r="P7" s="76">
        <f t="shared" ref="P7:P14" si="4">IF($N$5="成新度","——",M7-O7)</f>
        <v>11434</v>
      </c>
      <c r="Q7" s="802">
        <v>0.15</v>
      </c>
      <c r="R7" s="77">
        <f ca="1">SUMIF('数据-汇总表'!C$19:C$33,A7,'数据-汇总表'!R$19:R$27)</f>
        <v>5608.01</v>
      </c>
      <c r="S7" s="54">
        <f>IF('数据-汇总表'!$I$17="按面积比例",SUMIF('数据-汇总表'!C$19:C$33,A7,'数据-汇总表'!K$19:K$33),SUMIF('数据-汇总表'!C$19:C$33,A7,'数据-汇总表'!N$19:N$33))</f>
        <v>2698.98</v>
      </c>
      <c r="T7" s="1439">
        <f t="shared" ref="T7:T13" si="5">ROUND($L$14*S7/10000,0)</f>
        <v>945</v>
      </c>
      <c r="U7" s="78"/>
      <c r="V7" s="79"/>
      <c r="W7" s="79"/>
      <c r="X7" s="1257"/>
      <c r="Y7" s="80"/>
      <c r="Z7" s="81"/>
      <c r="AA7" s="74"/>
      <c r="AB7" s="74"/>
      <c r="AC7" s="1257"/>
      <c r="AD7" s="82"/>
      <c r="AE7" s="1258">
        <f t="shared" ref="AE7:AE13" ca="1" si="6">IF(AN7="",0,SUMIF(INDIRECT("'"&amp;AN7&amp;"'"&amp;"!E:E"),$AE$5,INDIRECT("'"&amp;AN7&amp;"'"&amp;"!F:F")))</f>
        <v>0</v>
      </c>
      <c r="AF7" s="1799"/>
      <c r="AG7" s="147">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567</v>
      </c>
      <c r="AR7" s="55">
        <f t="shared" ref="AR7:AR13" si="11">ROUND($L$14*(1-$N$14)*S7/10000,0)</f>
        <v>378</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5" customFormat="1" ht="14.25">
      <c r="A8" s="2297" t="str">
        <f>'数据-汇总表'!C21</f>
        <v>商业</v>
      </c>
      <c r="B8" s="2298" t="str">
        <f t="shared" si="1"/>
        <v>经营性</v>
      </c>
      <c r="C8" s="2299" t="s">
        <v>1373</v>
      </c>
      <c r="D8" s="1047">
        <f>SUMIF(项目基本情况!D$12:I$12,C8,项目基本情况!D$14:I$14)</f>
        <v>40</v>
      </c>
      <c r="E8" s="1044">
        <f>IF(B8="","",SUMIF(项目基本情况!D$12:I$12,C8,项目基本情况!D$13:I$13))</f>
        <v>55395</v>
      </c>
      <c r="F8" s="72">
        <f>SUMIF(项目基本情况!D$12:I$12,C8,项目基本情况!D$15:I$15)</f>
        <v>31.77</v>
      </c>
      <c r="G8" s="73">
        <f t="shared" si="2"/>
        <v>0.91800000000000004</v>
      </c>
      <c r="H8" s="800">
        <v>0.05</v>
      </c>
      <c r="I8" s="800">
        <v>0.06</v>
      </c>
      <c r="J8" s="74"/>
      <c r="K8" s="1247">
        <f>SUMIF('数据-汇总表'!C$19:C$33,A8,'数据-汇总表'!E$19:E$33)</f>
        <v>77393.62</v>
      </c>
      <c r="L8" s="801">
        <v>3500</v>
      </c>
      <c r="M8" s="75">
        <f>ROUND(K8*L8/10000,0)</f>
        <v>27088</v>
      </c>
      <c r="N8" s="799">
        <f>N7</f>
        <v>0.6</v>
      </c>
      <c r="O8" s="75">
        <f t="shared" si="3"/>
        <v>16253</v>
      </c>
      <c r="P8" s="76">
        <f t="shared" si="4"/>
        <v>10835</v>
      </c>
      <c r="Q8" s="802">
        <v>0.2</v>
      </c>
      <c r="R8" s="77">
        <f ca="1">SUMIF('数据-汇总表'!C$19:C$33,A8,'数据-汇总表'!R$19:R$27)</f>
        <v>5314.52</v>
      </c>
      <c r="S8" s="54">
        <f>IF('数据-汇总表'!$I$17="按面积比例",SUMIF('数据-汇总表'!C$19:C$33,A8,'数据-汇总表'!K$19:K$33),SUMIF('数据-汇总表'!C$19:C$33,A8,'数据-汇总表'!N$19:N$33))</f>
        <v>2557.7399999999998</v>
      </c>
      <c r="T8" s="1439">
        <f t="shared" si="5"/>
        <v>895</v>
      </c>
      <c r="U8" s="803">
        <f>W26</f>
        <v>7.9</v>
      </c>
      <c r="V8" s="804">
        <v>0.03</v>
      </c>
      <c r="W8" s="804">
        <v>0.05</v>
      </c>
      <c r="X8" s="1257"/>
      <c r="Y8" s="805">
        <v>1</v>
      </c>
      <c r="Z8" s="81"/>
      <c r="AA8" s="74"/>
      <c r="AB8" s="74"/>
      <c r="AC8" s="1257"/>
      <c r="AD8" s="82"/>
      <c r="AE8" s="1258">
        <f t="shared" ca="1" si="6"/>
        <v>29.77</v>
      </c>
      <c r="AF8" s="1799"/>
      <c r="AG8" s="147">
        <f t="shared" si="7"/>
        <v>0</v>
      </c>
      <c r="AH8" s="806"/>
      <c r="AI8" s="85">
        <v>365</v>
      </c>
      <c r="AJ8" s="86"/>
      <c r="AK8" s="3048">
        <v>0.01</v>
      </c>
      <c r="AL8" s="3049">
        <v>1E-3</v>
      </c>
      <c r="AM8" s="807">
        <v>0.01</v>
      </c>
      <c r="AN8" s="2300" t="s">
        <v>3154</v>
      </c>
      <c r="AO8" s="55">
        <f t="shared" ca="1" si="8"/>
        <v>324049</v>
      </c>
      <c r="AP8" s="2301">
        <f t="shared" si="9"/>
        <v>0</v>
      </c>
      <c r="AQ8" s="55">
        <f t="shared" si="10"/>
        <v>537</v>
      </c>
      <c r="AR8" s="55">
        <f t="shared" si="11"/>
        <v>358</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5" customFormat="1" ht="14.25">
      <c r="A9" s="2297" t="str">
        <f>'数据-汇总表'!C22</f>
        <v>地下车库</v>
      </c>
      <c r="B9" s="2298" t="str">
        <f t="shared" si="1"/>
        <v>经营性</v>
      </c>
      <c r="C9" s="2299" t="s">
        <v>3090</v>
      </c>
      <c r="D9" s="1047">
        <f>SUMIF(项目基本情况!D$12:I$12,C9,项目基本情况!D$14:I$14)</f>
        <v>40</v>
      </c>
      <c r="E9" s="1044">
        <f>IF(B9="","",SUMIF(项目基本情况!D$12:I$12,C9,项目基本情况!D$13:I$13))</f>
        <v>55395</v>
      </c>
      <c r="F9" s="72">
        <f>SUMIF(项目基本情况!D$12:I$12,C9,项目基本情况!D$15:I$15)</f>
        <v>31.77</v>
      </c>
      <c r="G9" s="73">
        <f t="shared" si="2"/>
        <v>0.9</v>
      </c>
      <c r="H9" s="74">
        <v>0.04</v>
      </c>
      <c r="I9" s="74">
        <v>4.4999999999999998E-2</v>
      </c>
      <c r="J9" s="74"/>
      <c r="K9" s="1247">
        <f>SUMIF('数据-汇总表'!C$19:C$33,A9,'数据-汇总表'!E$19:E$33)</f>
        <v>115386.06</v>
      </c>
      <c r="L9" s="801">
        <v>3500</v>
      </c>
      <c r="M9" s="75">
        <f t="shared" si="0"/>
        <v>40385</v>
      </c>
      <c r="N9" s="799">
        <f>N7</f>
        <v>0.6</v>
      </c>
      <c r="O9" s="75">
        <f t="shared" si="3"/>
        <v>24231</v>
      </c>
      <c r="P9" s="76">
        <f t="shared" si="4"/>
        <v>16154</v>
      </c>
      <c r="Q9" s="90">
        <v>0.03</v>
      </c>
      <c r="R9" s="77">
        <f ca="1">SUMIF('数据-汇总表'!C$19:C$33,A9,'数据-汇总表'!R$19:R$27)</f>
        <v>7923.4199999999992</v>
      </c>
      <c r="S9" s="54">
        <f>IF('数据-汇总表'!$I$17="按面积比例",SUMIF('数据-汇总表'!C$19:C$33,A9,'数据-汇总表'!K$19:K$33),SUMIF('数据-汇总表'!C$19:C$33,A9,'数据-汇总表'!N$19:N$33))</f>
        <v>3813.33</v>
      </c>
      <c r="T9" s="1439">
        <f t="shared" si="5"/>
        <v>1335</v>
      </c>
      <c r="U9" s="78">
        <v>0.75</v>
      </c>
      <c r="V9" s="79">
        <v>0.03</v>
      </c>
      <c r="W9" s="79">
        <v>0.05</v>
      </c>
      <c r="X9" s="1257"/>
      <c r="Y9" s="80">
        <v>1</v>
      </c>
      <c r="Z9" s="81"/>
      <c r="AA9" s="74"/>
      <c r="AB9" s="74"/>
      <c r="AC9" s="1257"/>
      <c r="AD9" s="82"/>
      <c r="AE9" s="1258">
        <f t="shared" ca="1" si="6"/>
        <v>29.77</v>
      </c>
      <c r="AF9" s="1799"/>
      <c r="AG9" s="147">
        <f t="shared" si="7"/>
        <v>0</v>
      </c>
      <c r="AH9" s="83"/>
      <c r="AI9" s="85">
        <v>365</v>
      </c>
      <c r="AJ9" s="86"/>
      <c r="AK9" s="87">
        <v>0.01</v>
      </c>
      <c r="AL9" s="88">
        <v>1E-3</v>
      </c>
      <c r="AM9" s="89">
        <v>0.01</v>
      </c>
      <c r="AN9" s="2300" t="s">
        <v>3156</v>
      </c>
      <c r="AO9" s="55">
        <f t="shared" ca="1" si="8"/>
        <v>41971</v>
      </c>
      <c r="AP9" s="2301">
        <f t="shared" si="9"/>
        <v>0</v>
      </c>
      <c r="AQ9" s="55">
        <f t="shared" si="10"/>
        <v>801</v>
      </c>
      <c r="AR9" s="55">
        <f t="shared" si="11"/>
        <v>534</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5" customFormat="1" ht="14.25">
      <c r="A10" s="2297">
        <f>'数据-汇总表'!C23</f>
        <v>0</v>
      </c>
      <c r="B10" s="2298" t="str">
        <f t="shared" si="1"/>
        <v/>
      </c>
      <c r="C10" s="2299"/>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1"/>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799"/>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5" customFormat="1" ht="14.25">
      <c r="A11" s="2297">
        <f>'数据-汇总表'!C24</f>
        <v>0</v>
      </c>
      <c r="B11" s="2298" t="str">
        <f t="shared" si="1"/>
        <v/>
      </c>
      <c r="C11" s="2299"/>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799"/>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5" customFormat="1" ht="14.25">
      <c r="A12" s="2297">
        <f>'数据-汇总表'!C25</f>
        <v>0</v>
      </c>
      <c r="B12" s="2298" t="str">
        <f t="shared" si="1"/>
        <v/>
      </c>
      <c r="C12" s="2299"/>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799"/>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5" customFormat="1" ht="14.25">
      <c r="A13" s="2297">
        <f>'数据-汇总表'!C26</f>
        <v>0</v>
      </c>
      <c r="B13" s="2298" t="str">
        <f t="shared" si="1"/>
        <v/>
      </c>
      <c r="C13" s="2299"/>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799"/>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5" customFormat="1" ht="14.25">
      <c r="A14" s="2302" t="s">
        <v>2005</v>
      </c>
      <c r="B14" s="2298" t="s">
        <v>2006</v>
      </c>
      <c r="C14" s="2303" t="s">
        <v>2005</v>
      </c>
      <c r="D14" s="1047"/>
      <c r="E14" s="1044"/>
      <c r="F14" s="72"/>
      <c r="G14" s="73"/>
      <c r="H14" s="1246"/>
      <c r="I14" s="1246"/>
      <c r="J14" s="1246"/>
      <c r="K14" s="1247">
        <f>SUMIF('数据-汇总表'!C$19:C$33,A14,'数据-汇总表'!E$19:E$33)</f>
        <v>12097.29</v>
      </c>
      <c r="L14" s="3052">
        <f>L9</f>
        <v>3500</v>
      </c>
      <c r="M14" s="75">
        <f t="shared" si="0"/>
        <v>4234</v>
      </c>
      <c r="N14" s="92">
        <f>N7</f>
        <v>0.6</v>
      </c>
      <c r="O14" s="75">
        <f t="shared" si="3"/>
        <v>2540</v>
      </c>
      <c r="P14" s="76">
        <f t="shared" si="4"/>
        <v>1694</v>
      </c>
      <c r="Q14" s="1250"/>
      <c r="R14" s="77"/>
      <c r="S14" s="54"/>
      <c r="T14" s="1439"/>
      <c r="U14" s="722"/>
      <c r="V14" s="1252"/>
      <c r="W14" s="1252"/>
      <c r="X14" s="1253"/>
      <c r="Y14" s="1254"/>
      <c r="Z14" s="1255"/>
      <c r="AA14" s="1256"/>
      <c r="AB14" s="1256"/>
      <c r="AC14" s="1257"/>
      <c r="AD14" s="1253"/>
      <c r="AE14" s="1258"/>
      <c r="AF14" s="55"/>
      <c r="AG14" s="147"/>
      <c r="AH14" s="1258"/>
      <c r="AI14" s="1810"/>
      <c r="AJ14" s="771"/>
      <c r="AK14" s="1259"/>
      <c r="AL14" s="1260"/>
      <c r="AM14" s="1261"/>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5" customFormat="1" ht="27">
      <c r="A15" s="2302" t="s">
        <v>2007</v>
      </c>
      <c r="B15" s="2298" t="s">
        <v>2006</v>
      </c>
      <c r="C15" s="2303" t="s">
        <v>2008</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2"/>
      <c r="V15" s="1252"/>
      <c r="W15" s="1252"/>
      <c r="X15" s="1253"/>
      <c r="Y15" s="1254"/>
      <c r="Z15" s="1255"/>
      <c r="AA15" s="1256"/>
      <c r="AB15" s="1256"/>
      <c r="AC15" s="1257"/>
      <c r="AD15" s="1253"/>
      <c r="AE15" s="1258"/>
      <c r="AF15" s="55"/>
      <c r="AG15" s="147"/>
      <c r="AH15" s="1258"/>
      <c r="AI15" s="1810"/>
      <c r="AJ15" s="771"/>
      <c r="AK15" s="1259"/>
      <c r="AL15" s="1260"/>
      <c r="AM15" s="1261"/>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5" customFormat="1" ht="15.75" thickBot="1">
      <c r="A16" s="2304" t="s">
        <v>2009</v>
      </c>
      <c r="B16" s="97"/>
      <c r="C16" s="1001"/>
      <c r="D16" s="2305"/>
      <c r="E16" s="97"/>
      <c r="F16" s="97"/>
      <c r="G16" s="98">
        <f>ROUND(SUMPRODUCT(G6:G13,K6:K13)/SUMPRODUCT((G6:G13&gt;0)*(K6:K13)),3)</f>
        <v>0.91900000000000004</v>
      </c>
      <c r="H16" s="99">
        <f>ROUND(SUMPRODUCT(H6:H13,K6:K13)/SUMPRODUCT((H6:H13&gt;0)*(K6:K13)),3)</f>
        <v>4.5999999999999999E-2</v>
      </c>
      <c r="I16" s="100"/>
      <c r="J16" s="100"/>
      <c r="K16" s="101">
        <f>SUM(K6:K15)</f>
        <v>378144.48</v>
      </c>
      <c r="L16" s="102">
        <f>ROUND(M16*10000/SUM(K6:K14),0)</f>
        <v>3742</v>
      </c>
      <c r="M16" s="102">
        <f>SUM(M6:M14)</f>
        <v>141511</v>
      </c>
      <c r="N16" s="103">
        <f>ROUND(SUMPRODUCT(M6:M14,N6:N14)/M16,3)</f>
        <v>0.42499999999999999</v>
      </c>
      <c r="O16" s="102">
        <f>SUM(O6:O14)</f>
        <v>60174</v>
      </c>
      <c r="P16" s="102">
        <f>SUM(P6:P14)</f>
        <v>81337</v>
      </c>
      <c r="Q16" s="104">
        <f>ROUND(SUMPRODUCT(Q6:Q13,K6:K13)/SUMPRODUCT((Q6:Q13&gt;0)*(K6:K13)),2)</f>
        <v>0.11</v>
      </c>
      <c r="R16" s="1251">
        <f ca="1">SUM(R6:R13)</f>
        <v>25136.01</v>
      </c>
      <c r="S16" s="105">
        <f>SUM(S6:S13)</f>
        <v>12097.289999999999</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0"/>
      <c r="C17" s="1576"/>
      <c r="D17" s="2264"/>
      <c r="E17" s="2264"/>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2010</v>
      </c>
      <c r="B18" s="2271"/>
      <c r="C18" s="2268"/>
      <c r="D18" s="2269"/>
      <c r="E18" s="2268"/>
      <c r="F18" s="2268"/>
      <c r="G18" s="2268"/>
      <c r="H18" s="2268"/>
      <c r="I18" s="2268"/>
      <c r="J18" s="2268"/>
      <c r="K18" s="3171" t="s">
        <v>3145</v>
      </c>
      <c r="L18" s="3171" t="s">
        <v>3146</v>
      </c>
      <c r="M18" s="3171"/>
      <c r="N18" s="3171"/>
      <c r="O18" s="1576"/>
      <c r="P18" s="1576"/>
      <c r="Q18" s="2474">
        <f>Q16/B20</f>
        <v>2.75E-2</v>
      </c>
      <c r="R18" s="1576"/>
      <c r="S18" s="1576"/>
      <c r="T18" s="2994" t="s">
        <v>3812</v>
      </c>
      <c r="U18" s="3040" t="s">
        <v>3809</v>
      </c>
      <c r="V18" s="3040" t="s">
        <v>3810</v>
      </c>
      <c r="W18" s="3040" t="s">
        <v>3811</v>
      </c>
      <c r="X18" s="1576"/>
      <c r="Y18" s="1576"/>
      <c r="Z18" s="1576"/>
      <c r="AA18" s="1576"/>
      <c r="AB18" s="1576"/>
      <c r="AC18" s="1576"/>
      <c r="AD18" s="1576"/>
      <c r="AE18" s="1576"/>
      <c r="AF18" s="1576"/>
      <c r="AG18" s="1576"/>
      <c r="AH18" s="1576"/>
      <c r="AI18" s="1576"/>
      <c r="AJ18" s="1576"/>
      <c r="AK18" s="1576"/>
      <c r="AL18" s="1576"/>
      <c r="AM18" s="1576"/>
    </row>
    <row r="19" spans="1:67" ht="14.25">
      <c r="A19" s="2307" t="s">
        <v>2011</v>
      </c>
      <c r="B19" s="112">
        <v>0</v>
      </c>
      <c r="C19" s="2268" t="s">
        <v>2012</v>
      </c>
      <c r="D19" s="2269"/>
      <c r="E19" s="2268"/>
      <c r="F19" s="2268"/>
      <c r="G19" s="2268"/>
      <c r="H19" s="2268"/>
      <c r="I19" s="2268"/>
      <c r="J19" s="2268"/>
      <c r="K19" s="3171"/>
      <c r="L19" s="2977" t="s">
        <v>3147</v>
      </c>
      <c r="M19" s="2977" t="s">
        <v>3148</v>
      </c>
      <c r="N19" s="2977" t="s">
        <v>3149</v>
      </c>
      <c r="O19" s="1576"/>
      <c r="P19" s="1576"/>
      <c r="Q19" s="1576"/>
      <c r="R19" s="1576"/>
      <c r="S19" s="1576"/>
      <c r="T19" s="1576"/>
      <c r="U19" s="1576">
        <v>1</v>
      </c>
      <c r="V19" s="1576">
        <v>100</v>
      </c>
      <c r="W19" s="3037">
        <v>12.5</v>
      </c>
      <c r="X19" s="1576"/>
      <c r="Y19" s="1576"/>
      <c r="Z19" s="1576"/>
      <c r="AA19" s="1576"/>
      <c r="AB19" s="1576"/>
      <c r="AC19" s="1576"/>
      <c r="AD19" s="1576"/>
      <c r="AE19" s="1576"/>
      <c r="AF19" s="1576"/>
      <c r="AG19" s="1576"/>
      <c r="AH19" s="1576"/>
      <c r="AI19" s="1576"/>
      <c r="AJ19" s="1576"/>
      <c r="AK19" s="1576"/>
      <c r="AL19" s="1576"/>
      <c r="AM19" s="1576"/>
    </row>
    <row r="20" spans="1:67" ht="14.25">
      <c r="A20" s="2308" t="s">
        <v>2013</v>
      </c>
      <c r="B20" s="113">
        <v>4</v>
      </c>
      <c r="C20" s="2268" t="s">
        <v>2014</v>
      </c>
      <c r="D20" s="2269"/>
      <c r="E20" s="2268"/>
      <c r="F20" s="2268"/>
      <c r="G20" s="2268"/>
      <c r="H20" s="2268"/>
      <c r="I20" s="2268"/>
      <c r="J20" s="2268"/>
      <c r="K20" s="2978" t="s">
        <v>3150</v>
      </c>
      <c r="L20" s="2979" t="s">
        <v>3151</v>
      </c>
      <c r="M20" s="2979" t="s">
        <v>3152</v>
      </c>
      <c r="N20" s="2979" t="s">
        <v>3153</v>
      </c>
      <c r="O20" s="1576"/>
      <c r="P20" s="1576"/>
      <c r="Q20" s="1576"/>
      <c r="R20" s="1576"/>
      <c r="S20" s="1576"/>
      <c r="T20" s="1576"/>
      <c r="U20" s="1576">
        <v>2</v>
      </c>
      <c r="V20" s="1576">
        <v>65</v>
      </c>
      <c r="W20" s="1576">
        <f>ROUND(V20*$W$19/$V$19,1)</f>
        <v>8.1</v>
      </c>
      <c r="X20" s="1576"/>
      <c r="Y20" s="1576"/>
      <c r="Z20" s="1576"/>
      <c r="AA20" s="1576"/>
      <c r="AB20" s="1576"/>
      <c r="AC20" s="1576"/>
      <c r="AD20" s="1576"/>
      <c r="AE20" s="1576"/>
      <c r="AF20" s="1576"/>
      <c r="AG20" s="1576"/>
      <c r="AH20" s="1576"/>
      <c r="AI20" s="1576"/>
      <c r="AJ20" s="1576"/>
      <c r="AK20" s="1576"/>
      <c r="AL20" s="1576"/>
      <c r="AM20" s="1576"/>
    </row>
    <row r="21" spans="1:67" ht="14.25">
      <c r="A21" s="2309" t="s">
        <v>2015</v>
      </c>
      <c r="B21" s="113">
        <v>2</v>
      </c>
      <c r="C21" s="2268"/>
      <c r="D21" s="2269"/>
      <c r="E21" s="2268"/>
      <c r="F21" s="2268"/>
      <c r="G21" s="2268"/>
      <c r="H21" s="2268"/>
      <c r="I21" s="2268"/>
      <c r="J21" s="2268"/>
      <c r="K21" s="168"/>
      <c r="L21" s="168"/>
      <c r="M21" s="1576"/>
      <c r="N21" s="1576"/>
      <c r="O21" s="1576"/>
      <c r="P21" s="1576"/>
      <c r="Q21" s="1576"/>
      <c r="R21" s="1576"/>
      <c r="S21" s="1576"/>
      <c r="T21" s="1576"/>
      <c r="U21" s="1576">
        <v>3</v>
      </c>
      <c r="V21" s="1576">
        <v>60</v>
      </c>
      <c r="W21" s="1576">
        <f t="shared" ref="W21:W25" si="12">ROUND(V21*$W$19/$V$19,1)</f>
        <v>7.5</v>
      </c>
      <c r="X21" s="1576"/>
      <c r="Y21" s="1576"/>
      <c r="Z21" s="1576"/>
      <c r="AA21" s="1576"/>
      <c r="AB21" s="1576"/>
      <c r="AC21" s="1576"/>
      <c r="AD21" s="1576"/>
      <c r="AE21" s="1576"/>
      <c r="AF21" s="1576"/>
      <c r="AG21" s="1576"/>
      <c r="AH21" s="1576"/>
      <c r="AI21" s="1576"/>
      <c r="AJ21" s="1576"/>
      <c r="AK21" s="1576"/>
      <c r="AL21" s="1576"/>
      <c r="AM21" s="1576"/>
    </row>
    <row r="22" spans="1:67" ht="14.25">
      <c r="A22" s="2308" t="s">
        <v>2016</v>
      </c>
      <c r="B22" s="114">
        <f>B19+B20</f>
        <v>4</v>
      </c>
      <c r="C22" s="2268"/>
      <c r="D22" s="2269"/>
      <c r="E22" s="2268"/>
      <c r="F22" s="2268"/>
      <c r="G22" s="2268"/>
      <c r="H22" s="2268"/>
      <c r="I22" s="2268"/>
      <c r="J22" s="2268"/>
      <c r="K22" s="3045">
        <f>K7+K8+K9+K14</f>
        <v>286544.48</v>
      </c>
      <c r="L22" s="3046">
        <v>0.6</v>
      </c>
      <c r="M22" s="3046">
        <f>K22*L22</f>
        <v>171926.68799999999</v>
      </c>
      <c r="N22" s="1576"/>
      <c r="O22" s="1576"/>
      <c r="P22" s="1576"/>
      <c r="Q22" s="1576"/>
      <c r="R22" s="1576"/>
      <c r="S22" s="1576"/>
      <c r="T22" s="1576"/>
      <c r="U22" s="1576">
        <v>4</v>
      </c>
      <c r="V22" s="1576">
        <v>55</v>
      </c>
      <c r="W22" s="1576">
        <f t="shared" si="12"/>
        <v>6.9</v>
      </c>
      <c r="X22" s="1576"/>
      <c r="Y22" s="1576"/>
      <c r="Z22" s="1576"/>
      <c r="AA22" s="1576"/>
      <c r="AB22" s="1576"/>
      <c r="AC22" s="1576"/>
      <c r="AD22" s="1576"/>
      <c r="AE22" s="1576"/>
      <c r="AF22" s="1576"/>
      <c r="AG22" s="1576"/>
      <c r="AH22" s="1576"/>
      <c r="AI22" s="1576"/>
      <c r="AJ22" s="1576"/>
      <c r="AK22" s="1576"/>
      <c r="AL22" s="1576"/>
      <c r="AM22" s="1576"/>
    </row>
    <row r="23" spans="1:67" ht="14.25">
      <c r="A23" s="2309" t="s">
        <v>2017</v>
      </c>
      <c r="B23" s="114">
        <f>B19+B21</f>
        <v>2</v>
      </c>
      <c r="C23" s="2268"/>
      <c r="D23" s="2269"/>
      <c r="E23" s="2268"/>
      <c r="F23" s="2268"/>
      <c r="G23" s="2268"/>
      <c r="H23" s="2268"/>
      <c r="I23" s="2268"/>
      <c r="J23" s="2268"/>
      <c r="K23" s="3045">
        <f>K6</f>
        <v>91600</v>
      </c>
      <c r="L23" s="3046"/>
      <c r="M23" s="3046">
        <f>K23*L23</f>
        <v>0</v>
      </c>
      <c r="N23" s="1576"/>
      <c r="O23" s="1576"/>
      <c r="P23" s="1576"/>
      <c r="Q23" s="1576"/>
      <c r="R23" s="1576"/>
      <c r="S23" s="1576"/>
      <c r="T23" s="1576"/>
      <c r="U23" s="1576">
        <v>5</v>
      </c>
      <c r="V23" s="1576">
        <v>50</v>
      </c>
      <c r="W23" s="1576">
        <f t="shared" si="12"/>
        <v>6.3</v>
      </c>
      <c r="X23" s="1576"/>
      <c r="Y23" s="1576"/>
      <c r="Z23" s="1576"/>
      <c r="AA23" s="1576"/>
      <c r="AB23" s="1576"/>
      <c r="AC23" s="1576"/>
      <c r="AD23" s="1576"/>
      <c r="AE23" s="1576"/>
      <c r="AF23" s="1576"/>
      <c r="AG23" s="1576"/>
      <c r="AH23" s="1576"/>
      <c r="AI23" s="1576"/>
      <c r="AJ23" s="1576"/>
      <c r="AK23" s="1576"/>
      <c r="AL23" s="1576"/>
      <c r="AM23" s="1576"/>
    </row>
    <row r="24" spans="1:67" ht="15" thickBot="1">
      <c r="A24" s="2310" t="s">
        <v>2018</v>
      </c>
      <c r="B24" s="115">
        <f>B20-B21</f>
        <v>2</v>
      </c>
      <c r="C24" s="2268"/>
      <c r="D24" s="2269"/>
      <c r="E24" s="2268"/>
      <c r="F24" s="2268"/>
      <c r="G24" s="2268"/>
      <c r="H24" s="2268"/>
      <c r="I24" s="2268"/>
      <c r="J24" s="2268"/>
      <c r="K24" s="3046">
        <f t="shared" ref="K24" si="13">K22+K23</f>
        <v>378144.48</v>
      </c>
      <c r="L24" s="3046">
        <f>M24/K24</f>
        <v>0.45465872726741907</v>
      </c>
      <c r="M24" s="3046">
        <f>M22+M23</f>
        <v>171926.68799999999</v>
      </c>
      <c r="N24" s="1576"/>
      <c r="O24" s="1576"/>
      <c r="P24" s="1576"/>
      <c r="Q24" s="1576"/>
      <c r="R24" s="1576"/>
      <c r="S24" s="1576"/>
      <c r="T24" s="1576"/>
      <c r="U24" s="1576">
        <v>-1</v>
      </c>
      <c r="V24" s="1576">
        <v>65</v>
      </c>
      <c r="W24" s="1576">
        <f t="shared" si="12"/>
        <v>8.1</v>
      </c>
      <c r="X24" s="1576"/>
      <c r="Y24" s="1576"/>
      <c r="Z24" s="1576"/>
      <c r="AA24" s="1576"/>
      <c r="AB24" s="1576"/>
      <c r="AC24" s="1576"/>
      <c r="AD24" s="1576"/>
      <c r="AE24" s="1576"/>
      <c r="AF24" s="1576"/>
      <c r="AG24" s="1576"/>
      <c r="AH24" s="1576"/>
      <c r="AI24" s="1576"/>
      <c r="AJ24" s="1576"/>
      <c r="AK24" s="1576"/>
      <c r="AL24" s="1576"/>
      <c r="AM24" s="1576"/>
    </row>
    <row r="25" spans="1:67" ht="15" thickBot="1">
      <c r="A25" s="2023"/>
      <c r="B25" s="2271"/>
      <c r="C25" s="2268"/>
      <c r="D25" s="2269"/>
      <c r="E25" s="2268"/>
      <c r="F25" s="2268"/>
      <c r="G25" s="2268"/>
      <c r="H25" s="2268"/>
      <c r="I25" s="2268"/>
      <c r="J25" s="2268"/>
      <c r="K25" s="168"/>
      <c r="L25" s="168"/>
      <c r="M25" s="1576"/>
      <c r="N25" s="1576"/>
      <c r="O25" s="1576"/>
      <c r="P25" s="1576"/>
      <c r="Q25" s="1576"/>
      <c r="R25" s="1576"/>
      <c r="S25" s="1576"/>
      <c r="T25" s="1576"/>
      <c r="U25" s="1576">
        <v>-2</v>
      </c>
      <c r="V25" s="3037">
        <v>45</v>
      </c>
      <c r="W25" s="1576">
        <f t="shared" si="12"/>
        <v>5.6</v>
      </c>
      <c r="X25" s="1576"/>
      <c r="Y25" s="1576"/>
      <c r="Z25" s="1576"/>
      <c r="AA25" s="1576"/>
      <c r="AB25" s="1576"/>
      <c r="AC25" s="1576"/>
      <c r="AD25" s="1576"/>
      <c r="AE25" s="1576"/>
      <c r="AF25" s="1576"/>
      <c r="AG25" s="1576"/>
      <c r="AH25" s="1576"/>
      <c r="AI25" s="1576"/>
      <c r="AJ25" s="1576"/>
      <c r="AK25" s="1576"/>
      <c r="AL25" s="1576"/>
      <c r="AM25" s="1576"/>
    </row>
    <row r="26" spans="1:67" ht="15" thickBot="1">
      <c r="A26" s="2267" t="s">
        <v>2019</v>
      </c>
      <c r="B26" s="2311" t="s">
        <v>2020</v>
      </c>
      <c r="C26" s="2312" t="s">
        <v>2021</v>
      </c>
      <c r="D26" s="2269"/>
      <c r="E26" s="2268"/>
      <c r="F26" s="2268"/>
      <c r="G26" s="2268"/>
      <c r="H26" s="2268"/>
      <c r="I26" s="2268"/>
      <c r="J26" s="2268"/>
      <c r="K26" s="168"/>
      <c r="L26" s="168"/>
      <c r="M26" s="1576"/>
      <c r="N26" s="1576"/>
      <c r="O26" s="1576"/>
      <c r="P26" s="1576"/>
      <c r="Q26" s="1576"/>
      <c r="R26" s="1576"/>
      <c r="S26" s="1576"/>
      <c r="T26" s="1576"/>
      <c r="U26" s="3038" t="s">
        <v>3813</v>
      </c>
      <c r="V26" s="3039"/>
      <c r="W26" s="3039">
        <f>ROUND(AVERAGE(W19:W25),1)</f>
        <v>7.9</v>
      </c>
      <c r="X26" s="1576"/>
      <c r="Y26" s="1576"/>
      <c r="Z26" s="1576"/>
      <c r="AA26" s="1576"/>
      <c r="AB26" s="1576"/>
      <c r="AC26" s="1576"/>
      <c r="AD26" s="1576"/>
      <c r="AE26" s="1576"/>
      <c r="AF26" s="1576"/>
      <c r="AG26" s="1576"/>
      <c r="AH26" s="1576"/>
      <c r="AI26" s="1576"/>
      <c r="AJ26" s="1576"/>
      <c r="AK26" s="1576"/>
      <c r="AL26" s="1576"/>
      <c r="AM26" s="1576"/>
    </row>
    <row r="27" spans="1:67" s="2315" customFormat="1" ht="27.75">
      <c r="A27" s="2313" t="s">
        <v>2022</v>
      </c>
      <c r="B27" s="116">
        <v>290</v>
      </c>
      <c r="C27" s="1759" t="s">
        <v>2023</v>
      </c>
      <c r="D27" s="2314"/>
      <c r="E27" s="1423"/>
      <c r="F27" s="1423"/>
      <c r="G27" s="2268"/>
      <c r="H27" s="2268"/>
      <c r="I27" s="2268"/>
      <c r="J27" s="2268"/>
      <c r="K27" s="2268"/>
      <c r="L27" s="2268"/>
      <c r="M27" s="2268"/>
      <c r="N27" s="2268"/>
      <c r="O27" s="2268"/>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5" customFormat="1" ht="27.75">
      <c r="A28" s="2316" t="s">
        <v>2024</v>
      </c>
      <c r="B28" s="119">
        <v>290</v>
      </c>
      <c r="C28" s="2317"/>
      <c r="D28" s="2314"/>
      <c r="E28" s="1423"/>
      <c r="F28" s="1423"/>
      <c r="G28" s="2268"/>
      <c r="H28" s="2268"/>
      <c r="I28" s="2268"/>
      <c r="J28" s="2268"/>
      <c r="K28" s="2268"/>
      <c r="L28" s="2268"/>
      <c r="M28" s="2268"/>
      <c r="N28" s="2268"/>
      <c r="O28" s="2268"/>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5" customFormat="1" ht="28.5" thickBot="1">
      <c r="A29" s="2318" t="s">
        <v>2025</v>
      </c>
      <c r="B29" s="121">
        <v>8506</v>
      </c>
      <c r="C29" s="1759" t="s">
        <v>2026</v>
      </c>
      <c r="D29" s="2314"/>
      <c r="E29" s="1423"/>
      <c r="F29" s="1423"/>
      <c r="G29" s="2268"/>
      <c r="H29" s="2268"/>
      <c r="I29" s="2268"/>
      <c r="J29" s="2268"/>
      <c r="K29" s="2268"/>
      <c r="L29" s="2268"/>
      <c r="M29" s="2268"/>
      <c r="N29" s="2268"/>
      <c r="O29" s="2268"/>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5" customFormat="1" ht="27">
      <c r="A30" s="2319" t="s">
        <v>2027</v>
      </c>
      <c r="B30" s="723">
        <v>200</v>
      </c>
      <c r="C30" s="2317"/>
      <c r="D30" s="2314"/>
      <c r="E30" s="1423"/>
      <c r="F30" s="1423"/>
      <c r="G30" s="2268"/>
      <c r="H30" s="2268"/>
      <c r="I30" s="2268"/>
      <c r="J30" s="2268"/>
      <c r="K30" s="2268"/>
      <c r="L30" s="2268"/>
      <c r="M30" s="2268"/>
      <c r="N30" s="2268"/>
      <c r="O30" s="2268"/>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5" customFormat="1" ht="27">
      <c r="A31" s="2316" t="s">
        <v>2028</v>
      </c>
      <c r="B31" s="120">
        <f>B30-B32</f>
        <v>150</v>
      </c>
      <c r="C31" s="1759"/>
      <c r="D31" s="2314"/>
      <c r="E31" s="1423"/>
      <c r="F31" s="1423"/>
      <c r="G31" s="2268"/>
      <c r="H31" s="2268"/>
      <c r="I31" s="2268"/>
      <c r="J31" s="2268"/>
      <c r="K31" s="2268"/>
      <c r="L31" s="2268"/>
      <c r="M31" s="2268"/>
      <c r="N31" s="2268"/>
      <c r="O31" s="2268"/>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5" customFormat="1" ht="27.75" thickBot="1">
      <c r="A32" s="2320" t="s">
        <v>2029</v>
      </c>
      <c r="B32" s="724">
        <v>50</v>
      </c>
      <c r="C32" s="2317"/>
      <c r="D32" s="2269"/>
      <c r="E32" s="2268"/>
      <c r="F32" s="2268"/>
      <c r="G32" s="2268"/>
      <c r="H32" s="2268"/>
      <c r="I32" s="2268"/>
      <c r="J32" s="2268"/>
      <c r="K32" s="2268"/>
      <c r="L32" s="2268"/>
      <c r="M32" s="2268"/>
      <c r="N32" s="2268"/>
      <c r="O32" s="2268"/>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5" customFormat="1" ht="15" thickBot="1">
      <c r="A33" s="2313" t="s">
        <v>2030</v>
      </c>
      <c r="B33" s="3050">
        <v>0.05</v>
      </c>
      <c r="C33" s="1758" t="s">
        <v>2031</v>
      </c>
      <c r="D33" s="3051">
        <f>M16*B33</f>
        <v>7075.55</v>
      </c>
      <c r="E33" s="2268"/>
      <c r="F33" s="2268"/>
      <c r="G33" s="2268"/>
      <c r="H33" s="2268"/>
      <c r="I33" s="2268"/>
      <c r="J33" s="2268"/>
      <c r="K33" s="2268"/>
      <c r="L33" s="2268"/>
      <c r="M33" s="2268"/>
      <c r="N33" s="2268"/>
      <c r="O33" s="2268"/>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5" customFormat="1" ht="14.25">
      <c r="A34" s="2316" t="s">
        <v>2032</v>
      </c>
      <c r="B34" s="122">
        <v>0.05</v>
      </c>
      <c r="C34" s="1758" t="s">
        <v>2033</v>
      </c>
      <c r="D34" s="2269" t="s">
        <v>2034</v>
      </c>
      <c r="E34" s="730"/>
      <c r="F34" s="2268"/>
      <c r="G34" s="2268"/>
      <c r="H34" s="2268"/>
      <c r="I34" s="2268"/>
      <c r="J34" s="2268"/>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5" customFormat="1" ht="14.25">
      <c r="A35" s="2316" t="s">
        <v>2035</v>
      </c>
      <c r="B35" s="119">
        <v>200</v>
      </c>
      <c r="C35" s="1758" t="s">
        <v>2036</v>
      </c>
      <c r="D35" s="2314"/>
      <c r="E35" s="1423"/>
      <c r="F35" s="1423"/>
      <c r="G35" s="2268"/>
      <c r="H35" s="2268"/>
      <c r="I35" s="2268"/>
      <c r="J35" s="2268"/>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8" t="s">
        <v>2037</v>
      </c>
      <c r="B36" s="123">
        <v>1.4999999999999999E-2</v>
      </c>
      <c r="C36" s="1758" t="s">
        <v>2038</v>
      </c>
      <c r="D36" s="2269"/>
      <c r="E36" s="2268"/>
      <c r="F36" s="2268"/>
      <c r="G36" s="2268"/>
      <c r="H36" s="2268"/>
      <c r="I36" s="2268"/>
      <c r="J36" s="2268"/>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19" t="s">
        <v>2039</v>
      </c>
      <c r="B37" s="124">
        <v>2.5000000000000001E-2</v>
      </c>
      <c r="C37" s="1758" t="s">
        <v>2040</v>
      </c>
      <c r="D37" s="2269"/>
      <c r="E37" s="2268"/>
      <c r="F37" s="2268"/>
      <c r="G37" s="2268"/>
      <c r="H37" s="2268"/>
      <c r="I37" s="2268"/>
      <c r="J37" s="2268"/>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6" t="s">
        <v>2041</v>
      </c>
      <c r="B38" s="122">
        <v>0.03</v>
      </c>
      <c r="C38" s="1758" t="s">
        <v>2040</v>
      </c>
      <c r="D38" s="2269"/>
      <c r="E38" s="2268"/>
      <c r="F38" s="2268"/>
      <c r="G38" s="2268"/>
      <c r="H38" s="2268"/>
      <c r="I38" s="2268"/>
      <c r="J38" s="2268"/>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0" t="s">
        <v>2042</v>
      </c>
      <c r="B39" s="362">
        <f ca="1">存贷款利率!I1</f>
        <v>1.4999999999999999E-2</v>
      </c>
      <c r="C39" s="1758"/>
      <c r="D39" s="2269"/>
      <c r="E39" s="2268"/>
      <c r="F39" s="2268"/>
      <c r="G39" s="2268"/>
      <c r="H39" s="2268"/>
      <c r="I39" s="2268"/>
      <c r="J39" s="2268"/>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0" t="s">
        <v>2043</v>
      </c>
      <c r="B40" s="1296">
        <f ca="1">存贷款利率!G1</f>
        <v>4.7500000000000001E-2</v>
      </c>
      <c r="C40" s="1758" t="s">
        <v>2044</v>
      </c>
      <c r="D40" s="1576"/>
      <c r="E40" s="2269"/>
      <c r="F40" s="2268"/>
      <c r="G40" s="2268"/>
      <c r="H40" s="2268"/>
      <c r="I40" s="2268"/>
      <c r="J40" s="2268"/>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3" t="s">
        <v>2045</v>
      </c>
      <c r="B41" s="125">
        <f>B42+B43</f>
        <v>5.6000000000000001E-2</v>
      </c>
      <c r="C41" s="1759"/>
      <c r="D41" s="1576"/>
      <c r="E41" s="2269"/>
      <c r="F41" s="2268"/>
      <c r="G41" s="2268"/>
      <c r="H41" s="2268"/>
      <c r="I41" s="2268"/>
      <c r="J41" s="2268"/>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1" t="s">
        <v>2046</v>
      </c>
      <c r="B42" s="126">
        <v>0.05</v>
      </c>
      <c r="C42" s="2322">
        <f>IF(B2&lt;DATE(2016,5,1),0,B42)</f>
        <v>0.05</v>
      </c>
      <c r="D42" s="2269"/>
      <c r="E42" s="2268"/>
      <c r="F42" s="2268"/>
      <c r="G42" s="2268"/>
      <c r="H42" s="2268"/>
      <c r="I42" s="2268"/>
      <c r="J42" s="2268"/>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1" t="s">
        <v>2047</v>
      </c>
      <c r="B43" s="127">
        <f>B42*(B44+B45+B46)+B47</f>
        <v>6.000000000000001E-3</v>
      </c>
      <c r="C43" s="1759"/>
      <c r="D43" s="2269"/>
      <c r="E43" s="2268"/>
      <c r="F43" s="2268"/>
      <c r="G43" s="2268"/>
      <c r="H43" s="2268"/>
      <c r="I43" s="2268"/>
      <c r="J43" s="2268"/>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3" t="s">
        <v>2048</v>
      </c>
      <c r="B44" s="128">
        <v>7.0000000000000007E-2</v>
      </c>
      <c r="C44" s="1758" t="s">
        <v>2049</v>
      </c>
      <c r="D44" s="2269"/>
      <c r="E44" s="2268"/>
      <c r="F44" s="2268"/>
      <c r="G44" s="2268"/>
      <c r="H44" s="2268"/>
      <c r="I44" s="2268"/>
      <c r="J44" s="2268"/>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3" t="s">
        <v>2050</v>
      </c>
      <c r="B45" s="126">
        <v>0.03</v>
      </c>
      <c r="C45" s="1759" t="s">
        <v>2051</v>
      </c>
      <c r="D45" s="2269"/>
      <c r="E45" s="2268"/>
      <c r="F45" s="2268"/>
      <c r="G45" s="2268"/>
      <c r="H45" s="2268"/>
      <c r="I45" s="2268"/>
      <c r="J45" s="2268"/>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3" t="s">
        <v>2052</v>
      </c>
      <c r="B46" s="126">
        <v>0.02</v>
      </c>
      <c r="C46" s="1759" t="s">
        <v>2053</v>
      </c>
      <c r="D46" s="2269"/>
      <c r="E46" s="2268"/>
      <c r="F46" s="2268"/>
      <c r="G46" s="2268"/>
      <c r="H46" s="2268"/>
      <c r="I46" s="2268"/>
      <c r="J46" s="2268"/>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4" t="s">
        <v>2054</v>
      </c>
      <c r="B47" s="129"/>
      <c r="C47" s="1759" t="s">
        <v>2055</v>
      </c>
      <c r="D47" s="2269"/>
      <c r="E47" s="2268"/>
      <c r="F47" s="2268"/>
      <c r="G47" s="2268"/>
      <c r="H47" s="2268"/>
      <c r="I47" s="2268"/>
      <c r="J47" s="2268"/>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5" t="s">
        <v>2056</v>
      </c>
      <c r="B48" s="130">
        <v>0.03</v>
      </c>
      <c r="C48" s="1766" t="s">
        <v>2057</v>
      </c>
      <c r="D48" s="2269"/>
      <c r="E48" s="2268"/>
      <c r="F48" s="2268"/>
      <c r="G48" s="2268"/>
      <c r="H48" s="2268"/>
      <c r="I48" s="2268"/>
      <c r="J48" s="2268"/>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0" t="s">
        <v>2058</v>
      </c>
      <c r="B49" s="126">
        <v>5.0000000000000001E-4</v>
      </c>
      <c r="C49" s="1766" t="s">
        <v>2059</v>
      </c>
      <c r="D49" s="2269"/>
      <c r="E49" s="2268"/>
      <c r="F49" s="2268"/>
      <c r="G49" s="2268"/>
      <c r="H49" s="2268"/>
      <c r="I49" s="2268"/>
      <c r="J49" s="2268"/>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6" t="s">
        <v>2060</v>
      </c>
      <c r="B50" s="131">
        <v>1.2E-2</v>
      </c>
      <c r="C50" s="1423"/>
      <c r="D50" s="2269"/>
      <c r="E50" s="2268"/>
      <c r="F50" s="2268"/>
      <c r="G50" s="2268"/>
      <c r="H50" s="2268"/>
      <c r="I50" s="2268"/>
      <c r="J50" s="2268"/>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8" t="s">
        <v>2061</v>
      </c>
      <c r="B51" s="132">
        <v>0.12</v>
      </c>
      <c r="C51" s="1423"/>
      <c r="D51" s="2269"/>
      <c r="E51" s="2268"/>
      <c r="F51" s="2268"/>
      <c r="G51" s="2268"/>
      <c r="H51" s="2268"/>
      <c r="I51" s="2268"/>
      <c r="J51" s="2268"/>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6" t="s">
        <v>2062</v>
      </c>
      <c r="B52" s="133">
        <f>SUMIF(A54:A63,B53,B54:B63)</f>
        <v>20</v>
      </c>
      <c r="C52" s="1423"/>
      <c r="D52" s="2269"/>
      <c r="E52" s="2268"/>
      <c r="F52" s="2268"/>
      <c r="G52" s="2268"/>
      <c r="H52" s="2268"/>
      <c r="I52" s="2268"/>
      <c r="J52" s="2268"/>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6" t="s">
        <v>2063</v>
      </c>
      <c r="B53" s="2327" t="s">
        <v>212</v>
      </c>
      <c r="C53" s="1423" t="s">
        <v>2064</v>
      </c>
      <c r="D53" s="2328" t="s">
        <v>2065</v>
      </c>
      <c r="E53" s="2268"/>
      <c r="F53" s="2268"/>
      <c r="G53" s="2268"/>
      <c r="H53" s="2268"/>
      <c r="I53" s="2268"/>
      <c r="J53" s="2268"/>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29" t="s">
        <v>2066</v>
      </c>
      <c r="B54" s="84">
        <v>20</v>
      </c>
      <c r="C54" s="1423">
        <v>30</v>
      </c>
      <c r="D54" s="2269"/>
      <c r="E54" s="2268"/>
      <c r="F54" s="2268"/>
      <c r="G54" s="2268"/>
      <c r="H54" s="2268"/>
      <c r="I54" s="2268"/>
      <c r="J54" s="2268"/>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29" t="s">
        <v>2067</v>
      </c>
      <c r="B55" s="84"/>
      <c r="C55" s="1423">
        <v>24</v>
      </c>
      <c r="D55" s="2269"/>
      <c r="E55" s="2268"/>
      <c r="F55" s="2268"/>
      <c r="G55" s="2268"/>
      <c r="H55" s="2268"/>
      <c r="I55" s="2330"/>
      <c r="J55" s="2268"/>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29" t="s">
        <v>2068</v>
      </c>
      <c r="B56" s="84"/>
      <c r="C56" s="1423">
        <v>18</v>
      </c>
      <c r="D56" s="2269"/>
      <c r="E56" s="2268"/>
      <c r="F56" s="2268"/>
      <c r="G56" s="2268"/>
      <c r="H56" s="2268"/>
      <c r="I56" s="2268"/>
      <c r="J56" s="2268"/>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29" t="s">
        <v>2069</v>
      </c>
      <c r="B57" s="84"/>
      <c r="C57" s="1423">
        <v>12</v>
      </c>
      <c r="D57" s="2269"/>
      <c r="E57" s="2268"/>
      <c r="F57" s="2268"/>
      <c r="G57" s="2268"/>
      <c r="H57" s="2268"/>
      <c r="I57" s="2268"/>
      <c r="J57" s="2268"/>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29" t="s">
        <v>2070</v>
      </c>
      <c r="B58" s="84"/>
      <c r="C58" s="1423">
        <v>3</v>
      </c>
      <c r="D58" s="2269"/>
      <c r="E58" s="2268"/>
      <c r="F58" s="2268"/>
      <c r="G58" s="2268"/>
      <c r="H58" s="2268"/>
      <c r="I58" s="2268"/>
      <c r="J58" s="2268"/>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29" t="s">
        <v>2071</v>
      </c>
      <c r="B59" s="84"/>
      <c r="C59" s="1423">
        <v>1.5</v>
      </c>
      <c r="D59" s="2269"/>
      <c r="E59" s="2268"/>
      <c r="F59" s="2268"/>
      <c r="G59" s="2268"/>
      <c r="H59" s="2268"/>
      <c r="I59" s="2268"/>
      <c r="J59" s="2268"/>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29" t="s">
        <v>2072</v>
      </c>
      <c r="B60" s="84"/>
      <c r="C60" s="2268"/>
      <c r="D60" s="2269"/>
      <c r="E60" s="2268"/>
      <c r="F60" s="2268"/>
      <c r="G60" s="2268"/>
      <c r="H60" s="2268"/>
      <c r="I60" s="2268"/>
      <c r="J60" s="2268"/>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29" t="s">
        <v>2073</v>
      </c>
      <c r="B61" s="84"/>
      <c r="C61" s="2268"/>
      <c r="D61" s="2269"/>
      <c r="E61" s="2268"/>
      <c r="F61" s="2268"/>
      <c r="G61" s="2268"/>
      <c r="H61" s="2268"/>
      <c r="I61" s="2268"/>
      <c r="J61" s="2268"/>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29" t="s">
        <v>2074</v>
      </c>
      <c r="B62" s="84"/>
      <c r="C62" s="2268"/>
      <c r="D62" s="2269"/>
      <c r="E62" s="2268"/>
      <c r="F62" s="2268"/>
      <c r="G62" s="2268"/>
      <c r="H62" s="2268"/>
      <c r="I62" s="2268"/>
      <c r="J62" s="2268"/>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1" t="s">
        <v>2075</v>
      </c>
      <c r="B63" s="134"/>
      <c r="C63" s="2268"/>
      <c r="D63" s="2269"/>
      <c r="E63" s="2268"/>
      <c r="F63" s="2268"/>
      <c r="G63" s="2268"/>
      <c r="H63" s="2268"/>
      <c r="I63" s="2268"/>
      <c r="J63" s="2268"/>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2"/>
      <c r="D64" s="2333"/>
      <c r="K64" s="796"/>
      <c r="L64" s="796"/>
    </row>
    <row r="65" spans="1:12" s="960" customFormat="1">
      <c r="A65" s="2332"/>
      <c r="D65" s="2333"/>
      <c r="K65" s="796"/>
      <c r="L65" s="796"/>
    </row>
    <row r="66" spans="1:12" s="960" customFormat="1">
      <c r="A66" s="2332"/>
      <c r="D66" s="2333"/>
      <c r="K66" s="796"/>
      <c r="L66" s="796"/>
    </row>
    <row r="67" spans="1:12" s="960" customFormat="1">
      <c r="A67" s="2332"/>
      <c r="D67" s="2333"/>
      <c r="K67" s="796"/>
      <c r="L67" s="796"/>
    </row>
    <row r="68" spans="1:12" s="960" customFormat="1">
      <c r="A68" s="2332"/>
      <c r="D68" s="2333"/>
      <c r="K68" s="796"/>
      <c r="L68" s="796"/>
    </row>
    <row r="69" spans="1:12" s="960" customFormat="1">
      <c r="A69" s="2332"/>
      <c r="D69" s="2333"/>
      <c r="K69" s="796"/>
      <c r="L69" s="796"/>
    </row>
    <row r="70" spans="1:12" s="960" customFormat="1">
      <c r="A70" s="2332"/>
      <c r="D70" s="2333"/>
      <c r="K70" s="796"/>
      <c r="L70" s="796"/>
    </row>
    <row r="71" spans="1:12" s="960" customFormat="1">
      <c r="A71" s="2332"/>
      <c r="D71" s="2333"/>
      <c r="K71" s="796"/>
      <c r="L71" s="796"/>
    </row>
    <row r="72" spans="1:12" s="960" customFormat="1">
      <c r="A72" s="2332"/>
      <c r="D72" s="2333"/>
      <c r="K72" s="796"/>
      <c r="L72" s="796"/>
    </row>
    <row r="73" spans="1:12" s="960" customFormat="1">
      <c r="A73" s="2332"/>
      <c r="D73" s="2333"/>
      <c r="K73" s="796"/>
      <c r="L73" s="796"/>
    </row>
    <row r="74" spans="1:12" s="960" customFormat="1">
      <c r="A74" s="2332"/>
      <c r="D74" s="2333"/>
      <c r="K74" s="796"/>
      <c r="L74" s="796"/>
    </row>
    <row r="75" spans="1:12" s="960" customFormat="1">
      <c r="A75" s="2332"/>
      <c r="D75" s="2333"/>
      <c r="K75" s="796"/>
      <c r="L75" s="796"/>
    </row>
    <row r="76" spans="1:12" s="960" customFormat="1">
      <c r="A76" s="2332"/>
      <c r="D76" s="2333"/>
      <c r="K76" s="796"/>
      <c r="L76" s="796"/>
    </row>
    <row r="77" spans="1:12" s="960" customFormat="1">
      <c r="A77" s="2332"/>
      <c r="D77" s="2333"/>
      <c r="K77" s="796"/>
      <c r="L77" s="796"/>
    </row>
    <row r="78" spans="1:12" s="960" customFormat="1">
      <c r="A78" s="2332"/>
      <c r="D78" s="2333"/>
      <c r="K78" s="796"/>
      <c r="L78" s="796"/>
    </row>
    <row r="79" spans="1:12" s="960" customFormat="1">
      <c r="A79" s="2332"/>
      <c r="D79" s="2333"/>
      <c r="K79" s="796"/>
      <c r="L79" s="796"/>
    </row>
    <row r="80" spans="1:12" s="960" customFormat="1">
      <c r="A80" s="2332"/>
      <c r="D80" s="2333"/>
      <c r="K80" s="796"/>
      <c r="L80" s="796"/>
    </row>
    <row r="81" spans="1:12" s="960" customFormat="1">
      <c r="A81" s="2332"/>
      <c r="D81" s="2333"/>
      <c r="K81" s="796"/>
      <c r="L81" s="796"/>
    </row>
    <row r="82" spans="1:12" s="960" customFormat="1">
      <c r="A82" s="2332"/>
      <c r="D82" s="2333"/>
      <c r="K82" s="796"/>
      <c r="L82" s="796"/>
    </row>
    <row r="83" spans="1:12" s="960" customFormat="1">
      <c r="A83" s="2332"/>
      <c r="D83" s="2333"/>
      <c r="K83" s="796"/>
      <c r="L83" s="796"/>
    </row>
    <row r="84" spans="1:12" s="960" customFormat="1">
      <c r="A84" s="2332"/>
      <c r="D84" s="2333"/>
      <c r="K84" s="796"/>
      <c r="L84" s="796"/>
    </row>
    <row r="85" spans="1:12" s="960" customFormat="1">
      <c r="A85" s="2332"/>
      <c r="D85" s="2333"/>
      <c r="K85" s="796"/>
      <c r="L85" s="796"/>
    </row>
    <row r="86" spans="1:12" s="960" customFormat="1">
      <c r="A86" s="2332"/>
      <c r="D86" s="2333"/>
      <c r="K86" s="796"/>
      <c r="L86" s="796"/>
    </row>
    <row r="87" spans="1:12" s="960" customFormat="1">
      <c r="A87" s="2332"/>
      <c r="D87" s="2333"/>
      <c r="K87" s="796"/>
      <c r="L87" s="796"/>
    </row>
    <row r="88" spans="1:12" s="960" customFormat="1">
      <c r="A88" s="2332"/>
      <c r="D88" s="2333"/>
      <c r="K88" s="796"/>
      <c r="L88" s="796"/>
    </row>
    <row r="89" spans="1:12" s="960" customFormat="1">
      <c r="A89" s="2332"/>
      <c r="D89" s="2333"/>
      <c r="K89" s="796"/>
      <c r="L89" s="796"/>
    </row>
    <row r="90" spans="1:12" s="960" customFormat="1">
      <c r="A90" s="2332"/>
      <c r="D90" s="2333"/>
      <c r="K90" s="796"/>
      <c r="L90" s="796"/>
    </row>
    <row r="91" spans="1:12" s="960" customFormat="1">
      <c r="A91" s="2332"/>
      <c r="D91" s="2333"/>
      <c r="K91" s="796"/>
      <c r="L91" s="796"/>
    </row>
    <row r="92" spans="1:12" s="960" customFormat="1">
      <c r="A92" s="2332"/>
      <c r="D92" s="2333"/>
      <c r="K92" s="796"/>
      <c r="L92" s="796"/>
    </row>
    <row r="93" spans="1:12" s="960" customFormat="1">
      <c r="A93" s="2332"/>
      <c r="D93" s="2333"/>
      <c r="K93" s="796"/>
      <c r="L93" s="796"/>
    </row>
    <row r="94" spans="1:12" s="960" customFormat="1">
      <c r="A94" s="2332"/>
      <c r="D94" s="2333"/>
      <c r="K94" s="796"/>
      <c r="L94" s="796"/>
    </row>
    <row r="95" spans="1:12" s="960" customFormat="1">
      <c r="A95" s="2332"/>
      <c r="D95" s="2333"/>
      <c r="K95" s="796"/>
      <c r="L95" s="796"/>
    </row>
    <row r="96" spans="1:12" s="960" customFormat="1">
      <c r="A96" s="2332"/>
      <c r="D96" s="2333"/>
      <c r="K96" s="796"/>
      <c r="L96" s="796"/>
    </row>
    <row r="97" spans="1:12" s="960" customFormat="1">
      <c r="A97" s="2332"/>
      <c r="D97" s="2333"/>
      <c r="K97" s="796"/>
      <c r="L97" s="796"/>
    </row>
    <row r="98" spans="1:12" s="960" customFormat="1">
      <c r="A98" s="2332"/>
      <c r="D98" s="2333"/>
      <c r="K98" s="796"/>
      <c r="L98" s="796"/>
    </row>
    <row r="99" spans="1:12" s="960" customFormat="1">
      <c r="A99" s="2332"/>
      <c r="D99" s="2333"/>
      <c r="K99" s="796"/>
      <c r="L99" s="796"/>
    </row>
    <row r="100" spans="1:12" s="960" customFormat="1">
      <c r="A100" s="2332"/>
      <c r="D100" s="2333"/>
      <c r="K100" s="796"/>
      <c r="L100" s="796"/>
    </row>
    <row r="101" spans="1:12" s="960" customFormat="1">
      <c r="A101" s="2332"/>
      <c r="D101" s="2333"/>
      <c r="K101" s="796"/>
      <c r="L101" s="796"/>
    </row>
    <row r="102" spans="1:12" s="960" customFormat="1">
      <c r="A102" s="2332"/>
      <c r="D102" s="2333"/>
      <c r="K102" s="796"/>
      <c r="L102" s="796"/>
    </row>
    <row r="103" spans="1:12" s="960" customFormat="1">
      <c r="A103" s="2332"/>
      <c r="D103" s="2333"/>
      <c r="K103" s="796"/>
      <c r="L103" s="796"/>
    </row>
    <row r="104" spans="1:12" s="960" customFormat="1">
      <c r="A104" s="2332"/>
      <c r="D104" s="2333"/>
      <c r="K104" s="796"/>
      <c r="L104" s="796"/>
    </row>
    <row r="105" spans="1:12" s="960" customFormat="1">
      <c r="A105" s="2332"/>
      <c r="D105" s="2333"/>
      <c r="K105" s="796"/>
      <c r="L105" s="796"/>
    </row>
    <row r="106" spans="1:12" s="960" customFormat="1">
      <c r="A106" s="2332"/>
      <c r="D106" s="2333"/>
      <c r="K106" s="796"/>
      <c r="L106" s="796"/>
    </row>
    <row r="107" spans="1:12" s="960" customFormat="1">
      <c r="A107" s="2332"/>
      <c r="D107" s="2333"/>
      <c r="K107" s="796"/>
      <c r="L107" s="796"/>
    </row>
    <row r="108" spans="1:12" s="960" customFormat="1">
      <c r="A108" s="2332"/>
      <c r="D108" s="2333"/>
      <c r="K108" s="796"/>
      <c r="L108" s="796"/>
    </row>
    <row r="109" spans="1:12" s="960" customFormat="1">
      <c r="A109" s="2332"/>
      <c r="D109" s="2333"/>
      <c r="K109" s="796"/>
      <c r="L109" s="796"/>
    </row>
    <row r="110" spans="1:12" s="960" customFormat="1">
      <c r="A110" s="2332"/>
      <c r="D110" s="2333"/>
      <c r="K110" s="796"/>
      <c r="L110" s="796"/>
    </row>
    <row r="111" spans="1:12" s="960" customFormat="1">
      <c r="A111" s="2332"/>
      <c r="D111" s="2333"/>
      <c r="K111" s="796"/>
      <c r="L111" s="796"/>
    </row>
    <row r="112" spans="1:12" s="960" customFormat="1">
      <c r="A112" s="2332"/>
      <c r="D112" s="2333"/>
      <c r="K112" s="796"/>
      <c r="L112" s="796"/>
    </row>
    <row r="113" spans="1:12" s="960" customFormat="1">
      <c r="A113" s="2332"/>
      <c r="D113" s="2333"/>
      <c r="K113" s="796"/>
      <c r="L113" s="796"/>
    </row>
    <row r="114" spans="1:12" s="960" customFormat="1">
      <c r="A114" s="2332"/>
      <c r="D114" s="2333"/>
      <c r="K114" s="796"/>
      <c r="L114" s="796"/>
    </row>
    <row r="115" spans="1:12" s="960" customFormat="1">
      <c r="A115" s="2332"/>
      <c r="D115" s="2333"/>
      <c r="K115" s="796"/>
      <c r="L115" s="796"/>
    </row>
    <row r="116" spans="1:12" s="960" customFormat="1">
      <c r="A116" s="2332"/>
      <c r="D116" s="2333"/>
      <c r="K116" s="796"/>
      <c r="L116" s="796"/>
    </row>
    <row r="117" spans="1:12" s="960" customFormat="1">
      <c r="A117" s="2332"/>
      <c r="D117" s="2333"/>
      <c r="K117" s="796"/>
      <c r="L117" s="796"/>
    </row>
    <row r="118" spans="1:12" s="960" customFormat="1">
      <c r="A118" s="2332"/>
      <c r="D118" s="2333"/>
      <c r="K118" s="796"/>
      <c r="L118" s="796"/>
    </row>
    <row r="119" spans="1:12" s="960" customFormat="1">
      <c r="A119" s="2332"/>
      <c r="D119" s="2333"/>
      <c r="K119" s="796"/>
      <c r="L119" s="796"/>
    </row>
    <row r="120" spans="1:12" s="960" customFormat="1">
      <c r="A120" s="2332"/>
      <c r="D120" s="2333"/>
      <c r="K120" s="796"/>
      <c r="L120" s="796"/>
    </row>
    <row r="121" spans="1:12" s="960" customFormat="1">
      <c r="A121" s="2332"/>
      <c r="D121" s="2333"/>
      <c r="K121" s="796"/>
      <c r="L121" s="796"/>
    </row>
    <row r="122" spans="1:12" s="960" customFormat="1">
      <c r="A122" s="2332"/>
      <c r="D122" s="2333"/>
      <c r="K122" s="796"/>
      <c r="L122" s="796"/>
    </row>
    <row r="123" spans="1:12" s="960" customFormat="1">
      <c r="A123" s="2332"/>
      <c r="D123" s="2333"/>
      <c r="K123" s="796"/>
      <c r="L123" s="796"/>
    </row>
    <row r="124" spans="1:12" s="960" customFormat="1">
      <c r="A124" s="2332"/>
      <c r="D124" s="2333"/>
      <c r="K124" s="796"/>
      <c r="L124" s="796"/>
    </row>
    <row r="125" spans="1:12" s="960" customFormat="1">
      <c r="A125" s="2332"/>
      <c r="D125" s="2333"/>
      <c r="K125" s="796"/>
      <c r="L125" s="796"/>
    </row>
    <row r="126" spans="1:12" s="960" customFormat="1">
      <c r="A126" s="2332"/>
      <c r="D126" s="2333"/>
      <c r="K126" s="796"/>
      <c r="L126" s="796"/>
    </row>
    <row r="127" spans="1:12" s="960" customFormat="1">
      <c r="A127" s="2332"/>
      <c r="D127" s="2333"/>
      <c r="K127" s="796"/>
      <c r="L127" s="796"/>
    </row>
    <row r="128" spans="1:12" s="960" customFormat="1">
      <c r="A128" s="2332"/>
      <c r="D128" s="2333"/>
      <c r="K128" s="796"/>
      <c r="L128" s="796"/>
    </row>
    <row r="129" spans="1:12" s="960" customFormat="1">
      <c r="A129" s="2332"/>
      <c r="D129" s="2333"/>
      <c r="K129" s="796"/>
      <c r="L129" s="796"/>
    </row>
    <row r="130" spans="1:12" s="960" customFormat="1">
      <c r="A130" s="2332"/>
      <c r="D130" s="2333"/>
      <c r="K130" s="796"/>
      <c r="L130" s="796"/>
    </row>
    <row r="131" spans="1:12" s="960" customFormat="1">
      <c r="A131" s="2332"/>
      <c r="D131" s="2333"/>
      <c r="K131" s="796"/>
      <c r="L131" s="796"/>
    </row>
    <row r="132" spans="1:12" s="960" customFormat="1">
      <c r="A132" s="2332"/>
      <c r="D132" s="2333"/>
      <c r="K132" s="796"/>
      <c r="L132" s="796"/>
    </row>
    <row r="133" spans="1:12" s="960" customFormat="1">
      <c r="A133" s="2332"/>
      <c r="D133" s="2333"/>
      <c r="K133" s="796"/>
      <c r="L133" s="796"/>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mergeCells count="2">
    <mergeCell ref="K18:K19"/>
    <mergeCell ref="L18:N18"/>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G10" sqref="G10"/>
      <selection pane="topRight" activeCell="G10" sqref="G10"/>
      <selection pane="bottomLeft" activeCell="G10" sqref="G10"/>
      <selection pane="bottomRight" activeCell="G10" sqref="G10"/>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172" t="s">
        <v>2076</v>
      </c>
      <c r="B1" s="3173"/>
      <c r="C1" s="3173"/>
      <c r="D1" s="3173"/>
      <c r="E1" s="3173"/>
      <c r="F1" s="3173"/>
      <c r="G1" s="3173"/>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2077</v>
      </c>
      <c r="D2" s="2356"/>
      <c r="E2" s="2357"/>
      <c r="F2" s="2277"/>
      <c r="G2" s="2355" t="s">
        <v>2078</v>
      </c>
      <c r="H2" s="2358"/>
      <c r="I2" s="2358"/>
      <c r="J2" s="2358"/>
      <c r="K2" s="2358"/>
      <c r="L2" s="2358"/>
      <c r="M2" s="2358"/>
      <c r="N2" s="2358"/>
      <c r="O2" s="2358"/>
      <c r="P2" s="2358"/>
      <c r="Q2" s="2358"/>
      <c r="R2" s="2358"/>
    </row>
    <row r="3" spans="1:29" ht="54">
      <c r="A3" s="415" t="s">
        <v>2079</v>
      </c>
      <c r="B3" s="1264" t="s">
        <v>2080</v>
      </c>
      <c r="C3" s="2360" t="s">
        <v>2081</v>
      </c>
      <c r="D3" s="2361"/>
      <c r="E3" s="431" t="s">
        <v>2079</v>
      </c>
      <c r="F3" s="2362" t="s">
        <v>2082</v>
      </c>
      <c r="G3" s="2363" t="s">
        <v>2083</v>
      </c>
      <c r="H3" s="2358"/>
      <c r="I3" s="2358"/>
      <c r="J3" s="2358"/>
      <c r="K3" s="2358"/>
      <c r="L3" s="2358"/>
      <c r="M3" s="2358"/>
      <c r="N3" s="2358"/>
      <c r="O3" s="2358"/>
      <c r="P3" s="2358"/>
      <c r="Q3" s="2358"/>
      <c r="R3" s="2358"/>
    </row>
    <row r="4" spans="1:29" ht="41.25">
      <c r="A4" s="431"/>
      <c r="B4" s="1790" t="s">
        <v>2084</v>
      </c>
      <c r="C4" s="2364" t="s">
        <v>2085</v>
      </c>
      <c r="D4" s="2361"/>
      <c r="E4" s="2365"/>
      <c r="F4" s="42" t="s">
        <v>2086</v>
      </c>
      <c r="G4" s="2366" t="s">
        <v>2087</v>
      </c>
      <c r="H4" s="2358"/>
      <c r="I4" s="2358"/>
      <c r="J4" s="2358"/>
      <c r="K4" s="2358"/>
      <c r="L4" s="2358"/>
      <c r="M4" s="2358"/>
      <c r="N4" s="2358"/>
      <c r="O4" s="2358"/>
      <c r="P4" s="2358"/>
      <c r="Q4" s="2358"/>
      <c r="R4" s="2358"/>
    </row>
    <row r="5" spans="1:29" ht="41.25">
      <c r="A5" s="431"/>
      <c r="B5" s="1790" t="s">
        <v>2088</v>
      </c>
      <c r="C5" s="2364" t="s">
        <v>2089</v>
      </c>
      <c r="D5" s="2361"/>
      <c r="E5" s="2365"/>
      <c r="F5" s="1790" t="s">
        <v>2090</v>
      </c>
      <c r="G5" s="2366" t="s">
        <v>2091</v>
      </c>
      <c r="H5" s="2358"/>
      <c r="I5" s="2358"/>
      <c r="J5" s="2358"/>
      <c r="K5" s="2358"/>
      <c r="L5" s="2358"/>
      <c r="M5" s="2358"/>
      <c r="N5" s="2358"/>
      <c r="O5" s="2358"/>
      <c r="P5" s="2358"/>
      <c r="Q5" s="2358"/>
      <c r="R5" s="2358"/>
    </row>
    <row r="6" spans="1:29" ht="54">
      <c r="A6" s="431"/>
      <c r="B6" s="1790" t="s">
        <v>2092</v>
      </c>
      <c r="C6" s="2366" t="s">
        <v>2087</v>
      </c>
      <c r="D6" s="2361"/>
      <c r="E6" s="2365"/>
      <c r="F6" s="1790" t="s">
        <v>2093</v>
      </c>
      <c r="G6" s="2366" t="s">
        <v>2094</v>
      </c>
      <c r="H6" s="2358"/>
      <c r="I6" s="2358"/>
      <c r="J6" s="2358"/>
      <c r="K6" s="2358"/>
      <c r="L6" s="2358"/>
      <c r="M6" s="2358"/>
      <c r="N6" s="2358"/>
      <c r="O6" s="2358"/>
      <c r="P6" s="2358"/>
      <c r="Q6" s="2358"/>
      <c r="R6" s="2358"/>
    </row>
    <row r="7" spans="1:29" ht="41.25" thickBot="1">
      <c r="A7" s="431"/>
      <c r="B7" s="1790" t="s">
        <v>2090</v>
      </c>
      <c r="C7" s="2366" t="s">
        <v>2091</v>
      </c>
      <c r="D7" s="2367"/>
      <c r="E7" s="2368"/>
      <c r="F7" s="2369" t="s">
        <v>2095</v>
      </c>
      <c r="G7" s="2370" t="s">
        <v>2096</v>
      </c>
      <c r="H7" s="2358"/>
      <c r="I7" s="2358"/>
      <c r="J7" s="2358"/>
      <c r="K7" s="2358"/>
      <c r="L7" s="2358"/>
      <c r="M7" s="2358"/>
      <c r="N7" s="2358"/>
      <c r="O7" s="2358"/>
      <c r="P7" s="2358"/>
      <c r="Q7" s="2358"/>
      <c r="R7" s="2358"/>
    </row>
    <row r="8" spans="1:29" ht="27">
      <c r="A8" s="431"/>
      <c r="B8" s="1790" t="s">
        <v>2093</v>
      </c>
      <c r="C8" s="2366" t="s">
        <v>2094</v>
      </c>
      <c r="D8" s="2367"/>
      <c r="E8" s="2367"/>
      <c r="F8" s="1129"/>
      <c r="G8" s="1129"/>
      <c r="H8" s="2358"/>
      <c r="I8" s="2358"/>
      <c r="J8" s="2358"/>
      <c r="K8" s="2358"/>
      <c r="L8" s="2358"/>
      <c r="M8" s="2358"/>
      <c r="N8" s="2358"/>
      <c r="O8" s="2358"/>
      <c r="P8" s="2358"/>
      <c r="Q8" s="2358"/>
      <c r="R8" s="2358"/>
    </row>
    <row r="9" spans="1:29" ht="27">
      <c r="A9" s="431"/>
      <c r="B9" s="1790" t="s">
        <v>2097</v>
      </c>
      <c r="C9" s="2364" t="s">
        <v>2098</v>
      </c>
      <c r="D9" s="2361"/>
      <c r="E9" s="2367"/>
      <c r="F9" s="1129"/>
      <c r="G9" s="1129"/>
      <c r="H9" s="2358"/>
      <c r="I9" s="2358"/>
      <c r="J9" s="2358"/>
      <c r="K9" s="2358"/>
      <c r="L9" s="2358"/>
      <c r="M9" s="2358"/>
      <c r="N9" s="2358"/>
      <c r="O9" s="2358"/>
      <c r="P9" s="2358"/>
      <c r="Q9" s="2358"/>
      <c r="R9" s="2358"/>
    </row>
    <row r="10" spans="1:29" s="117" customFormat="1" ht="15.75" thickBot="1">
      <c r="A10" s="2371"/>
      <c r="B10" s="2372" t="s">
        <v>2099</v>
      </c>
      <c r="C10" s="2373"/>
      <c r="D10" s="2361"/>
      <c r="E10" s="2361"/>
      <c r="F10" s="1129"/>
      <c r="G10" s="1129"/>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47"/>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47"/>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2100</v>
      </c>
      <c r="B13" s="2378"/>
      <c r="C13" s="2378"/>
      <c r="D13" s="2385"/>
      <c r="E13" s="2378"/>
      <c r="F13" s="2378"/>
      <c r="G13" s="2378"/>
    </row>
    <row r="14" spans="1:29" ht="15.75" thickBot="1">
      <c r="A14" s="2389"/>
      <c r="B14" s="2390"/>
      <c r="C14" s="2391" t="s">
        <v>2101</v>
      </c>
      <c r="D14" s="2361"/>
      <c r="E14" s="2392"/>
      <c r="F14" s="2392"/>
      <c r="G14" s="2355" t="s">
        <v>2102</v>
      </c>
    </row>
    <row r="15" spans="1:29" ht="57">
      <c r="A15" s="68" t="s">
        <v>2103</v>
      </c>
      <c r="B15" s="1263" t="s">
        <v>2080</v>
      </c>
      <c r="C15" s="2393" t="str">
        <f>C3</f>
        <v>估价对象周边居住用地比例、居住小区规模和社区发展完善程度，综合评价居住社区成熟度一般</v>
      </c>
      <c r="D15" s="2361"/>
      <c r="E15" s="2394" t="s">
        <v>2104</v>
      </c>
      <c r="F15" s="1263" t="s">
        <v>2105</v>
      </c>
      <c r="G15" s="135" t="str">
        <f>G3</f>
        <v>估价对象位于XX开发区，园区建设成熟度XX，产业集聚程度XX</v>
      </c>
    </row>
    <row r="16" spans="1:29" ht="42.75">
      <c r="A16" s="644"/>
      <c r="B16" s="2395" t="s">
        <v>2084</v>
      </c>
      <c r="C16" s="2396" t="str">
        <f>C4</f>
        <v>估价对象位于XX商圈，周边商业氛围成熟，人流量大，商业繁华度好</v>
      </c>
      <c r="D16" s="2361"/>
      <c r="E16" s="2397"/>
      <c r="F16" s="2398" t="s">
        <v>2086</v>
      </c>
      <c r="G16" s="136" t="str">
        <f>G4</f>
        <v>估价对象周边道路状况、公共交通通达情况、停车便捷程度，综合评价交通便捷度较好</v>
      </c>
    </row>
    <row r="17" spans="1:18" ht="42.75">
      <c r="A17" s="644"/>
      <c r="B17" s="2395" t="s">
        <v>2088</v>
      </c>
      <c r="C17" s="2396" t="str">
        <f>C5</f>
        <v>估价对象位于XX商圈，周边办公楼项目较多，入驻率高，办公集聚程度较好</v>
      </c>
      <c r="D17" s="2367"/>
      <c r="E17" s="2397"/>
      <c r="F17" s="2398" t="s">
        <v>2106</v>
      </c>
      <c r="G17" s="1564"/>
    </row>
    <row r="18" spans="1:18" ht="57">
      <c r="A18" s="644"/>
      <c r="B18" s="2398" t="s">
        <v>2092</v>
      </c>
      <c r="C18" s="136" t="str">
        <f>C6</f>
        <v>估价对象周边道路状况、公共交通通达情况、停车便捷程度，综合评价交通便捷度较好</v>
      </c>
      <c r="D18" s="2367"/>
      <c r="E18" s="2397"/>
      <c r="F18" s="2398" t="s">
        <v>2095</v>
      </c>
      <c r="G18" s="136" t="str">
        <f>G7</f>
        <v>该园区内是否有污染型企业，绿化情况，卫生条件，整体环境状况判断</v>
      </c>
    </row>
    <row r="19" spans="1:18" ht="28.5">
      <c r="A19" s="644"/>
      <c r="B19" s="2398" t="s">
        <v>2107</v>
      </c>
      <c r="C19" s="1564"/>
      <c r="D19" s="2361"/>
      <c r="E19" s="2397"/>
      <c r="F19" s="1790" t="s">
        <v>2090</v>
      </c>
      <c r="G19" s="136" t="str">
        <f>G5</f>
        <v>估价对象所在区域公共配套设施齐备情况</v>
      </c>
    </row>
    <row r="20" spans="1:18" ht="28.5">
      <c r="A20" s="644"/>
      <c r="B20" s="2398" t="s">
        <v>2108</v>
      </c>
      <c r="C20" s="2396" t="str">
        <f>C9</f>
        <v>区域自然环境：；人文环境；综合评价环境状况一般</v>
      </c>
      <c r="D20" s="2367"/>
      <c r="E20" s="2397"/>
      <c r="F20" s="1790" t="s">
        <v>2109</v>
      </c>
      <c r="G20" s="136" t="str">
        <f>G6</f>
        <v>估价对象所在区域基础设施水平</v>
      </c>
    </row>
    <row r="21" spans="1:18" ht="28.5">
      <c r="A21" s="644"/>
      <c r="B21" s="1790" t="s">
        <v>2090</v>
      </c>
      <c r="C21" s="136" t="str">
        <f>C7</f>
        <v>估价对象所在区域公共配套设施齐备情况</v>
      </c>
      <c r="D21" s="2361"/>
      <c r="E21" s="2397"/>
      <c r="F21" s="2398" t="s">
        <v>2110</v>
      </c>
      <c r="G21" s="2399"/>
    </row>
    <row r="22" spans="1:18" ht="13.5" customHeight="1">
      <c r="A22" s="644"/>
      <c r="B22" s="1790" t="s">
        <v>2093</v>
      </c>
      <c r="C22" s="136" t="str">
        <f>C8</f>
        <v>估价对象所在区域基础设施水平</v>
      </c>
      <c r="D22" s="2361"/>
      <c r="E22" s="2397"/>
      <c r="F22" s="2398" t="s">
        <v>2099</v>
      </c>
      <c r="G22" s="1564"/>
    </row>
    <row r="23" spans="1:18" s="2358" customFormat="1" ht="15.75" thickBot="1">
      <c r="A23" s="644"/>
      <c r="B23" s="2398" t="s">
        <v>2110</v>
      </c>
      <c r="C23" s="2399"/>
      <c r="D23" s="2386"/>
      <c r="E23" s="2400"/>
      <c r="F23" s="2401" t="s">
        <v>2111</v>
      </c>
      <c r="G23" s="2402"/>
      <c r="H23" s="2386"/>
      <c r="I23" s="2387"/>
      <c r="J23" s="2386"/>
      <c r="K23" s="2386"/>
      <c r="L23" s="2387"/>
      <c r="M23" s="2386"/>
      <c r="N23" s="2386"/>
      <c r="O23" s="2387"/>
      <c r="P23" s="2386"/>
      <c r="Q23" s="2386"/>
      <c r="R23" s="2388"/>
    </row>
    <row r="24" spans="1:18" s="2358" customFormat="1" ht="15.75" thickBot="1">
      <c r="A24" s="2403"/>
      <c r="B24" s="2401" t="s">
        <v>2112</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0" sqref="G10"/>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378144.48</v>
      </c>
      <c r="C1" s="1737"/>
      <c r="D1" s="1737"/>
      <c r="E1" s="1737"/>
      <c r="F1" s="1737"/>
      <c r="G1" s="1735"/>
    </row>
    <row r="2" spans="1:10" ht="16.5">
      <c r="A2" s="1738" t="s">
        <v>1349</v>
      </c>
      <c r="B2" s="1738">
        <f>SUM(C14:C23)</f>
        <v>25136</v>
      </c>
      <c r="C2" s="1737"/>
      <c r="D2" s="1737"/>
      <c r="E2" s="1737"/>
      <c r="F2" s="1737"/>
      <c r="G2" s="1735"/>
    </row>
    <row r="3" spans="1:10" ht="16.5">
      <c r="A3" s="1738" t="s">
        <v>1358</v>
      </c>
      <c r="B3" s="1739">
        <f>项目基本情况!D3</f>
        <v>43796</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449033</v>
      </c>
      <c r="C5" s="1738">
        <f ca="1">ROUND(B5*10000/$B$1,0)</f>
        <v>11875</v>
      </c>
      <c r="D5" s="1738">
        <f ca="1">ROUND(B5*10000/$B$2,0)</f>
        <v>178641</v>
      </c>
      <c r="E5" s="1737"/>
      <c r="F5" s="1735"/>
      <c r="G5" s="1735"/>
    </row>
    <row r="6" spans="1:10" ht="16.5">
      <c r="A6" s="1738" t="s">
        <v>1352</v>
      </c>
      <c r="B6" s="1738">
        <f ca="1">SUM(G14:G23)</f>
        <v>430188.3</v>
      </c>
      <c r="C6" s="1738">
        <f ca="1">ROUND(B6*10000/$B$1,0)</f>
        <v>11376</v>
      </c>
      <c r="D6" s="1738">
        <f ca="1">ROUND(B6*10000/$B$2,0)</f>
        <v>171144</v>
      </c>
      <c r="E6" s="1737"/>
      <c r="F6" s="1735"/>
      <c r="G6" s="1735"/>
    </row>
    <row r="7" spans="1:10" ht="16.5">
      <c r="A7" s="1738" t="s">
        <v>1360</v>
      </c>
      <c r="B7" s="1738">
        <f>SUM(H14:H23)</f>
        <v>0</v>
      </c>
      <c r="C7" s="1738">
        <f>ROUND(B7*10000/$B$1,0)</f>
        <v>0</v>
      </c>
      <c r="D7" s="1738">
        <f>ROUND(B7*10000/$B$2,0)</f>
        <v>0</v>
      </c>
      <c r="E7" s="1737"/>
      <c r="F7" s="1735"/>
      <c r="G7" s="1735"/>
    </row>
    <row r="8" spans="1:10" ht="16.5">
      <c r="A8" s="1738" t="s">
        <v>1281</v>
      </c>
      <c r="B8" s="1738">
        <f>SUM(I14:I23)</f>
        <v>0</v>
      </c>
      <c r="C8" s="1738">
        <f>ROUND(B8*10000/$B$1,0)</f>
        <v>0</v>
      </c>
      <c r="D8" s="1738">
        <f>ROUND(B8*10000/$B$2,0)</f>
        <v>0</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结果表!B118</f>
        <v>378144.48</v>
      </c>
      <c r="C14" s="1736">
        <f>结果表!C118</f>
        <v>25136</v>
      </c>
      <c r="D14" s="1736">
        <f ca="1">结果表!H118</f>
        <v>449033</v>
      </c>
      <c r="E14" s="1736">
        <f ca="1">ROUND(D14*10000/B14,0)</f>
        <v>11875</v>
      </c>
      <c r="F14" s="1736">
        <f ca="1">ROUND(D14*10000/C14,0)</f>
        <v>178641</v>
      </c>
      <c r="G14" s="1736">
        <f ca="1">结果表!D122</f>
        <v>430188.3</v>
      </c>
      <c r="H14" s="1736" t="str">
        <f>结果表!D124</f>
        <v>——</v>
      </c>
      <c r="I14" s="1736" t="str">
        <f>结果表!D126</f>
        <v>——</v>
      </c>
      <c r="J14" s="1735"/>
    </row>
    <row r="15" spans="1:10" ht="16.5">
      <c r="A15" s="1734" t="s">
        <v>1345</v>
      </c>
      <c r="B15" s="1741"/>
      <c r="C15" s="1741"/>
      <c r="D15" s="1741"/>
      <c r="E15" s="1736" t="e">
        <f t="shared" ref="E15:E23" si="0">ROUND(D15*10000/B15,0)</f>
        <v>#DIV/0!</v>
      </c>
      <c r="F15" s="1736" t="e">
        <f t="shared" ref="F15:F23" si="1">ROUND(D15*10000/C15,0)</f>
        <v>#DIV/0!</v>
      </c>
      <c r="G15" s="1742"/>
      <c r="H15" s="1742"/>
      <c r="I15" s="1741"/>
      <c r="J15" s="1735"/>
    </row>
    <row r="16" spans="1:10" ht="16.5">
      <c r="A16" s="1734" t="s">
        <v>1344</v>
      </c>
      <c r="B16" s="1741"/>
      <c r="C16" s="1741"/>
      <c r="D16" s="1741"/>
      <c r="E16" s="1736" t="e">
        <f t="shared" si="0"/>
        <v>#DIV/0!</v>
      </c>
      <c r="F16" s="1736" t="e">
        <f t="shared" si="1"/>
        <v>#DIV/0!</v>
      </c>
      <c r="G16" s="1742"/>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19" sqref="C19"/>
    </sheetView>
  </sheetViews>
  <sheetFormatPr defaultColWidth="12.625" defaultRowHeight="21.75" customHeight="1"/>
  <cols>
    <col min="1" max="2" width="12.625" style="2415"/>
    <col min="3" max="4" width="12.625" style="2415" customWidth="1"/>
    <col min="5" max="9" width="12.625" style="2415"/>
    <col min="10" max="11" width="12.625" style="793" customWidth="1"/>
    <col min="12" max="12" width="12.625" style="793"/>
    <col min="13" max="13" width="14.125" style="793" bestFit="1" customWidth="1"/>
    <col min="14" max="26" width="12.625" style="793"/>
    <col min="27" max="35" width="12.625" style="2414"/>
    <col min="36" max="16384" width="12.625" style="2415"/>
  </cols>
  <sheetData>
    <row r="1" spans="1:12" ht="21.75" customHeight="1" thickBot="1">
      <c r="A1" s="2217" t="s">
        <v>2113</v>
      </c>
      <c r="B1" s="2409"/>
      <c r="C1" s="2410"/>
      <c r="D1" s="2409"/>
      <c r="E1" s="2409"/>
      <c r="F1" s="2411" t="s">
        <v>2114</v>
      </c>
      <c r="G1" s="2064" t="s">
        <v>2115</v>
      </c>
      <c r="H1" s="2412" t="str">
        <f>IF(G1="现房","——","估价对象范围")</f>
        <v>估价对象范围</v>
      </c>
      <c r="I1" s="2413" t="s">
        <v>3817</v>
      </c>
    </row>
    <row r="2" spans="1:12" ht="21.75" customHeight="1" thickBot="1">
      <c r="A2" s="3246" t="str">
        <f>项目基本情况!S2</f>
        <v>重庆市江北区观音桥组团I分区I29-3-1/02地块“隆鑫中心”综合项目出让国有建设用地使用权及在建建筑物房地产</v>
      </c>
      <c r="B2" s="3247"/>
      <c r="C2" s="3247"/>
      <c r="D2" s="3247"/>
      <c r="E2" s="3247"/>
      <c r="F2" s="3247"/>
      <c r="G2" s="3247"/>
      <c r="H2" s="3247"/>
      <c r="I2" s="3248"/>
    </row>
    <row r="3" spans="1:12" ht="12.75">
      <c r="A3" s="3250" t="s">
        <v>2116</v>
      </c>
      <c r="B3" s="3251"/>
      <c r="C3" s="3251"/>
      <c r="D3" s="3251"/>
      <c r="E3" s="3251"/>
      <c r="F3" s="3251"/>
      <c r="G3" s="3251"/>
      <c r="H3" s="3251"/>
      <c r="I3" s="3251"/>
    </row>
    <row r="4" spans="1:12" ht="14.25">
      <c r="A4" s="2416" t="s">
        <v>2117</v>
      </c>
      <c r="B4" s="2417" t="s">
        <v>2118</v>
      </c>
      <c r="C4" s="2418" t="s">
        <v>3805</v>
      </c>
      <c r="D4" s="2418" t="s">
        <v>3806</v>
      </c>
      <c r="E4" s="3230" t="s">
        <v>2119</v>
      </c>
      <c r="F4" s="3243"/>
      <c r="G4" s="3243"/>
      <c r="H4" s="3243"/>
      <c r="I4" s="3231"/>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假设开发法</v>
      </c>
    </row>
    <row r="5" spans="1:12" ht="12.75">
      <c r="A5" s="3221" t="s">
        <v>2120</v>
      </c>
      <c r="B5" s="3136">
        <v>25</v>
      </c>
      <c r="C5" s="3252"/>
      <c r="D5" s="3249"/>
      <c r="E5" s="140" t="s">
        <v>2121</v>
      </c>
      <c r="F5" s="2420"/>
      <c r="G5" s="2420"/>
      <c r="H5" s="2420"/>
      <c r="I5" s="1826"/>
    </row>
    <row r="6" spans="1:12" ht="12.75">
      <c r="A6" s="3221"/>
      <c r="B6" s="3136"/>
      <c r="C6" s="3254"/>
      <c r="D6" s="3249"/>
      <c r="E6" s="140" t="s">
        <v>2122</v>
      </c>
      <c r="F6" s="2420"/>
      <c r="G6" s="2420"/>
      <c r="H6" s="2420"/>
      <c r="I6" s="1826"/>
    </row>
    <row r="7" spans="1:12" ht="12.75">
      <c r="A7" s="3221"/>
      <c r="B7" s="3136"/>
      <c r="C7" s="3253"/>
      <c r="D7" s="3249"/>
      <c r="E7" s="140" t="s">
        <v>2123</v>
      </c>
      <c r="F7" s="2420"/>
      <c r="G7" s="2420"/>
      <c r="H7" s="2420"/>
      <c r="I7" s="1826"/>
    </row>
    <row r="8" spans="1:12" ht="12.75">
      <c r="A8" s="3221" t="s">
        <v>2124</v>
      </c>
      <c r="B8" s="3136">
        <v>15</v>
      </c>
      <c r="C8" s="3252"/>
      <c r="D8" s="3249"/>
      <c r="E8" s="140" t="s">
        <v>2125</v>
      </c>
      <c r="F8" s="2420"/>
      <c r="G8" s="2420"/>
      <c r="H8" s="2420"/>
      <c r="I8" s="1826"/>
    </row>
    <row r="9" spans="1:12" ht="12.75">
      <c r="A9" s="3221"/>
      <c r="B9" s="3136"/>
      <c r="C9" s="3253"/>
      <c r="D9" s="3249"/>
      <c r="E9" s="140" t="s">
        <v>2126</v>
      </c>
      <c r="F9" s="2420"/>
      <c r="G9" s="2420"/>
      <c r="H9" s="2420"/>
      <c r="I9" s="1826"/>
    </row>
    <row r="10" spans="1:12" ht="12.75">
      <c r="A10" s="3221" t="s">
        <v>2127</v>
      </c>
      <c r="B10" s="3136">
        <v>15</v>
      </c>
      <c r="C10" s="3252"/>
      <c r="D10" s="3249"/>
      <c r="E10" s="140" t="s">
        <v>2128</v>
      </c>
      <c r="F10" s="2420"/>
      <c r="G10" s="2420"/>
      <c r="H10" s="2420"/>
      <c r="I10" s="1826"/>
    </row>
    <row r="11" spans="1:12" ht="12.75">
      <c r="A11" s="3221"/>
      <c r="B11" s="3136"/>
      <c r="C11" s="3253"/>
      <c r="D11" s="3249"/>
      <c r="E11" s="140" t="s">
        <v>2129</v>
      </c>
      <c r="F11" s="2420"/>
      <c r="G11" s="2420"/>
      <c r="H11" s="2420"/>
      <c r="I11" s="1826"/>
    </row>
    <row r="12" spans="1:12" ht="12.75">
      <c r="A12" s="3221" t="s">
        <v>2130</v>
      </c>
      <c r="B12" s="3136">
        <v>15</v>
      </c>
      <c r="C12" s="3252"/>
      <c r="D12" s="3249"/>
      <c r="E12" s="140" t="s">
        <v>2131</v>
      </c>
      <c r="F12" s="2420"/>
      <c r="G12" s="2420"/>
      <c r="H12" s="2420"/>
      <c r="I12" s="1826"/>
    </row>
    <row r="13" spans="1:12" ht="12.75">
      <c r="A13" s="3221"/>
      <c r="B13" s="3136"/>
      <c r="C13" s="3253"/>
      <c r="D13" s="3249"/>
      <c r="E13" s="140" t="s">
        <v>2132</v>
      </c>
      <c r="F13" s="2420"/>
      <c r="G13" s="2420"/>
      <c r="H13" s="2420"/>
      <c r="I13" s="1826"/>
    </row>
    <row r="14" spans="1:12" ht="12.75">
      <c r="A14" s="3221" t="s">
        <v>2133</v>
      </c>
      <c r="B14" s="3136">
        <v>30</v>
      </c>
      <c r="C14" s="3265">
        <v>3</v>
      </c>
      <c r="D14" s="3239">
        <v>7</v>
      </c>
      <c r="E14" s="140" t="s">
        <v>2134</v>
      </c>
      <c r="F14" s="2420"/>
      <c r="G14" s="2420"/>
      <c r="H14" s="2420"/>
      <c r="I14" s="1826"/>
    </row>
    <row r="15" spans="1:12" ht="12.75">
      <c r="A15" s="3221"/>
      <c r="B15" s="3136"/>
      <c r="C15" s="3266"/>
      <c r="D15" s="3239"/>
      <c r="E15" s="140" t="s">
        <v>2135</v>
      </c>
      <c r="F15" s="2420"/>
      <c r="G15" s="2420"/>
      <c r="H15" s="2420"/>
      <c r="I15" s="1826"/>
    </row>
    <row r="16" spans="1:12" ht="12.75">
      <c r="A16" s="3221"/>
      <c r="B16" s="3136"/>
      <c r="C16" s="3267"/>
      <c r="D16" s="3239"/>
      <c r="E16" s="140" t="s">
        <v>2136</v>
      </c>
      <c r="F16" s="2420"/>
      <c r="G16" s="2420"/>
      <c r="H16" s="2420"/>
      <c r="I16" s="1826"/>
    </row>
    <row r="17" spans="1:35" ht="15">
      <c r="A17" s="2421" t="s">
        <v>2137</v>
      </c>
      <c r="B17" s="64"/>
      <c r="C17" s="141">
        <f>SUM(C5:C16)</f>
        <v>3</v>
      </c>
      <c r="D17" s="141">
        <f>SUM(D5:D16)</f>
        <v>7</v>
      </c>
      <c r="E17" s="138"/>
      <c r="F17" s="138"/>
      <c r="G17" s="138"/>
      <c r="H17" s="138"/>
      <c r="I17" s="138"/>
      <c r="K17" s="2419"/>
      <c r="L17" s="2422" t="s">
        <v>2138</v>
      </c>
      <c r="M17" s="2422" t="s">
        <v>2139</v>
      </c>
    </row>
    <row r="18" spans="1:35" ht="15.75" thickBot="1">
      <c r="A18" s="2423" t="s">
        <v>2140</v>
      </c>
      <c r="B18" s="2424"/>
      <c r="C18" s="142">
        <f>ROUND(C17/SUM(C17:D17),2)</f>
        <v>0.3</v>
      </c>
      <c r="D18" s="142">
        <f>1-C18</f>
        <v>0.7</v>
      </c>
      <c r="E18" s="138"/>
      <c r="F18" s="138"/>
      <c r="G18" s="138"/>
      <c r="H18" s="138"/>
      <c r="I18" s="138"/>
      <c r="K18" s="2419" t="s">
        <v>2141</v>
      </c>
      <c r="L18" s="2419">
        <f>IF(C1="",'数据-汇总表'!E3,SUMIF(项目类型,C1,'数据-汇总表'!E17:E26)+SUMIF(项目类型,C1,'数据-汇总表'!I17:I26))</f>
        <v>378144.48</v>
      </c>
      <c r="M18" s="2419">
        <f>IF(C1="",'数据-汇总表'!E3,SUMIF(项目类型,C1,'数据-汇总表'!E17:E26))</f>
        <v>378144.48</v>
      </c>
    </row>
    <row r="19" spans="1:35" ht="15">
      <c r="A19" s="2425" t="s">
        <v>2142</v>
      </c>
      <c r="B19" s="2426" t="s">
        <v>2143</v>
      </c>
      <c r="C19" s="143">
        <f ca="1">SUMIF(INDIRECT("'"&amp;C4&amp;"'"&amp;"!A:A"),结果表!B19,INDIRECT("'"&amp;C4&amp;"'"&amp;"!B:B"))</f>
        <v>387621</v>
      </c>
      <c r="D19" s="144">
        <f ca="1">SUMIF(INDIRECT("'"&amp;D4&amp;"'"&amp;"!A:A"),结果表!B19,INDIRECT("'"&amp;D4&amp;"'"&amp;"!B:B"))</f>
        <v>475352</v>
      </c>
      <c r="E19" s="2425" t="s">
        <v>2144</v>
      </c>
      <c r="F19" s="2426" t="s">
        <v>2143</v>
      </c>
      <c r="G19" s="145">
        <f ca="1">ROUND(C19*$C$18+D19*$D$18,0)</f>
        <v>449033</v>
      </c>
      <c r="H19" s="2427" t="s">
        <v>2145</v>
      </c>
      <c r="I19" s="138"/>
      <c r="K19" s="2419" t="s">
        <v>2146</v>
      </c>
      <c r="L19" s="2419">
        <f>IF(C1="",'数据-汇总表'!D3,SUMIF(项目类型,C1,'数据-汇总表'!D17:D26)+SUMIF(项目类型,C1,'数据-汇总表'!H17:H27))</f>
        <v>25136</v>
      </c>
      <c r="M19" s="2419">
        <f>IF(C1="",'数据-汇总表'!D3,SUMIF(项目类型,C1,'数据-汇总表'!D17:D26))</f>
        <v>25136</v>
      </c>
    </row>
    <row r="20" spans="1:35" ht="15">
      <c r="A20" s="2428"/>
      <c r="B20" s="1243" t="s">
        <v>2147</v>
      </c>
      <c r="C20" s="146">
        <f ca="1">SUMIF(INDIRECT("'"&amp;C4&amp;"'"&amp;"!A:A"),结果表!B20,INDIRECT("'"&amp;C4&amp;"'"&amp;"!B:B"))</f>
        <v>10251</v>
      </c>
      <c r="D20" s="147">
        <f ca="1">SUMIF(INDIRECT("'"&amp;D4&amp;"'"&amp;"!A:A"),结果表!B20,INDIRECT("'"&amp;D4&amp;"'"&amp;"!B:B"))</f>
        <v>12571</v>
      </c>
      <c r="E20" s="2428"/>
      <c r="F20" s="1243" t="s">
        <v>2147</v>
      </c>
      <c r="G20" s="148">
        <f ca="1">ROUND(C20*$C$18+D20*$D$18,0)</f>
        <v>11875</v>
      </c>
      <c r="H20" s="976" t="s">
        <v>2148</v>
      </c>
      <c r="I20" s="138"/>
    </row>
    <row r="21" spans="1:35" ht="15" customHeight="1" thickBot="1">
      <c r="A21" s="996"/>
      <c r="B21" s="2429" t="s">
        <v>2149</v>
      </c>
      <c r="C21" s="787">
        <f ca="1">ROUND(C19*10000/L19,0)</f>
        <v>154210</v>
      </c>
      <c r="D21" s="788">
        <f ca="1">ROUND(D19*10000/L19,0)</f>
        <v>189112</v>
      </c>
      <c r="E21" s="996"/>
      <c r="F21" s="2429" t="s">
        <v>2149</v>
      </c>
      <c r="G21" s="149">
        <f ca="1">ROUND(G19*10000/L19,0)</f>
        <v>178641</v>
      </c>
      <c r="H21" s="2430" t="s">
        <v>2148</v>
      </c>
      <c r="I21" s="138"/>
    </row>
    <row r="22" spans="1:35" ht="15" thickBot="1">
      <c r="A22" s="2272" t="s">
        <v>2150</v>
      </c>
      <c r="B22" s="2431"/>
      <c r="C22" s="2432"/>
      <c r="D22" s="789">
        <f ca="1">IF(C19&lt;D19,D19/C19-1,C19/D19-1)</f>
        <v>0.22633190668204262</v>
      </c>
      <c r="E22" s="138"/>
      <c r="F22" s="3007"/>
      <c r="G22" s="138"/>
      <c r="H22" s="138"/>
      <c r="I22" s="138"/>
    </row>
    <row r="23" spans="1:35" ht="13.5" thickBot="1">
      <c r="A23" s="2409"/>
      <c r="B23" s="2409"/>
      <c r="C23" s="2409"/>
      <c r="D23" s="2409"/>
      <c r="E23" s="138"/>
      <c r="F23" s="3017" t="s">
        <v>3861</v>
      </c>
      <c r="G23" s="3017">
        <v>459685</v>
      </c>
      <c r="H23" s="3018" t="s">
        <v>3862</v>
      </c>
      <c r="I23" s="138"/>
    </row>
    <row r="24" spans="1:35" ht="14.25">
      <c r="A24" s="3261" t="s">
        <v>2151</v>
      </c>
      <c r="B24" s="2426" t="s">
        <v>2143</v>
      </c>
      <c r="C24" s="145">
        <f>IF(B30=0,0,D30)</f>
        <v>0</v>
      </c>
      <c r="D24" s="2433"/>
      <c r="E24" s="138"/>
      <c r="F24" s="138"/>
      <c r="G24" s="138"/>
      <c r="H24" s="138"/>
      <c r="I24" s="138"/>
    </row>
    <row r="25" spans="1:35" ht="14.25">
      <c r="A25" s="3262"/>
      <c r="B25" s="1243" t="s">
        <v>2147</v>
      </c>
      <c r="C25" s="150">
        <f>IF(B30=0,0,C30)</f>
        <v>0</v>
      </c>
      <c r="D25" s="2434"/>
      <c r="E25" s="138"/>
      <c r="F25" s="138"/>
      <c r="G25" s="138"/>
      <c r="H25" s="138"/>
      <c r="I25" s="138"/>
    </row>
    <row r="26" spans="1:35" ht="13.5" customHeight="1">
      <c r="A26" s="2435" t="s">
        <v>2152</v>
      </c>
      <c r="B26" s="151" t="s">
        <v>2153</v>
      </c>
      <c r="C26" s="151" t="s">
        <v>2154</v>
      </c>
      <c r="D26" s="152" t="s">
        <v>2155</v>
      </c>
      <c r="E26" s="138"/>
      <c r="F26" s="138"/>
      <c r="G26" s="3036">
        <f ca="1">(G23-G19)/G23</f>
        <v>2.3172389788659625E-2</v>
      </c>
      <c r="H26" s="138"/>
      <c r="I26" s="138"/>
    </row>
    <row r="27" spans="1:35" ht="14.25">
      <c r="A27" s="2435"/>
      <c r="B27" s="151">
        <v>0</v>
      </c>
      <c r="C27" s="151">
        <v>0</v>
      </c>
      <c r="D27" s="152">
        <f>ROUND(C27*B27/10000,0)</f>
        <v>0</v>
      </c>
      <c r="E27" s="138"/>
      <c r="F27" s="138"/>
      <c r="G27" s="138"/>
      <c r="H27" s="138"/>
      <c r="I27" s="138"/>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1" t="s">
        <v>2156</v>
      </c>
      <c r="B30" s="151"/>
      <c r="C30" s="151"/>
      <c r="D30" s="151"/>
      <c r="E30" s="2906" t="s">
        <v>3028</v>
      </c>
      <c r="F30" s="138"/>
      <c r="G30" s="138"/>
      <c r="H30" s="138"/>
      <c r="I30" s="138"/>
    </row>
    <row r="31" spans="1:35" s="2437" customFormat="1" ht="15" thickBot="1">
      <c r="A31" s="2436"/>
      <c r="B31" s="2436"/>
      <c r="C31" s="2436"/>
      <c r="D31" s="2436"/>
      <c r="E31" s="138"/>
      <c r="F31" s="138"/>
      <c r="G31" s="138"/>
      <c r="H31" s="138"/>
      <c r="I31" s="138"/>
      <c r="J31" s="793"/>
      <c r="K31" s="793"/>
      <c r="L31" s="793"/>
      <c r="M31" s="793"/>
      <c r="N31" s="793"/>
      <c r="O31" s="793"/>
      <c r="P31" s="793"/>
      <c r="Q31" s="793"/>
      <c r="R31" s="793"/>
      <c r="S31" s="793"/>
      <c r="T31" s="793"/>
      <c r="U31" s="793"/>
      <c r="V31" s="793"/>
      <c r="W31" s="793"/>
      <c r="X31" s="793"/>
      <c r="Y31" s="793"/>
      <c r="Z31" s="793"/>
      <c r="AA31" s="2414"/>
      <c r="AB31" s="2414"/>
      <c r="AC31" s="2414"/>
      <c r="AD31" s="2414"/>
      <c r="AE31" s="2414"/>
      <c r="AF31" s="2414"/>
      <c r="AG31" s="2414"/>
      <c r="AH31" s="2414"/>
      <c r="AI31" s="2414"/>
    </row>
    <row r="32" spans="1:35" ht="15.75" thickBot="1">
      <c r="A32" s="2438" t="s">
        <v>2157</v>
      </c>
      <c r="B32" s="2439"/>
      <c r="C32" s="153">
        <f ca="1">IF(D32="总价",G19-C24,G20-C25)</f>
        <v>449033</v>
      </c>
      <c r="D32" s="2440" t="s">
        <v>2158</v>
      </c>
      <c r="E32" s="138"/>
      <c r="F32" s="138"/>
      <c r="G32" s="138"/>
      <c r="H32" s="138"/>
      <c r="I32" s="138"/>
    </row>
    <row r="33" spans="1:15" ht="15">
      <c r="A33" s="953" t="s">
        <v>2159</v>
      </c>
      <c r="B33" s="2441"/>
      <c r="C33" s="2442" t="s">
        <v>3818</v>
      </c>
      <c r="D33" s="2443" t="s">
        <v>3805</v>
      </c>
      <c r="E33" s="2444" t="s">
        <v>2160</v>
      </c>
      <c r="F33" s="2445" t="str">
        <f>IF(D32="楼面单价","取值（单价）","取值（总价）")</f>
        <v>取值（总价）</v>
      </c>
      <c r="G33" s="138"/>
      <c r="H33" s="138"/>
      <c r="I33" s="138"/>
    </row>
    <row r="34" spans="1:15" ht="15">
      <c r="A34" s="2446"/>
      <c r="B34" s="2447" t="s">
        <v>2161</v>
      </c>
      <c r="C34" s="157">
        <f ca="1">IF(C33="自定义",F34,C32-C35)</f>
        <v>347552</v>
      </c>
      <c r="D34" s="1051">
        <f ca="1">IF(C33="自定义",ROUND(C34/C32,3),IF(C33="收益比率",SUMIF(INDIRECT("'"&amp;D33&amp;"'"&amp;"!b:b"),"土地收益比率",INDIRECT("'"&amp;D33&amp;"'"&amp;"!c:c")),SUMIF(INDIRECT("'"&amp;D33&amp;"'"&amp;"!b:b"),"土地成本比率",INDIRECT("'"&amp;D33&amp;"'"&amp;"!c:c"))))</f>
        <v>0.77400000000000002</v>
      </c>
      <c r="E34" s="2448" t="s">
        <v>2162</v>
      </c>
      <c r="F34" s="1731"/>
      <c r="G34" s="138"/>
      <c r="H34" s="138"/>
      <c r="I34" s="138"/>
    </row>
    <row r="35" spans="1:15" ht="15.75" thickBot="1">
      <c r="A35" s="2449"/>
      <c r="B35" s="2450" t="s">
        <v>2163</v>
      </c>
      <c r="C35" s="1437">
        <f ca="1">IF(C33="自定义",F35,ROUND(C32*D35,0))</f>
        <v>101481</v>
      </c>
      <c r="D35" s="1438">
        <f ca="1">IF(C33="自定义",ROUND(C35/C32,3),IF(C33="收益比率",SUMIF(INDIRECT("'"&amp;D33&amp;"'"&amp;"!b:b"),"建筑物收益比率",INDIRECT("'"&amp;D33&amp;"'"&amp;"!c:c")),SUMIF(INDIRECT("'"&amp;D33&amp;"'"&amp;"!b:b"),"建筑物成本比率",INDIRECT("'"&amp;D33&amp;"'"&amp;"!c:c"))))</f>
        <v>0.22600000000000001</v>
      </c>
      <c r="E35" s="2451" t="s">
        <v>2164</v>
      </c>
      <c r="F35" s="163"/>
      <c r="G35" s="138"/>
      <c r="H35" s="138"/>
      <c r="I35" s="138"/>
    </row>
    <row r="36" spans="1:15" ht="15.75" thickBot="1">
      <c r="A36" s="3240" t="s">
        <v>2165</v>
      </c>
      <c r="B36" s="2452" t="s">
        <v>2166</v>
      </c>
      <c r="C36" s="154"/>
      <c r="D36" s="2453" t="s">
        <v>3819</v>
      </c>
      <c r="E36" s="2454"/>
      <c r="F36" s="2455"/>
      <c r="G36" s="138"/>
      <c r="H36" s="138"/>
      <c r="I36" s="138"/>
    </row>
    <row r="37" spans="1:15" ht="15.75" thickBot="1">
      <c r="A37" s="3241"/>
      <c r="B37" s="2258" t="s">
        <v>2167</v>
      </c>
      <c r="C37" s="156">
        <v>12038.7</v>
      </c>
      <c r="D37" s="1388"/>
      <c r="E37" s="1388"/>
      <c r="F37" s="2455"/>
      <c r="G37" s="138"/>
      <c r="H37" s="138"/>
      <c r="I37" s="138"/>
    </row>
    <row r="38" spans="1:15" ht="15.75" thickBot="1">
      <c r="A38" s="3242"/>
      <c r="B38" s="2456" t="s">
        <v>2168</v>
      </c>
      <c r="C38" s="725">
        <f>E40+E41</f>
        <v>6806</v>
      </c>
      <c r="D38" s="2457" t="s">
        <v>2169</v>
      </c>
      <c r="E38" s="1388"/>
      <c r="F38" s="2455"/>
      <c r="G38" s="138"/>
      <c r="H38" s="138"/>
      <c r="I38" s="138"/>
    </row>
    <row r="39" spans="1:15" ht="15">
      <c r="A39" s="2428" t="s">
        <v>2170</v>
      </c>
      <c r="B39" s="2458" t="s">
        <v>2171</v>
      </c>
      <c r="C39" s="2459" t="s">
        <v>2172</v>
      </c>
      <c r="D39" s="2459" t="s">
        <v>2173</v>
      </c>
      <c r="E39" s="2460" t="s">
        <v>2174</v>
      </c>
      <c r="F39" s="2455"/>
      <c r="G39" s="138"/>
      <c r="H39" s="138"/>
      <c r="I39" s="138"/>
    </row>
    <row r="40" spans="1:15" ht="14.25">
      <c r="A40" s="2461" t="s">
        <v>2175</v>
      </c>
      <c r="B40" s="158">
        <f>'土地比较法-商业'!E57</f>
        <v>17319.87</v>
      </c>
      <c r="C40" s="159">
        <f>'土地比较法-商业 (2017)'!B57</f>
        <v>6081</v>
      </c>
      <c r="D40" s="3003">
        <f>'数据-取费表'!B48+'数据-取费表'!B49</f>
        <v>3.0499999999999999E-2</v>
      </c>
      <c r="E40" s="160">
        <f>ROUND(B40*C40*0.4/10000*(1+D40),0)</f>
        <v>4341</v>
      </c>
      <c r="F40" s="2455"/>
      <c r="G40" s="138"/>
      <c r="H40" s="138"/>
      <c r="I40" s="138"/>
    </row>
    <row r="41" spans="1:15" ht="14.25">
      <c r="A41" s="2461" t="s">
        <v>2176</v>
      </c>
      <c r="B41" s="158">
        <f>'土地比较法-商业'!E58</f>
        <v>15298.45</v>
      </c>
      <c r="C41" s="159">
        <f>'土地比较法-商业 (2017)'!B58</f>
        <v>3909</v>
      </c>
      <c r="D41" s="3003">
        <f>D40</f>
        <v>3.0499999999999999E-2</v>
      </c>
      <c r="E41" s="160">
        <f>ROUND(B41*C41*0.4/10000*(1+D41),0)</f>
        <v>2465</v>
      </c>
      <c r="F41" s="2455"/>
      <c r="G41" s="138"/>
      <c r="H41" s="138"/>
      <c r="I41" s="138"/>
    </row>
    <row r="42" spans="1:15" ht="15" thickBot="1">
      <c r="A42" s="2462"/>
      <c r="B42" s="161"/>
      <c r="C42" s="162"/>
      <c r="D42" s="162"/>
      <c r="E42" s="163"/>
      <c r="F42" s="2455"/>
      <c r="G42" s="138"/>
      <c r="H42" s="138"/>
      <c r="I42" s="138"/>
    </row>
    <row r="43" spans="1:15" ht="12.75">
      <c r="A43" s="2157"/>
      <c r="B43" s="2157"/>
      <c r="C43" s="2157"/>
      <c r="D43" s="2157"/>
      <c r="E43" s="2157"/>
      <c r="F43" s="2463"/>
      <c r="G43" s="2463"/>
      <c r="H43" s="2463"/>
      <c r="I43" s="2464"/>
    </row>
    <row r="44" spans="1:15" ht="18.75">
      <c r="A44" s="2465" t="s">
        <v>2177</v>
      </c>
      <c r="B44" s="2466"/>
      <c r="C44" s="2466"/>
      <c r="D44" s="2467"/>
      <c r="E44" s="2467"/>
      <c r="F44" s="2468"/>
      <c r="G44" s="2468"/>
      <c r="H44" s="2468"/>
      <c r="I44" s="2468"/>
      <c r="J44" s="2469" t="s">
        <v>2178</v>
      </c>
      <c r="K44" s="2470"/>
      <c r="L44" s="2470"/>
      <c r="M44" s="2470"/>
      <c r="N44" s="2470"/>
      <c r="O44" s="2470"/>
    </row>
    <row r="45" spans="1:15" ht="14.25" customHeight="1" thickBot="1">
      <c r="A45" s="3258" t="s">
        <v>2179</v>
      </c>
      <c r="B45" s="3259"/>
      <c r="C45" s="3260"/>
      <c r="D45" s="164">
        <f ca="1">ROUND(H101*F45,0)</f>
        <v>449033</v>
      </c>
      <c r="E45" s="165" t="s">
        <v>2180</v>
      </c>
      <c r="F45" s="166">
        <v>1</v>
      </c>
      <c r="G45" s="167" t="s">
        <v>2181</v>
      </c>
      <c r="H45" s="138"/>
      <c r="I45" s="138"/>
      <c r="J45" s="3176" t="s">
        <v>2182</v>
      </c>
      <c r="K45" s="3176"/>
      <c r="L45" s="3176"/>
      <c r="M45" s="3176"/>
      <c r="N45" s="3176"/>
      <c r="O45" s="3176"/>
    </row>
    <row r="46" spans="1:15" ht="14.25" customHeight="1">
      <c r="A46" s="3255" t="s">
        <v>2183</v>
      </c>
      <c r="B46" s="3256"/>
      <c r="C46" s="3256"/>
      <c r="D46" s="3256"/>
      <c r="E46" s="3256"/>
      <c r="F46" s="3256"/>
      <c r="G46" s="3257"/>
      <c r="H46" s="2471"/>
      <c r="I46" s="168"/>
      <c r="J46" s="1804">
        <v>1</v>
      </c>
      <c r="K46" s="3176" t="s">
        <v>2184</v>
      </c>
      <c r="L46" s="3176"/>
      <c r="M46" s="3177"/>
      <c r="N46" s="3177"/>
      <c r="O46" s="3177"/>
    </row>
    <row r="47" spans="1:15" ht="12" customHeight="1">
      <c r="A47" s="169" t="s">
        <v>2185</v>
      </c>
      <c r="B47" s="170"/>
      <c r="C47" s="171"/>
      <c r="D47" s="172" t="s">
        <v>2186</v>
      </c>
      <c r="E47" s="24" t="s">
        <v>2187</v>
      </c>
      <c r="F47" s="173" t="s">
        <v>2188</v>
      </c>
      <c r="G47" s="174" t="s">
        <v>2189</v>
      </c>
      <c r="H47" s="2471"/>
      <c r="I47" s="168"/>
      <c r="J47" s="1804">
        <v>2</v>
      </c>
      <c r="K47" s="3176" t="s">
        <v>2190</v>
      </c>
      <c r="L47" s="3176"/>
      <c r="M47" s="3178">
        <f>'数据-取费表'!B2</f>
        <v>43796</v>
      </c>
      <c r="N47" s="3178"/>
      <c r="O47" s="3178"/>
    </row>
    <row r="48" spans="1:15" ht="25.5">
      <c r="A48" s="3244" t="s">
        <v>2191</v>
      </c>
      <c r="B48" s="3245"/>
      <c r="C48" s="3245"/>
      <c r="D48" s="140">
        <f>IF(H48="情况1",0,IF(H48="情况2",D52,IF(H48="情况3",D53,IF(H48="情况4",D54))))</f>
        <v>0</v>
      </c>
      <c r="E48" s="1793" t="str">
        <f>IF(H48="情况4","(销售额-原购置价)×税（费）率","销售额×税（费）率")</f>
        <v>销售额×税（费）率</v>
      </c>
      <c r="F48" s="175" t="str">
        <f>IF(H48="情况1","免征",'数据-取费表'!B41)</f>
        <v>免征</v>
      </c>
      <c r="G48" s="2472" t="s">
        <v>2192</v>
      </c>
      <c r="H48" s="2473" t="s">
        <v>2193</v>
      </c>
      <c r="I48" s="2471"/>
      <c r="J48" s="1804">
        <v>3</v>
      </c>
      <c r="K48" s="3176" t="s">
        <v>2194</v>
      </c>
      <c r="L48" s="3176"/>
      <c r="M48" s="3179">
        <f ca="1">H101</f>
        <v>449033</v>
      </c>
      <c r="N48" s="3179"/>
      <c r="O48" s="3179"/>
    </row>
    <row r="49" spans="1:35" ht="25.5" customHeight="1">
      <c r="A49" s="176" t="s">
        <v>2195</v>
      </c>
      <c r="B49" s="3224" t="s">
        <v>2196</v>
      </c>
      <c r="C49" s="3224"/>
      <c r="D49" s="177">
        <v>0</v>
      </c>
      <c r="E49" s="23" t="s">
        <v>2197</v>
      </c>
      <c r="F49" s="28" t="s">
        <v>34</v>
      </c>
      <c r="G49" s="3205"/>
      <c r="H49" s="138"/>
      <c r="I49" s="2474"/>
      <c r="J49" s="1804">
        <v>4</v>
      </c>
      <c r="K49" s="3176" t="str">
        <f>IF(项目基本情况!E8="房地产抵押价值","房地产抵押价值","抵押担保权已注销时的房地产抵押价值")</f>
        <v>房地产抵押价值</v>
      </c>
      <c r="L49" s="3176"/>
      <c r="M49" s="3179">
        <f ca="1">IF(项目基本情况!E8="房地产抵押价值",H107,H109)</f>
        <v>430188.3</v>
      </c>
      <c r="N49" s="3179"/>
      <c r="O49" s="3179"/>
    </row>
    <row r="50" spans="1:35" ht="25.5" customHeight="1">
      <c r="A50" s="178"/>
      <c r="B50" s="3224" t="s">
        <v>2198</v>
      </c>
      <c r="C50" s="3224"/>
      <c r="D50" s="179"/>
      <c r="E50" s="31"/>
      <c r="F50" s="180"/>
      <c r="G50" s="3206"/>
      <c r="H50" s="138"/>
      <c r="I50" s="2474"/>
      <c r="J50" s="3176" t="s">
        <v>2199</v>
      </c>
      <c r="K50" s="3176"/>
      <c r="L50" s="3176"/>
      <c r="M50" s="3176"/>
      <c r="N50" s="3176"/>
      <c r="O50" s="3176"/>
    </row>
    <row r="51" spans="1:35" ht="12" customHeight="1">
      <c r="A51" s="181"/>
      <c r="B51" s="3224" t="s">
        <v>2200</v>
      </c>
      <c r="C51" s="3224"/>
      <c r="D51" s="182"/>
      <c r="E51" s="30"/>
      <c r="F51" s="180"/>
      <c r="G51" s="3207"/>
      <c r="H51" s="138"/>
      <c r="I51" s="2474"/>
      <c r="J51" s="2475" t="s">
        <v>2201</v>
      </c>
      <c r="K51" s="3176" t="s">
        <v>2202</v>
      </c>
      <c r="L51" s="3176"/>
      <c r="M51" s="2475" t="s">
        <v>2203</v>
      </c>
      <c r="N51" s="2475" t="s">
        <v>2204</v>
      </c>
      <c r="O51" s="2475" t="s">
        <v>2205</v>
      </c>
    </row>
    <row r="52" spans="1:35" ht="24" customHeight="1">
      <c r="A52" s="183" t="s">
        <v>2206</v>
      </c>
      <c r="B52" s="3224" t="s">
        <v>2207</v>
      </c>
      <c r="C52" s="3224"/>
      <c r="D52" s="182">
        <f ca="1">ROUND(D45*'数据-取费表'!B41/(1+'数据-取费表'!C42),0)</f>
        <v>23948</v>
      </c>
      <c r="E52" s="11" t="s">
        <v>2208</v>
      </c>
      <c r="F52" s="184">
        <f>'数据-取费表'!B41</f>
        <v>5.6000000000000001E-2</v>
      </c>
      <c r="G52" s="2476"/>
      <c r="H52" s="138"/>
      <c r="I52" s="2474"/>
      <c r="J52" s="1804">
        <v>1</v>
      </c>
      <c r="K52" s="3199" t="s">
        <v>2209</v>
      </c>
      <c r="L52" s="3199"/>
      <c r="M52" s="1746">
        <f>D48</f>
        <v>0</v>
      </c>
      <c r="N52" s="1804" t="str">
        <f>E48</f>
        <v>销售额×税（费）率</v>
      </c>
      <c r="O52" s="1747" t="str">
        <f>F48</f>
        <v>免征</v>
      </c>
    </row>
    <row r="53" spans="1:35" ht="12" customHeight="1">
      <c r="A53" s="183" t="s">
        <v>2210</v>
      </c>
      <c r="B53" s="3225" t="s">
        <v>2211</v>
      </c>
      <c r="C53" s="3226"/>
      <c r="D53" s="182">
        <f ca="1">ROUND(D45*'数据-取费表'!B41/(1+'数据-取费表'!C42),0)</f>
        <v>23948</v>
      </c>
      <c r="E53" s="11" t="s">
        <v>2208</v>
      </c>
      <c r="F53" s="184">
        <f>'数据-取费表'!B41</f>
        <v>5.6000000000000001E-2</v>
      </c>
      <c r="G53" s="2476"/>
      <c r="H53" s="138"/>
      <c r="I53" s="2474"/>
      <c r="J53" s="1804">
        <v>2</v>
      </c>
      <c r="K53" s="3199" t="s">
        <v>2212</v>
      </c>
      <c r="L53" s="3199"/>
      <c r="M53" s="1746">
        <f t="shared" ref="M53:O54" ca="1" si="0">D55</f>
        <v>225</v>
      </c>
      <c r="N53" s="1804" t="str">
        <f t="shared" si="0"/>
        <v>销售额×税（费）率</v>
      </c>
      <c r="O53" s="1747">
        <f t="shared" si="0"/>
        <v>5.0000000000000001E-4</v>
      </c>
    </row>
    <row r="54" spans="1:35" ht="12" customHeight="1">
      <c r="A54" s="183" t="s">
        <v>2213</v>
      </c>
      <c r="B54" s="3225" t="s">
        <v>2214</v>
      </c>
      <c r="C54" s="3226"/>
      <c r="D54" s="182">
        <f ca="1">C68</f>
        <v>23948</v>
      </c>
      <c r="E54" s="30" t="s">
        <v>2215</v>
      </c>
      <c r="F54" s="184">
        <f>'数据-取费表'!B41</f>
        <v>5.6000000000000001E-2</v>
      </c>
      <c r="G54" s="2476"/>
      <c r="H54" s="2477"/>
      <c r="I54" s="2474"/>
      <c r="J54" s="1804">
        <v>3</v>
      </c>
      <c r="K54" s="3199" t="s">
        <v>2216</v>
      </c>
      <c r="L54" s="3199"/>
      <c r="M54" s="1746">
        <f t="shared" ca="1" si="0"/>
        <v>254152</v>
      </c>
      <c r="N54" s="1804" t="str">
        <f t="shared" si="0"/>
        <v>增值额×税（费）率</v>
      </c>
      <c r="O54" s="1748" t="str">
        <f t="shared" si="0"/>
        <v>——</v>
      </c>
    </row>
    <row r="55" spans="1:35" ht="24" customHeight="1">
      <c r="A55" s="3264" t="s">
        <v>2217</v>
      </c>
      <c r="B55" s="3245"/>
      <c r="C55" s="3245"/>
      <c r="D55" s="185">
        <f ca="1">IF(H55="个人住宅",0,ROUND(D45*I55,0))</f>
        <v>225</v>
      </c>
      <c r="E55" s="11" t="s">
        <v>2218</v>
      </c>
      <c r="F55" s="184">
        <f>IF(H55="正常",I55,"免征")</f>
        <v>5.0000000000000001E-4</v>
      </c>
      <c r="G55" s="2476"/>
      <c r="H55" s="2473" t="s">
        <v>2219</v>
      </c>
      <c r="I55" s="186">
        <f>'数据-取费表'!B49</f>
        <v>5.0000000000000001E-4</v>
      </c>
      <c r="J55" s="1804" t="str">
        <f>IF(H59="非个人房产","",4)</f>
        <v/>
      </c>
      <c r="K55" s="3199" t="str">
        <f>IF(H59="非个人房产","——","个人所得税")</f>
        <v>——</v>
      </c>
      <c r="L55" s="3199"/>
      <c r="M55" s="1749" t="str">
        <f>D59</f>
        <v>——</v>
      </c>
      <c r="N55" s="1802" t="str">
        <f>E59</f>
        <v>——</v>
      </c>
      <c r="O55" s="1750" t="str">
        <f>F59</f>
        <v>——</v>
      </c>
    </row>
    <row r="56" spans="1:35" ht="24.75">
      <c r="A56" s="3264" t="s">
        <v>2220</v>
      </c>
      <c r="B56" s="3245"/>
      <c r="C56" s="3245"/>
      <c r="D56" s="185">
        <f ca="1">IF(H56="个人住宅",D57,D58)</f>
        <v>254152</v>
      </c>
      <c r="E56" s="11" t="s">
        <v>2221</v>
      </c>
      <c r="F56" s="184" t="str">
        <f>IF(H56="正常",F58,"免征")</f>
        <v>——</v>
      </c>
      <c r="G56" s="2478" t="s">
        <v>2222</v>
      </c>
      <c r="H56" s="2479" t="s">
        <v>2219</v>
      </c>
      <c r="I56" s="2480"/>
      <c r="J56" s="1804" t="str">
        <f>IF(项目基本情况!K6="上海银行",IF(J55="",4,J55+1),"")</f>
        <v/>
      </c>
      <c r="K56" s="3182" t="str">
        <f>IF(项目基本情况!K6="上海银行","其他处置费用","")</f>
        <v/>
      </c>
      <c r="L56" s="3183"/>
      <c r="M56" s="1746" t="str">
        <f>IF(项目基本情况!K6="上海银行",M69,"")</f>
        <v/>
      </c>
      <c r="N56" s="3185" t="str">
        <f>IF(项目基本情况!K6="上海银行","包含处置中涉及的律师、诉讼、拍卖、评估等费用","")</f>
        <v/>
      </c>
      <c r="O56" s="3186"/>
    </row>
    <row r="57" spans="1:35" ht="12.75">
      <c r="A57" s="183" t="s">
        <v>2195</v>
      </c>
      <c r="B57" s="3230" t="s">
        <v>2223</v>
      </c>
      <c r="C57" s="3231"/>
      <c r="D57" s="187">
        <v>0</v>
      </c>
      <c r="E57" s="23" t="s">
        <v>2197</v>
      </c>
      <c r="F57" s="155"/>
      <c r="G57" s="2476"/>
      <c r="H57" s="2480"/>
      <c r="I57" s="2480"/>
      <c r="J57" s="3199">
        <f>IF(AND(J55="",J56=""),4,IF(项目基本情况!K6="上海银行",结果表!J56+1,结果表!J55+1))</f>
        <v>4</v>
      </c>
      <c r="K57" s="3199" t="s">
        <v>2224</v>
      </c>
      <c r="L57" s="2481" t="s">
        <v>2225</v>
      </c>
      <c r="M57" s="1751"/>
      <c r="N57" s="1752">
        <f ca="1">SUMIF(M52:M56,"&lt;9e307")</f>
        <v>254377</v>
      </c>
      <c r="O57" s="2482"/>
      <c r="P57" s="1745">
        <f ca="1">N57/M49</f>
        <v>0.59131547743162705</v>
      </c>
    </row>
    <row r="58" spans="1:35" ht="24.75">
      <c r="A58" s="183" t="s">
        <v>2206</v>
      </c>
      <c r="B58" s="3230" t="s">
        <v>2226</v>
      </c>
      <c r="C58" s="3243"/>
      <c r="D58" s="185">
        <f ca="1">IF(H58="转让取得",C81,C97)</f>
        <v>254152</v>
      </c>
      <c r="E58" s="11" t="s">
        <v>2221</v>
      </c>
      <c r="F58" s="24" t="s">
        <v>34</v>
      </c>
      <c r="G58" s="2476"/>
      <c r="H58" s="2479" t="s">
        <v>2227</v>
      </c>
      <c r="I58" s="2480"/>
      <c r="J58" s="3199"/>
      <c r="K58" s="3199"/>
      <c r="L58" s="2481" t="s">
        <v>2228</v>
      </c>
      <c r="M58" s="1753"/>
      <c r="N58" s="2483" t="str">
        <f ca="1">NUMBERSTRING(INT(N57*10000),2)&amp;"元整"</f>
        <v>贰拾伍亿肆仟叁佰柒拾柒万元整</v>
      </c>
      <c r="O58" s="2484"/>
    </row>
    <row r="59" spans="1:35" ht="24.75" thickBot="1">
      <c r="A59" s="3203" t="s">
        <v>2229</v>
      </c>
      <c r="B59" s="3204"/>
      <c r="C59" s="3204"/>
      <c r="D59" s="188" t="str">
        <f>IF(H59="非个人房产","——",IF(H59="个人住宅",0,ROUND(D45*I59,0)))</f>
        <v>——</v>
      </c>
      <c r="E59" s="189" t="str">
        <f>IF(H59="非个人房产","——","销售额×税（费）率")</f>
        <v>——</v>
      </c>
      <c r="F59" s="190" t="str">
        <f>IF(H59="非个人房产","——",IF(H59="个人住宅","免征",I59))</f>
        <v>——</v>
      </c>
      <c r="G59" s="2485" t="s">
        <v>2222</v>
      </c>
      <c r="H59" s="2479" t="s">
        <v>2230</v>
      </c>
      <c r="I59" s="191">
        <v>0.01</v>
      </c>
      <c r="J59" s="3201">
        <f>J57+1</f>
        <v>5</v>
      </c>
      <c r="K59" s="3199" t="s">
        <v>2231</v>
      </c>
      <c r="L59" s="1804" t="s">
        <v>2225</v>
      </c>
      <c r="M59" s="1754"/>
      <c r="N59" s="1755">
        <f ca="1">M49-N57</f>
        <v>175811.3</v>
      </c>
      <c r="O59" s="2486"/>
    </row>
    <row r="60" spans="1:35" ht="12" customHeight="1">
      <c r="A60" s="2487"/>
      <c r="B60" s="2409"/>
      <c r="C60" s="2409"/>
      <c r="D60" s="2409"/>
      <c r="E60" s="2158"/>
      <c r="F60" s="2480"/>
      <c r="G60" s="2480"/>
      <c r="H60" s="2488"/>
      <c r="I60" s="138"/>
      <c r="J60" s="3202"/>
      <c r="K60" s="3199"/>
      <c r="L60" s="2481" t="s">
        <v>2228</v>
      </c>
      <c r="M60" s="1753"/>
      <c r="N60" s="2483" t="str">
        <f ca="1">NUMBERSTRING(INT(N59*10000),2)&amp;"元整"</f>
        <v>壹拾柒亿伍仟捌佰壹拾壹万叁仟元整</v>
      </c>
      <c r="O60" s="2484"/>
    </row>
    <row r="61" spans="1:35" ht="13.5" thickBot="1">
      <c r="A61" s="3263" t="s">
        <v>2232</v>
      </c>
      <c r="B61" s="3263"/>
      <c r="C61" s="3263"/>
      <c r="D61" s="3263"/>
      <c r="E61" s="3263"/>
      <c r="F61" s="2480"/>
      <c r="G61" s="2480"/>
      <c r="H61" s="2488"/>
      <c r="I61" s="138"/>
      <c r="J61" s="1804">
        <f>J59+1</f>
        <v>6</v>
      </c>
      <c r="K61" s="3199" t="s">
        <v>2233</v>
      </c>
      <c r="L61" s="3199"/>
      <c r="M61" s="1756"/>
      <c r="N61" s="1757">
        <f ca="1">ROUND(N59*10000/'数据-汇总表'!E3,0)</f>
        <v>4649</v>
      </c>
      <c r="O61" s="2489"/>
    </row>
    <row r="62" spans="1:35" ht="12.75">
      <c r="A62" s="3219" t="s">
        <v>2234</v>
      </c>
      <c r="B62" s="3220"/>
      <c r="C62" s="1796"/>
      <c r="D62" s="1796" t="s">
        <v>2235</v>
      </c>
      <c r="E62" s="192" t="s">
        <v>2236</v>
      </c>
      <c r="F62" s="2480"/>
      <c r="G62" s="2480"/>
      <c r="H62" s="2488"/>
      <c r="I62" s="138"/>
    </row>
    <row r="63" spans="1:35" ht="12.75">
      <c r="A63" s="203" t="s">
        <v>775</v>
      </c>
      <c r="B63" s="193" t="s">
        <v>2237</v>
      </c>
      <c r="C63" s="194">
        <f ca="1">ROUND((C64+C65)/(1+'数据-取费表'!C42),0)</f>
        <v>427650</v>
      </c>
      <c r="D63" s="195"/>
      <c r="E63" s="196"/>
      <c r="F63" s="2480"/>
      <c r="G63" s="2480"/>
      <c r="H63" s="2488"/>
      <c r="I63" s="138"/>
      <c r="J63" s="3184" t="s">
        <v>2238</v>
      </c>
      <c r="K63" s="2490" t="s">
        <v>2239</v>
      </c>
      <c r="L63" s="1744">
        <f ca="1">IF(M49&gt;10000,M49*0.5%,IF(AND(M49&gt;1000,M49&lt;=10000),M49*1%,IF(AND(M49&gt;100,M49&lt;=1000),M49*3%,IF(AND(M49&gt;10,M49&lt;=100),M49*5%,M49*8%))))</f>
        <v>2150.9414999999999</v>
      </c>
      <c r="M63" s="24">
        <f ca="1">ROUND(L63,1)</f>
        <v>2150.9</v>
      </c>
      <c r="Z63" s="2414"/>
      <c r="AI63" s="2415"/>
    </row>
    <row r="64" spans="1:35" ht="14.25" customHeight="1">
      <c r="A64" s="197" t="s">
        <v>770</v>
      </c>
      <c r="B64" s="198" t="s">
        <v>2240</v>
      </c>
      <c r="C64" s="199">
        <f ca="1">D45</f>
        <v>449033</v>
      </c>
      <c r="D64" s="200" t="s">
        <v>32</v>
      </c>
      <c r="E64" s="201"/>
      <c r="F64" s="2480"/>
      <c r="G64" s="2480"/>
      <c r="H64" s="2488"/>
      <c r="I64" s="138"/>
      <c r="J64" s="3184"/>
      <c r="K64" s="2490" t="s">
        <v>2241</v>
      </c>
      <c r="L64" s="1744">
        <f ca="1">IF(M49&gt;2000,M49*0.5%,IF(AND(M49&gt;1000,M49&lt;=2000),M49*0.6%,IF(AND(M49&gt;500,M49&lt;=1000),M49*0.7%,IF(AND(M49&gt;200,M49&lt;=500),M49*0.8%,IF(AND(M49&gt;100,M49&lt;=200),M49*0.9%,IF(AND(M49&gt;50,M49&lt;=100),M49*1%,IF(AND(M49&gt;20,M49&lt;=50),M49*1.5%,IF(AND(M49&gt;10,M49&lt;=20),M49*2%,IF(AND(M49&gt;1,M49&lt;=10),M49*2.5%)))))))))</f>
        <v>2150.9414999999999</v>
      </c>
      <c r="M64" s="24">
        <f t="shared" ref="M64:M65" ca="1" si="1">ROUND(L64,1)</f>
        <v>2150.9</v>
      </c>
      <c r="N64" s="138" t="s">
        <v>2242</v>
      </c>
      <c r="Z64" s="2414"/>
      <c r="AI64" s="2415"/>
    </row>
    <row r="65" spans="1:35" ht="14.25" customHeight="1">
      <c r="A65" s="197" t="s">
        <v>771</v>
      </c>
      <c r="B65" s="198" t="s">
        <v>2243</v>
      </c>
      <c r="C65" s="202"/>
      <c r="D65" s="200"/>
      <c r="E65" s="201"/>
      <c r="F65" s="2480"/>
      <c r="G65" s="2480"/>
      <c r="H65" s="2488"/>
      <c r="I65" s="138"/>
      <c r="J65" s="3184"/>
      <c r="K65" s="2490" t="s">
        <v>2244</v>
      </c>
      <c r="L65" s="1744">
        <f ca="1">IF(M49&gt;1000,M49*0.1%,IF(AND(M49&gt;500,M49&lt;=1000),M49*0.5%,IF(AND(M49&gt;50,M49&lt;=500),M49*1%,IF(AND(M49&gt;1,M49&lt;=50),M49*1.5%))))</f>
        <v>430.18829999999997</v>
      </c>
      <c r="M65" s="24">
        <f t="shared" ca="1" si="1"/>
        <v>430.2</v>
      </c>
      <c r="N65" s="138" t="s">
        <v>2242</v>
      </c>
      <c r="Z65" s="2414"/>
      <c r="AI65" s="2415"/>
    </row>
    <row r="66" spans="1:35" ht="14.25" customHeight="1">
      <c r="A66" s="203" t="s">
        <v>772</v>
      </c>
      <c r="B66" s="204" t="s">
        <v>2245</v>
      </c>
      <c r="C66" s="205"/>
      <c r="D66" s="206" t="s">
        <v>32</v>
      </c>
      <c r="E66" s="1768" t="s">
        <v>1367</v>
      </c>
      <c r="F66" s="2480"/>
      <c r="G66" s="2480"/>
      <c r="H66" s="2488"/>
      <c r="I66" s="138"/>
      <c r="J66" s="3184"/>
      <c r="K66" s="2490" t="s">
        <v>2246</v>
      </c>
      <c r="L66" s="1744">
        <f ca="1">M49*0.5%</f>
        <v>2150.9414999999999</v>
      </c>
      <c r="M66" s="24">
        <f ca="1">IF(L66&gt;0.5,0.5,ROUND(L66,0))</f>
        <v>0.5</v>
      </c>
      <c r="N66" s="138" t="s">
        <v>2247</v>
      </c>
      <c r="Z66" s="2414"/>
      <c r="AI66" s="2415"/>
    </row>
    <row r="67" spans="1:35" ht="14.25" customHeight="1">
      <c r="A67" s="203" t="s">
        <v>773</v>
      </c>
      <c r="B67" s="204" t="s">
        <v>2248</v>
      </c>
      <c r="C67" s="207">
        <f ca="1">C63-C66</f>
        <v>427650</v>
      </c>
      <c r="D67" s="200" t="s">
        <v>32</v>
      </c>
      <c r="E67" s="201"/>
      <c r="F67" s="2480"/>
      <c r="G67" s="2480"/>
      <c r="H67" s="2488"/>
      <c r="I67" s="138"/>
      <c r="J67" s="3184"/>
      <c r="K67" s="2490" t="s">
        <v>2249</v>
      </c>
      <c r="L67" s="1744">
        <f ca="1">IF(M49&gt;=10000,(8.25+(M49-10000)*0.01%),IF(AND(M49&gt;=8000,M49&lt;10000),(7.85+(M49-8000)*0.02%),IF(AND(M49&gt;=5000,M49&lt;8000),(6.65+(M49-5000)*0.04%),IF(AND(M49&gt;=2000,M49&lt;5000),(4.25+(PM49-2000)*0.08%),IF(AND(M49&gt;=1000,M49&lt;2000),(2.75+(M49-1000)*0.15%),IF(AND(M49&gt;=100,M49&lt;1000),(0.5+(M49-100)*0.25%),IF(AND(M49&gt;0,M49&lt;100),M49*0.5%)))))))</f>
        <v>50.268830000000001</v>
      </c>
      <c r="M67" s="24">
        <f ca="1">ROUND(L67*0.9,1)</f>
        <v>45.2</v>
      </c>
      <c r="Z67" s="2414"/>
      <c r="AI67" s="2415"/>
    </row>
    <row r="68" spans="1:35" ht="14.25" customHeight="1" thickBot="1">
      <c r="A68" s="208" t="s">
        <v>774</v>
      </c>
      <c r="B68" s="209" t="s">
        <v>2250</v>
      </c>
      <c r="C68" s="210">
        <f ca="1">IF(C67&lt;=0,0,ROUND(C67*D68,0))</f>
        <v>23948</v>
      </c>
      <c r="D68" s="211">
        <f>'数据-取费表'!B41</f>
        <v>5.6000000000000001E-2</v>
      </c>
      <c r="E68" s="212"/>
      <c r="F68" s="2480"/>
      <c r="G68" s="2480"/>
      <c r="H68" s="2488"/>
      <c r="I68" s="138"/>
      <c r="J68" s="3184"/>
      <c r="K68" s="2490" t="s">
        <v>2251</v>
      </c>
      <c r="L68" s="1744">
        <f ca="1">IF(M49&gt;10000,M49*0.5%,IF(AND(M49&gt;5000,M49&lt;=10000),M49*1%,IF(AND(M49&gt;1000,M49&lt;=5000),M49*2%,IF(AND(M49&gt;200,M49&lt;=1000),M49*3%,M49*5%))))</f>
        <v>2150.9414999999999</v>
      </c>
      <c r="M68" s="24">
        <f ca="1">ROUND(L68,1)</f>
        <v>2150.9</v>
      </c>
      <c r="Z68" s="2414"/>
      <c r="AI68" s="2415"/>
    </row>
    <row r="69" spans="1:35" s="2437" customFormat="1" ht="16.5" customHeight="1">
      <c r="A69" s="2491"/>
      <c r="B69" s="2492"/>
      <c r="C69" s="2493"/>
      <c r="D69" s="2494"/>
      <c r="E69" s="2495"/>
      <c r="F69" s="2158"/>
      <c r="G69" s="2158"/>
      <c r="H69" s="2157"/>
      <c r="I69" s="2409"/>
      <c r="J69" s="3184"/>
      <c r="K69" s="2490" t="s">
        <v>2252</v>
      </c>
      <c r="L69" s="2496"/>
      <c r="M69" s="24">
        <f ca="1">ROUND(SUM(M63:M68),0)</f>
        <v>6929</v>
      </c>
      <c r="N69" s="1745">
        <f ca="1">M69/M49</f>
        <v>1.6106900164416373E-2</v>
      </c>
      <c r="O69" s="793"/>
      <c r="P69" s="793"/>
      <c r="Q69" s="793"/>
      <c r="R69" s="793"/>
      <c r="S69" s="793"/>
      <c r="T69" s="793"/>
      <c r="U69" s="793"/>
      <c r="V69" s="793"/>
      <c r="W69" s="793"/>
      <c r="X69" s="793"/>
      <c r="Y69" s="793"/>
      <c r="Z69" s="2414"/>
      <c r="AA69" s="2414"/>
      <c r="AB69" s="2414"/>
      <c r="AC69" s="2414"/>
      <c r="AD69" s="2414"/>
      <c r="AE69" s="2414"/>
      <c r="AF69" s="2414"/>
      <c r="AG69" s="2414"/>
      <c r="AH69" s="2414"/>
    </row>
    <row r="70" spans="1:35" s="2498" customFormat="1" ht="15" hidden="1" thickBot="1">
      <c r="A70" s="3228" t="s">
        <v>2253</v>
      </c>
      <c r="B70" s="3229"/>
      <c r="C70" s="3229"/>
      <c r="D70" s="3229"/>
      <c r="E70" s="3229"/>
      <c r="F70" s="3229"/>
      <c r="G70" s="3229"/>
      <c r="H70" s="3229"/>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hidden="1">
      <c r="A71" s="3219" t="s">
        <v>2234</v>
      </c>
      <c r="B71" s="3220"/>
      <c r="C71" s="1796"/>
      <c r="D71" s="1796" t="s">
        <v>2235</v>
      </c>
      <c r="E71" s="213" t="s">
        <v>2236</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hidden="1">
      <c r="A72" s="203" t="s">
        <v>775</v>
      </c>
      <c r="B72" s="204" t="s">
        <v>2254</v>
      </c>
      <c r="C72" s="207">
        <f ca="1">ROUND(D45/(1+'数据-取费表'!C42),0)</f>
        <v>427650</v>
      </c>
      <c r="D72" s="200" t="s">
        <v>32</v>
      </c>
      <c r="E72" s="1795"/>
      <c r="F72" s="1789"/>
      <c r="G72" s="1789"/>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hidden="1">
      <c r="A73" s="203" t="s">
        <v>772</v>
      </c>
      <c r="B73" s="173" t="s">
        <v>2255</v>
      </c>
      <c r="C73" s="207">
        <f ca="1">C74+C78</f>
        <v>2566</v>
      </c>
      <c r="D73" s="200" t="s">
        <v>32</v>
      </c>
      <c r="E73" s="1795"/>
      <c r="F73" s="1789"/>
      <c r="G73" s="1789"/>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hidden="1">
      <c r="A74" s="217" t="s">
        <v>770</v>
      </c>
      <c r="B74" s="198" t="s">
        <v>2256</v>
      </c>
      <c r="C74" s="200">
        <f>ROUND(IF(G77="2016年5月1日后购买",C75/(1+'数据-取费表'!C42)+C76+C77,C75+C76+C77),0)</f>
        <v>0</v>
      </c>
      <c r="D74" s="200" t="s">
        <v>32</v>
      </c>
      <c r="E74" s="1795"/>
      <c r="F74" s="1789"/>
      <c r="G74" s="1789"/>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hidden="1">
      <c r="A75" s="217" t="s">
        <v>776</v>
      </c>
      <c r="B75" s="198" t="s">
        <v>2257</v>
      </c>
      <c r="C75" s="218"/>
      <c r="D75" s="200" t="s">
        <v>32</v>
      </c>
      <c r="E75" s="219" t="s">
        <v>2258</v>
      </c>
      <c r="F75" s="2502" t="s">
        <v>2259</v>
      </c>
      <c r="G75" s="219" t="s">
        <v>2260</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hidden="1" customHeight="1">
      <c r="A76" s="217" t="s">
        <v>777</v>
      </c>
      <c r="B76" s="221" t="s">
        <v>2261</v>
      </c>
      <c r="C76" s="200">
        <f>IF(F75="购房发票",ROUND(C75*H75*D76,0),0)</f>
        <v>0</v>
      </c>
      <c r="D76" s="222">
        <v>0.05</v>
      </c>
      <c r="E76" s="3225" t="s">
        <v>2262</v>
      </c>
      <c r="F76" s="3224"/>
      <c r="G76" s="3224"/>
      <c r="H76" s="3227"/>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hidden="1"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4" t="s">
        <v>2265</v>
      </c>
      <c r="H77" s="1800"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hidden="1" customHeight="1">
      <c r="A78" s="217" t="s">
        <v>771</v>
      </c>
      <c r="B78" s="198" t="s">
        <v>2266</v>
      </c>
      <c r="C78" s="225">
        <f ca="1">ROUND(D45*D78/(1+'数据-取费表'!C42),0)</f>
        <v>2566</v>
      </c>
      <c r="D78" s="226">
        <f>'数据-取费表'!B43</f>
        <v>6.000000000000001E-3</v>
      </c>
      <c r="E78" s="3216" t="s">
        <v>2267</v>
      </c>
      <c r="F78" s="3217"/>
      <c r="G78" s="3217"/>
      <c r="H78" s="3218"/>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hidden="1">
      <c r="A79" s="2506" t="s">
        <v>779</v>
      </c>
      <c r="B79" s="204" t="s">
        <v>2268</v>
      </c>
      <c r="C79" s="207">
        <f ca="1">C72-C73</f>
        <v>425084</v>
      </c>
      <c r="D79" s="200" t="s">
        <v>32</v>
      </c>
      <c r="E79" s="1795"/>
      <c r="F79" s="1789"/>
      <c r="G79" s="1789"/>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hidden="1">
      <c r="A80" s="2506" t="s">
        <v>780</v>
      </c>
      <c r="B80" s="204" t="s">
        <v>2269</v>
      </c>
      <c r="C80" s="227">
        <f ca="1">IF(C79&lt;=0,0,C79/C73)</f>
        <v>165.6601714731099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hidden="1" thickBot="1">
      <c r="A81" s="2507" t="s">
        <v>781</v>
      </c>
      <c r="B81" s="209" t="s">
        <v>2270</v>
      </c>
      <c r="C81" s="228">
        <f ca="1">ROUND(IF(C79&lt;=0,0,IF(C80&gt;=200%,C79*60%-C73*35%,IF(C80&gt;=100%,C79*50%-C73*15%,IF(C80&gt;=50%,C79*40%-C73*5%,IF(C80&lt;50%,C79*30%,0))))),0)</f>
        <v>254152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1"/>
      <c r="B82" s="732"/>
      <c r="C82" s="7"/>
      <c r="D82" s="7"/>
      <c r="E82" s="732"/>
      <c r="F82" s="732"/>
      <c r="G82" s="732"/>
      <c r="H82" s="733"/>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228" t="s">
        <v>2271</v>
      </c>
      <c r="B83" s="3229"/>
      <c r="C83" s="3229"/>
      <c r="D83" s="3229"/>
      <c r="E83" s="3229"/>
      <c r="F83" s="3229"/>
      <c r="G83" s="3229"/>
      <c r="H83" s="3229"/>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219" t="s">
        <v>2234</v>
      </c>
      <c r="B84" s="3220"/>
      <c r="C84" s="1796"/>
      <c r="D84" s="1796" t="s">
        <v>2235</v>
      </c>
      <c r="E84" s="213" t="s">
        <v>2236</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2254</v>
      </c>
      <c r="C85" s="207">
        <f ca="1">ROUND(D45/(1+'数据-取费表'!C42),0)</f>
        <v>427650</v>
      </c>
      <c r="D85" s="200" t="s">
        <v>32</v>
      </c>
      <c r="E85" s="1795"/>
      <c r="F85" s="1789"/>
      <c r="G85" s="1789"/>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2255</v>
      </c>
      <c r="C86" s="207">
        <f ca="1">IF(H88="仅含出让金",C87+C90+C91+C92+C93+C94,C87+C91+C92+C93+C94)</f>
        <v>2566</v>
      </c>
      <c r="D86" s="235"/>
      <c r="E86" s="1795"/>
      <c r="F86" s="1789"/>
      <c r="G86" s="1789"/>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2272</v>
      </c>
      <c r="C87" s="225">
        <f>C88+C89</f>
        <v>0</v>
      </c>
      <c r="D87" s="226"/>
      <c r="E87" s="1791"/>
      <c r="F87" s="1792"/>
      <c r="G87" s="1792"/>
      <c r="H87" s="1794"/>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2273</v>
      </c>
      <c r="C88" s="236"/>
      <c r="D88" s="226"/>
      <c r="E88" s="237" t="s">
        <v>2274</v>
      </c>
      <c r="F88" s="1792"/>
      <c r="G88" s="238" t="s">
        <v>2275</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2263</v>
      </c>
      <c r="C89" s="225">
        <f>ROUND(C88*D89,0)</f>
        <v>0</v>
      </c>
      <c r="D89" s="226">
        <f>'数据-取费表'!B48+'数据-取费表'!B49</f>
        <v>3.0499999999999999E-2</v>
      </c>
      <c r="E89" s="237" t="s">
        <v>2276</v>
      </c>
      <c r="F89" s="1792"/>
      <c r="G89" s="1792"/>
      <c r="H89" s="1794"/>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2277</v>
      </c>
      <c r="C90" s="236"/>
      <c r="D90" s="226"/>
      <c r="E90" s="237" t="str">
        <f>IF(H88="-","土地取得成本中已包含该笔费用"," ")</f>
        <v xml:space="preserve"> </v>
      </c>
      <c r="F90" s="1792"/>
      <c r="G90" s="1792"/>
      <c r="H90" s="1794"/>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2278</v>
      </c>
      <c r="B91" s="198" t="s">
        <v>2279</v>
      </c>
      <c r="C91" s="225">
        <f>IF(H91="——",成本法!C33,I91)</f>
        <v>0</v>
      </c>
      <c r="D91" s="226"/>
      <c r="E91" s="3216" t="s">
        <v>2280</v>
      </c>
      <c r="F91" s="3217"/>
      <c r="G91" s="3217"/>
      <c r="H91" s="2509" t="s">
        <v>2281</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2282</v>
      </c>
      <c r="B92" s="198" t="s">
        <v>2283</v>
      </c>
      <c r="C92" s="225">
        <f>ROUND((C87+C90+C91)*D92,0)</f>
        <v>0</v>
      </c>
      <c r="D92" s="226">
        <v>0.1</v>
      </c>
      <c r="E92" s="3216" t="s">
        <v>2284</v>
      </c>
      <c r="F92" s="3217"/>
      <c r="G92" s="3217"/>
      <c r="H92" s="3218"/>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2285</v>
      </c>
      <c r="B93" s="198" t="s">
        <v>2266</v>
      </c>
      <c r="C93" s="225">
        <f ca="1">ROUND(D45*D93/(1+'数据-取费表'!C42),0)</f>
        <v>2566</v>
      </c>
      <c r="D93" s="226">
        <f>'数据-取费表'!B43</f>
        <v>6.000000000000001E-3</v>
      </c>
      <c r="E93" s="3216" t="s">
        <v>2267</v>
      </c>
      <c r="F93" s="3217"/>
      <c r="G93" s="3217"/>
      <c r="H93" s="3218"/>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2286</v>
      </c>
      <c r="B94" s="198" t="s">
        <v>2287</v>
      </c>
      <c r="C94" s="236">
        <f>ROUND((C87+C90+C91)*D94,0)</f>
        <v>0</v>
      </c>
      <c r="D94" s="226">
        <v>0.2</v>
      </c>
      <c r="E94" s="3268" t="s">
        <v>2288</v>
      </c>
      <c r="F94" s="3269"/>
      <c r="G94" s="3269"/>
      <c r="H94" s="3270"/>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4" t="s">
        <v>2268</v>
      </c>
      <c r="C95" s="207">
        <f ca="1">ROUND(C85-C86,0)</f>
        <v>425084</v>
      </c>
      <c r="D95" s="200" t="s">
        <v>32</v>
      </c>
      <c r="E95" s="1795"/>
      <c r="F95" s="1789"/>
      <c r="G95" s="1789"/>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2269</v>
      </c>
      <c r="C96" s="227">
        <f ca="1">IF(C95&lt;=0,0,C95/C86)</f>
        <v>165.6601714731099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2270</v>
      </c>
      <c r="C97" s="228">
        <f ca="1">ROUND(IF(C95&lt;=0,0,IF(C96&gt;=200%,C95*60%-C86*35%,IF(C96&gt;=100%,C95*50%-C86*15%,IF(C96&gt;=50%,C95*40%-C86*5%,IF(C96&lt;50%,C95*30%,0))))),0)</f>
        <v>254152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8"/>
      <c r="F98" s="2158"/>
      <c r="G98" s="2158"/>
      <c r="H98" s="2157"/>
      <c r="I98" s="138"/>
    </row>
    <row r="99" spans="1:35" ht="21.75" customHeight="1" thickBot="1">
      <c r="A99" s="2465" t="s">
        <v>2289</v>
      </c>
      <c r="B99" s="2409"/>
      <c r="C99" s="2409"/>
      <c r="D99" s="2409"/>
      <c r="E99" s="2158"/>
      <c r="F99" s="2158"/>
      <c r="G99" s="2158"/>
      <c r="H99" s="2157"/>
      <c r="I99" s="138"/>
    </row>
    <row r="100" spans="1:35" ht="18.75" customHeight="1">
      <c r="A100" s="3167" t="s">
        <v>2290</v>
      </c>
      <c r="B100" s="3168"/>
      <c r="C100" s="3168"/>
      <c r="D100" s="3200"/>
      <c r="E100" s="3168" t="s">
        <v>2291</v>
      </c>
      <c r="F100" s="3168"/>
      <c r="G100" s="3168"/>
      <c r="H100" s="3200"/>
      <c r="I100" s="138"/>
    </row>
    <row r="101" spans="1:35" ht="18.75" customHeight="1">
      <c r="A101" s="3208" t="s">
        <v>2292</v>
      </c>
      <c r="B101" s="3209"/>
      <c r="C101" s="734" t="str">
        <f>C4</f>
        <v>成本法</v>
      </c>
      <c r="D101" s="735" t="str">
        <f>D4</f>
        <v>假设开发法</v>
      </c>
      <c r="E101" s="3180" t="s">
        <v>2293</v>
      </c>
      <c r="F101" s="3181"/>
      <c r="G101" s="2511" t="s">
        <v>2294</v>
      </c>
      <c r="H101" s="1041">
        <f ca="1">H118</f>
        <v>449033</v>
      </c>
      <c r="I101" s="138"/>
    </row>
    <row r="102" spans="1:35" ht="18.75" customHeight="1">
      <c r="A102" s="3210" t="s">
        <v>2295</v>
      </c>
      <c r="B102" s="2511" t="s">
        <v>2294</v>
      </c>
      <c r="C102" s="734">
        <f ca="1">C19</f>
        <v>387621</v>
      </c>
      <c r="D102" s="735">
        <f ca="1">D19</f>
        <v>475352</v>
      </c>
      <c r="E102" s="3180"/>
      <c r="F102" s="3181"/>
      <c r="G102" s="2511" t="s">
        <v>2296</v>
      </c>
      <c r="H102" s="371">
        <f ca="1">I118</f>
        <v>11875</v>
      </c>
      <c r="I102" s="138"/>
    </row>
    <row r="103" spans="1:35" ht="42.75" customHeight="1">
      <c r="A103" s="3210"/>
      <c r="B103" s="2511" t="s">
        <v>2296</v>
      </c>
      <c r="C103" s="736">
        <f ca="1">C20</f>
        <v>10251</v>
      </c>
      <c r="D103" s="737">
        <f ca="1">D20</f>
        <v>12571</v>
      </c>
      <c r="E103" s="3174" t="s">
        <v>2297</v>
      </c>
      <c r="F103" s="3175"/>
      <c r="G103" s="2512" t="s">
        <v>2298</v>
      </c>
      <c r="H103" s="1041">
        <f>IF(D36="正常操作",H104+H105+H106,H105+H106)</f>
        <v>18844.7</v>
      </c>
      <c r="I103" s="138"/>
    </row>
    <row r="104" spans="1:35" ht="18.75" customHeight="1">
      <c r="A104" s="3210" t="s">
        <v>2299</v>
      </c>
      <c r="B104" s="2513" t="s">
        <v>2294</v>
      </c>
      <c r="C104" s="738">
        <f ca="1">H118</f>
        <v>449033</v>
      </c>
      <c r="D104" s="739"/>
      <c r="E104" s="2258" t="s">
        <v>2300</v>
      </c>
      <c r="F104" s="2250"/>
      <c r="G104" s="2512" t="s">
        <v>2298</v>
      </c>
      <c r="H104" s="1042" t="str">
        <f>IF(D36="同一抵押权人同一抵押物续贷",C36&amp;"（未扣减，详见特别提示）",C36)</f>
        <v>（未扣减，详见特别提示）</v>
      </c>
      <c r="I104" s="138"/>
    </row>
    <row r="105" spans="1:35" ht="18.75" customHeight="1" thickBot="1">
      <c r="A105" s="3222"/>
      <c r="B105" s="2514" t="s">
        <v>2296</v>
      </c>
      <c r="C105" s="740">
        <f ca="1">I118</f>
        <v>11875</v>
      </c>
      <c r="D105" s="741"/>
      <c r="E105" s="2258" t="s">
        <v>2301</v>
      </c>
      <c r="F105" s="2250"/>
      <c r="G105" s="2512" t="s">
        <v>2298</v>
      </c>
      <c r="H105" s="1042">
        <f>C37</f>
        <v>12038.7</v>
      </c>
      <c r="I105" s="138"/>
    </row>
    <row r="106" spans="1:35" ht="18.75" customHeight="1">
      <c r="A106" s="2409" t="s">
        <v>2302</v>
      </c>
      <c r="B106" s="2409"/>
      <c r="C106" s="2409"/>
      <c r="D106" s="2409"/>
      <c r="E106" s="2515" t="s">
        <v>2303</v>
      </c>
      <c r="F106" s="2250"/>
      <c r="G106" s="2512" t="s">
        <v>2298</v>
      </c>
      <c r="H106" s="1042">
        <f>C38</f>
        <v>6806</v>
      </c>
      <c r="I106" s="138"/>
    </row>
    <row r="107" spans="1:35" ht="18.75" customHeight="1">
      <c r="A107" s="138"/>
      <c r="B107" s="138"/>
      <c r="C107" s="138"/>
      <c r="D107" s="138"/>
      <c r="E107" s="3211" t="str">
        <f>IF(项目基本情况!E8="已注销","——","3.房地产抵押价值")</f>
        <v>3.房地产抵押价值</v>
      </c>
      <c r="F107" s="3181"/>
      <c r="G107" s="2511" t="s">
        <v>2294</v>
      </c>
      <c r="H107" s="1041">
        <f ca="1">IF(E107="——","——",H101-H103)</f>
        <v>430188.3</v>
      </c>
      <c r="I107" s="138"/>
    </row>
    <row r="108" spans="1:35" ht="18.75" customHeight="1">
      <c r="A108" s="138"/>
      <c r="B108" s="138"/>
      <c r="C108" s="138"/>
      <c r="D108" s="138"/>
      <c r="E108" s="3211"/>
      <c r="F108" s="3181"/>
      <c r="G108" s="2511" t="s">
        <v>2296</v>
      </c>
      <c r="H108" s="371">
        <f ca="1">ROUND(H107*10000/'数据-汇总表'!E3,0)</f>
        <v>11376</v>
      </c>
      <c r="I108" s="138"/>
    </row>
    <row r="109" spans="1:35" ht="18.75" customHeight="1">
      <c r="A109" s="138"/>
      <c r="B109" s="138"/>
      <c r="C109" s="138"/>
      <c r="D109" s="138"/>
      <c r="E109" s="3211" t="str">
        <f>IF(项目基本情况!E8="已注销及未注销","4.抵押担保权已注销时的房地产抵押价值",IF(项目基本情况!E8="已注销","3.抵押担保权已注销时的房地产抵押价值","——"))</f>
        <v>——</v>
      </c>
      <c r="F109" s="3181"/>
      <c r="G109" s="2511" t="s">
        <v>2294</v>
      </c>
      <c r="H109" s="348" t="str">
        <f>IF(E109="——","——",H101-H105-H106)</f>
        <v>——</v>
      </c>
      <c r="I109" s="138"/>
    </row>
    <row r="110" spans="1:35" ht="18.75" customHeight="1">
      <c r="A110" s="138"/>
      <c r="B110" s="138"/>
      <c r="C110" s="138"/>
      <c r="D110" s="138"/>
      <c r="E110" s="3211"/>
      <c r="F110" s="3181"/>
      <c r="G110" s="2511" t="s">
        <v>2296</v>
      </c>
      <c r="H110" s="371" t="str">
        <f>IF(H109="——","——",ROUND(H109*10000/'数据-汇总表'!E3,0))</f>
        <v>——</v>
      </c>
      <c r="I110" s="138"/>
    </row>
    <row r="111" spans="1:35" ht="18.75" customHeight="1">
      <c r="A111" s="138"/>
      <c r="B111" s="138"/>
      <c r="C111" s="138"/>
      <c r="D111" s="138"/>
      <c r="E111" s="3212" t="str">
        <f>IF(项目基本情况!E9="抵押净值",IF(OR(项目基本情况!E8="已注销",项目基本情况!E8="房地产抵押价值"),"4.抵押净值","5.抵押净值"),"——")</f>
        <v>——</v>
      </c>
      <c r="F111" s="3213"/>
      <c r="G111" s="2511" t="s">
        <v>2294</v>
      </c>
      <c r="H111" s="1041" t="str">
        <f>IF(E111="——","——",N59)</f>
        <v>——</v>
      </c>
      <c r="I111" s="138"/>
    </row>
    <row r="112" spans="1:35" ht="18.75" customHeight="1" thickBot="1">
      <c r="A112" s="138"/>
      <c r="B112" s="138"/>
      <c r="C112" s="138"/>
      <c r="D112" s="138"/>
      <c r="E112" s="3214"/>
      <c r="F112" s="3215"/>
      <c r="G112" s="2516" t="s">
        <v>2296</v>
      </c>
      <c r="H112" s="788" t="str">
        <f>IF(E111="——","——",N61)</f>
        <v>——</v>
      </c>
      <c r="I112" s="138"/>
    </row>
    <row r="113" spans="1:11" ht="18.75" customHeight="1">
      <c r="A113" s="138"/>
      <c r="B113" s="138"/>
      <c r="C113" s="138"/>
      <c r="D113" s="138"/>
      <c r="E113" s="3223" t="s">
        <v>2302</v>
      </c>
      <c r="F113" s="3223"/>
      <c r="G113" s="3223"/>
      <c r="H113" s="3223"/>
      <c r="I113" s="138"/>
    </row>
    <row r="114" spans="1:11" ht="3.75" customHeight="1">
      <c r="A114" s="2409"/>
      <c r="B114" s="2409"/>
      <c r="C114" s="2409"/>
      <c r="D114" s="2409"/>
      <c r="E114" s="2487"/>
      <c r="F114" s="2487"/>
      <c r="G114" s="2487"/>
      <c r="H114" s="2487"/>
      <c r="I114" s="2409"/>
    </row>
    <row r="115" spans="1:11" ht="18.75" customHeight="1">
      <c r="A115" s="3236" t="s">
        <v>2304</v>
      </c>
      <c r="B115" s="3237"/>
      <c r="C115" s="3237"/>
      <c r="D115" s="3237"/>
      <c r="E115" s="3237"/>
      <c r="F115" s="3237"/>
      <c r="G115" s="3237"/>
      <c r="H115" s="3237"/>
      <c r="I115" s="3238"/>
    </row>
    <row r="116" spans="1:11" ht="27" customHeight="1">
      <c r="A116" s="3136" t="s">
        <v>2305</v>
      </c>
      <c r="B116" s="3190" t="s">
        <v>3820</v>
      </c>
      <c r="C116" s="3190" t="s">
        <v>3821</v>
      </c>
      <c r="D116" s="3196" t="s">
        <v>2306</v>
      </c>
      <c r="E116" s="3197"/>
      <c r="F116" s="3232" t="s">
        <v>2307</v>
      </c>
      <c r="G116" s="3232"/>
      <c r="H116" s="3136" t="s">
        <v>2308</v>
      </c>
      <c r="I116" s="3136"/>
    </row>
    <row r="117" spans="1:11" ht="18.75" customHeight="1">
      <c r="A117" s="3136"/>
      <c r="B117" s="3191"/>
      <c r="C117" s="3191"/>
      <c r="D117" s="1790" t="s">
        <v>2309</v>
      </c>
      <c r="E117" s="1790" t="s">
        <v>2310</v>
      </c>
      <c r="F117" s="1790" t="s">
        <v>2309</v>
      </c>
      <c r="G117" s="1790" t="s">
        <v>2311</v>
      </c>
      <c r="H117" s="1790" t="s">
        <v>2309</v>
      </c>
      <c r="I117" s="1790" t="s">
        <v>2311</v>
      </c>
    </row>
    <row r="118" spans="1:11" ht="24.75" customHeight="1">
      <c r="A118" s="2517" t="str">
        <f>项目基本情况!S2</f>
        <v>重庆市江北区观音桥组团I分区I29-3-1/02地块“隆鑫中心”综合项目出让国有建设用地使用权及在建建筑物房地产</v>
      </c>
      <c r="B118" s="1790">
        <f>M18</f>
        <v>378144.48</v>
      </c>
      <c r="C118" s="1790">
        <f>M19</f>
        <v>25136</v>
      </c>
      <c r="D118" s="1790">
        <f ca="1">ROUND(IF(D32="总价",C34,E118*B118/10000),0)</f>
        <v>347552</v>
      </c>
      <c r="E118" s="1790">
        <f ca="1">ROUND(IF(C33="自定义",IF(D32="楼面单价",C34,D118*10000/B118),I118-G118),0)</f>
        <v>9191</v>
      </c>
      <c r="F118" s="1790">
        <f ca="1">ROUND(IF(D32="总价",C35,G118*B118/10000),0)</f>
        <v>101481</v>
      </c>
      <c r="G118" s="1790">
        <f ca="1">ROUND(IF(D32="楼面单价",C35,F118*10000/B118),0)</f>
        <v>2684</v>
      </c>
      <c r="H118" s="1790">
        <f ca="1">ROUND(IF(D32="总价",C32,I118*B118/10000),0)</f>
        <v>449033</v>
      </c>
      <c r="I118" s="1790">
        <f ca="1">ROUND(IF(D32="楼面单价",C32,H118*10000/B118),0)</f>
        <v>11875</v>
      </c>
    </row>
    <row r="119" spans="1:11" ht="18.75" customHeight="1">
      <c r="A119" s="3136" t="s">
        <v>2312</v>
      </c>
      <c r="B119" s="3136"/>
      <c r="C119" s="3136"/>
      <c r="D119" s="3192" t="str">
        <f ca="1">NUMBERSTRING(INT(D118*10000),2)&amp;"元整"</f>
        <v>叁拾肆亿柒仟伍佰伍拾贰万元整</v>
      </c>
      <c r="E119" s="3193"/>
      <c r="F119" s="3192" t="str">
        <f ca="1">NUMBERSTRING(INT(F118*10000),2)&amp;"元整"</f>
        <v>壹拾亿壹仟肆佰捌拾壹万元整</v>
      </c>
      <c r="G119" s="3193"/>
      <c r="H119" s="3192" t="str">
        <f ca="1">NUMBERSTRING(INT(H118*10000),2)&amp;"元整"</f>
        <v>肆拾肆亿玖仟零叁拾叁万元整</v>
      </c>
      <c r="I119" s="3193"/>
    </row>
    <row r="120" spans="1:11" ht="18.75" customHeight="1">
      <c r="A120" s="3187" t="str">
        <f>IF(项目基本情况!B9="房地产市场价值","",MID(E103,3,LEN(E103)-2))</f>
        <v>估价师知悉的法定优先受偿款</v>
      </c>
      <c r="B120" s="3188"/>
      <c r="C120" s="3189"/>
      <c r="D120" s="3187">
        <f>H103</f>
        <v>18844.7</v>
      </c>
      <c r="E120" s="3188"/>
      <c r="F120" s="3188"/>
      <c r="G120" s="3188"/>
      <c r="H120" s="3188"/>
      <c r="I120" s="3189"/>
      <c r="K120" s="2414" t="str">
        <f>IF(D120=0,"故，本次评估不存在"&amp;A120,"故，本次评估"&amp;A120&amp;"为人民币"&amp;D120&amp;"万元整。")</f>
        <v>故，本次评估估价师知悉的法定优先受偿款为人民币18844.7万元整。</v>
      </c>
    </row>
    <row r="121" spans="1:11" ht="18.75" customHeight="1">
      <c r="A121" s="3233" t="s">
        <v>2312</v>
      </c>
      <c r="B121" s="3234"/>
      <c r="C121" s="3235"/>
      <c r="D121" s="3192" t="str">
        <f>IF(D120=0,"零元整",NUMBERSTRING(INT(D120*10000),2)&amp;"元整")</f>
        <v>壹亿捌仟捌佰肆拾肆万柒仟元整</v>
      </c>
      <c r="E121" s="3194"/>
      <c r="F121" s="3194"/>
      <c r="G121" s="3194"/>
      <c r="H121" s="3194"/>
      <c r="I121" s="3193"/>
    </row>
    <row r="122" spans="1:11" ht="18.75" customHeight="1">
      <c r="A122" s="3198" t="str">
        <f>IF(项目基本情况!B9="房地产市场价值","",MID(E107,3,LEN(E107)-2))</f>
        <v>房地产抵押价值</v>
      </c>
      <c r="B122" s="3198"/>
      <c r="C122" s="3198"/>
      <c r="D122" s="3187">
        <f ca="1">H107</f>
        <v>430188.3</v>
      </c>
      <c r="E122" s="3188"/>
      <c r="F122" s="3188"/>
      <c r="G122" s="3188"/>
      <c r="H122" s="3188"/>
      <c r="I122" s="3189"/>
    </row>
    <row r="123" spans="1:11" ht="18.75" customHeight="1">
      <c r="A123" s="3136" t="s">
        <v>2312</v>
      </c>
      <c r="B123" s="3136"/>
      <c r="C123" s="3136"/>
      <c r="D123" s="3192" t="str">
        <f ca="1">NUMBERSTRING(INT(D122*10000),2)&amp;"元整"</f>
        <v>肆拾叁亿零壹佰捌拾捌万叁仟元整</v>
      </c>
      <c r="E123" s="3194"/>
      <c r="F123" s="3194"/>
      <c r="G123" s="3194"/>
      <c r="H123" s="3194"/>
      <c r="I123" s="3193"/>
    </row>
    <row r="124" spans="1:11" ht="18.75" customHeight="1">
      <c r="A124" s="3198" t="str">
        <f>IF(项目基本情况!B9="房地产市场价值","",MID(E109,3,LEN(E109)-2))</f>
        <v/>
      </c>
      <c r="B124" s="3198"/>
      <c r="C124" s="3198"/>
      <c r="D124" s="3187" t="str">
        <f>H109</f>
        <v>——</v>
      </c>
      <c r="E124" s="3188"/>
      <c r="F124" s="3188"/>
      <c r="G124" s="3188"/>
      <c r="H124" s="3188"/>
      <c r="I124" s="3189"/>
    </row>
    <row r="125" spans="1:11" ht="18.75" customHeight="1">
      <c r="A125" s="3136" t="s">
        <v>2312</v>
      </c>
      <c r="B125" s="3136"/>
      <c r="C125" s="3136"/>
      <c r="D125" s="3192" t="e">
        <f>NUMBERSTRING(INT(D124*10000),2)&amp;"元整"</f>
        <v>#VALUE!</v>
      </c>
      <c r="E125" s="3194"/>
      <c r="F125" s="3194"/>
      <c r="G125" s="3194"/>
      <c r="H125" s="3194"/>
      <c r="I125" s="3193"/>
    </row>
    <row r="126" spans="1:11" ht="18.75" customHeight="1">
      <c r="A126" s="3198" t="str">
        <f>IF(项目基本情况!B9="房地产市场价值","",MID(E111,3,LEN(E111)-2))</f>
        <v/>
      </c>
      <c r="B126" s="3198"/>
      <c r="C126" s="3198"/>
      <c r="D126" s="3187" t="str">
        <f>H111</f>
        <v>——</v>
      </c>
      <c r="E126" s="3188"/>
      <c r="F126" s="3188"/>
      <c r="G126" s="3188"/>
      <c r="H126" s="3188"/>
      <c r="I126" s="3189"/>
    </row>
    <row r="127" spans="1:11" ht="18.75" customHeight="1">
      <c r="A127" s="3136" t="s">
        <v>2312</v>
      </c>
      <c r="B127" s="3136"/>
      <c r="C127" s="3136"/>
      <c r="D127" s="3192" t="e">
        <f>NUMBERSTRING(INT(D126*10000),2)&amp;"元整"</f>
        <v>#VALUE!</v>
      </c>
      <c r="E127" s="3194"/>
      <c r="F127" s="3194"/>
      <c r="G127" s="3194"/>
      <c r="H127" s="3194"/>
      <c r="I127" s="3193"/>
    </row>
    <row r="128" spans="1:11" ht="21.75" customHeight="1">
      <c r="A128" s="3195" t="s">
        <v>2313</v>
      </c>
      <c r="B128" s="3195"/>
      <c r="C128" s="3195"/>
      <c r="D128" s="3195"/>
      <c r="E128" s="3195"/>
      <c r="F128" s="3195"/>
      <c r="G128" s="3195"/>
      <c r="H128" s="3195"/>
      <c r="I128" s="3195"/>
    </row>
    <row r="129" spans="1:35" ht="21.75" customHeight="1">
      <c r="A129" s="2518" t="s">
        <v>2314</v>
      </c>
      <c r="B129" s="2519"/>
      <c r="C129" s="2520" t="s">
        <v>2315</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3"/>
    </row>
    <row r="135" spans="1:35" ht="21.75" customHeight="1">
      <c r="A135" s="793"/>
      <c r="B135" s="793"/>
      <c r="C135" s="793"/>
      <c r="D135" s="793"/>
      <c r="E135" s="793"/>
      <c r="F135" s="2534" t="s">
        <v>2316</v>
      </c>
      <c r="G135" s="2535"/>
      <c r="H135" s="2535"/>
      <c r="I135" s="2536" t="s">
        <v>2317</v>
      </c>
    </row>
    <row r="136" spans="1:35" ht="21.75" customHeight="1">
      <c r="A136" s="793"/>
      <c r="B136" s="2537" t="s">
        <v>2318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5"/>
      <c r="C138" s="2535"/>
      <c r="D138" s="2535"/>
      <c r="E138" s="2535"/>
      <c r="F138" s="2535"/>
      <c r="G138" s="2535"/>
      <c r="H138" s="2535"/>
      <c r="I138" s="2536" t="s">
        <v>2319</v>
      </c>
    </row>
    <row r="139" spans="1:35" ht="21.75" customHeight="1">
      <c r="A139" s="793"/>
      <c r="B139" s="2537" t="s">
        <v>2320</v>
      </c>
      <c r="C139" s="793"/>
      <c r="D139" s="793"/>
      <c r="E139" s="793"/>
      <c r="F139" s="793"/>
      <c r="G139" s="793"/>
      <c r="H139" s="793"/>
      <c r="I139" s="793"/>
    </row>
    <row r="140" spans="1:35" ht="21.75" customHeight="1">
      <c r="A140" s="793"/>
      <c r="B140" s="2537"/>
      <c r="C140" s="793"/>
      <c r="D140" s="793"/>
      <c r="E140" s="793"/>
      <c r="F140" s="793"/>
      <c r="G140" s="793"/>
      <c r="H140" s="793"/>
      <c r="I140" s="793"/>
    </row>
    <row r="141" spans="1:35" ht="21.75" customHeight="1">
      <c r="A141" s="793"/>
      <c r="B141" s="2535"/>
      <c r="C141" s="2535"/>
      <c r="D141" s="2535"/>
      <c r="E141" s="2535"/>
      <c r="F141" s="2535"/>
      <c r="G141" s="2535"/>
      <c r="H141" s="2535"/>
      <c r="I141" s="2536" t="s">
        <v>2319</v>
      </c>
    </row>
    <row r="142" spans="1:35" ht="21.75" customHeight="1">
      <c r="A142" s="793"/>
      <c r="B142" s="2537"/>
      <c r="C142" s="2538"/>
      <c r="D142" s="2539"/>
      <c r="E142" s="2539"/>
      <c r="F142" s="2332"/>
      <c r="G142" s="793"/>
      <c r="H142" s="793"/>
      <c r="I142" s="793"/>
    </row>
    <row r="143" spans="1:35" s="139" customFormat="1" ht="21.75" customHeight="1">
      <c r="A143" s="793"/>
      <c r="B143" s="2537"/>
      <c r="C143" s="2538"/>
      <c r="D143" s="2539"/>
      <c r="E143" s="2539"/>
      <c r="F143" s="2332"/>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18" sqref="A18:C18"/>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70" t="str">
        <f>项目基本情况!B1</f>
        <v>重庆市江北区观音桥组团I分区I29-3-1/02地块“隆鑫中心”综合项目出让国有建设用地使用权及在建建筑物房地产抵押价值预评估</v>
      </c>
      <c r="C37" s="3070"/>
      <c r="D37" s="3070"/>
      <c r="E37" s="3070"/>
      <c r="F37" s="3070"/>
      <c r="G37" s="3070"/>
      <c r="H37" s="3070"/>
      <c r="I37" s="3070"/>
    </row>
    <row r="38" spans="1:9">
      <c r="A38" s="1012"/>
      <c r="B38" s="1012"/>
    </row>
    <row r="39" spans="1:9">
      <c r="A39" s="1010" t="s">
        <v>818</v>
      </c>
      <c r="B39" s="1010" t="s">
        <v>820</v>
      </c>
    </row>
    <row r="40" spans="1:9">
      <c r="A40" s="1010"/>
      <c r="B40" s="1936" t="str">
        <f>项目基本情况!B5</f>
        <v>中诚信托有限责任公司</v>
      </c>
    </row>
    <row r="41" spans="1:9">
      <c r="A41" s="1010"/>
      <c r="B41" s="1010"/>
    </row>
    <row r="42" spans="1:9">
      <c r="A42" s="1010" t="s">
        <v>818</v>
      </c>
      <c r="B42" s="1010" t="s">
        <v>821</v>
      </c>
    </row>
    <row r="43" spans="1:9">
      <c r="A43" s="1010"/>
      <c r="B43" s="1936" t="s">
        <v>822</v>
      </c>
    </row>
    <row r="44" spans="1:9">
      <c r="A44" s="1010"/>
      <c r="B44" s="1010"/>
    </row>
    <row r="45" spans="1:9">
      <c r="A45" s="1010" t="s">
        <v>818</v>
      </c>
      <c r="B45" s="1010" t="s">
        <v>823</v>
      </c>
    </row>
    <row r="46" spans="1:9" s="1010" customFormat="1" ht="12.75">
      <c r="B46" s="1936" t="str">
        <f ca="1">项目基本情况!K4</f>
        <v>郑燚（注册号：1120070131)、王鹏（注册号：1120050019)</v>
      </c>
    </row>
    <row r="47" spans="1:9">
      <c r="A47" s="1010"/>
      <c r="B47" s="1010" t="str">
        <f>项目基本情况!K5</f>
        <v/>
      </c>
    </row>
    <row r="48" spans="1:9">
      <c r="A48" s="1010" t="s">
        <v>818</v>
      </c>
      <c r="B48" s="1010"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B34" sqref="B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1"/>
      <c r="C1" s="242"/>
      <c r="D1" s="242"/>
      <c r="E1" s="242"/>
      <c r="F1" s="242"/>
      <c r="G1" s="1375">
        <f>MATCH(B1,'数据-取费表'!A6:A16,0)+5</f>
        <v>10</v>
      </c>
    </row>
    <row r="2" spans="1:9" s="244" customFormat="1" ht="18" customHeight="1">
      <c r="A2" s="245" t="s">
        <v>2322</v>
      </c>
      <c r="B2" s="246">
        <f ca="1">IF(D2="——",C52,C52-E2)</f>
        <v>387621</v>
      </c>
      <c r="C2" s="243" t="s">
        <v>2323</v>
      </c>
      <c r="D2" s="2540" t="s">
        <v>70</v>
      </c>
      <c r="E2" s="1436" t="e">
        <f ca="1">SUMIF(INDIRECT("'"&amp;G2&amp;"'"&amp;"!A:A"),"承租人权益价值",INDIRECT("'"&amp;G2&amp;"'"&amp;"!c:c"))</f>
        <v>#REF!</v>
      </c>
      <c r="F2" s="2541" t="s">
        <v>2323</v>
      </c>
      <c r="G2" s="2542"/>
    </row>
    <row r="3" spans="1:9" s="244" customFormat="1" ht="18" customHeight="1" thickBot="1">
      <c r="A3" s="247" t="s">
        <v>2324</v>
      </c>
      <c r="B3" s="248">
        <f ca="1">ROUND(B2*10000/(IF(B1="",'数据-汇总表'!E3,INDIRECT("'数据-取费表'!k"&amp;$G$1))),0)</f>
        <v>10251</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C6+C7+C8</f>
        <v>232360</v>
      </c>
      <c r="D5" s="255" t="s">
        <v>2329</v>
      </c>
      <c r="E5" s="256" t="s">
        <v>2330</v>
      </c>
      <c r="F5" s="256" t="s">
        <v>2331</v>
      </c>
      <c r="G5" s="257"/>
    </row>
    <row r="6" spans="1:9" s="258" customFormat="1" ht="13.5" customHeight="1">
      <c r="A6" s="945" t="s">
        <v>2332</v>
      </c>
      <c r="B6" s="259" t="s">
        <v>2333</v>
      </c>
      <c r="C6" s="260">
        <f>'土地比较法-住宅'!F60+'土地比较法-商业 (2017)'!F57+'土地比较法-商业 (2017)'!F58+'土地比较法-商业 (2017)'!F60</f>
        <v>217229</v>
      </c>
      <c r="D6" s="261"/>
      <c r="E6" s="262"/>
      <c r="F6" s="262"/>
      <c r="G6" s="263"/>
    </row>
    <row r="7" spans="1:9" s="258" customFormat="1" ht="13.5" customHeight="1">
      <c r="A7" s="945" t="s">
        <v>2334</v>
      </c>
      <c r="B7" s="259" t="s">
        <v>2335</v>
      </c>
      <c r="C7" s="264">
        <f>ROUND(C6*F7,0)</f>
        <v>6625</v>
      </c>
      <c r="D7" s="264"/>
      <c r="E7" s="262"/>
      <c r="F7" s="265">
        <f>IF(项目基本情况!B8="出让",0,'数据-取费表'!B48+'数据-取费表'!B49)</f>
        <v>3.0499999999999999E-2</v>
      </c>
      <c r="G7" s="263"/>
    </row>
    <row r="8" spans="1:9" s="267" customFormat="1">
      <c r="A8" s="945" t="s">
        <v>2336</v>
      </c>
      <c r="B8" s="259" t="s">
        <v>2337</v>
      </c>
      <c r="C8" s="264">
        <f>IF(G8="已包含在土地购买价格中","0",IF(B1="",'数据-取费表'!B29,IF(G9="全部缴纳",C9+C10,H9)))</f>
        <v>8506</v>
      </c>
      <c r="D8" s="266"/>
      <c r="E8" s="264"/>
      <c r="F8" s="265"/>
      <c r="G8" s="2543" t="s">
        <v>3612</v>
      </c>
    </row>
    <row r="9" spans="1:9" s="258" customFormat="1" ht="13.5" customHeight="1">
      <c r="A9" s="946" t="s">
        <v>800</v>
      </c>
      <c r="B9" s="268" t="s">
        <v>2338</v>
      </c>
      <c r="C9" s="269">
        <f ca="1">ROUND(D9*E9/10000,0)</f>
        <v>2656</v>
      </c>
      <c r="D9" s="1028">
        <f ca="1">IF(B1="",'数据-汇总表'!E5,IF(INDIRECT("'数据-取费表'!c"&amp;$G$1)="住宅",INDIRECT("'数据-取费表'!k"&amp;$G$1),0))</f>
        <v>91600</v>
      </c>
      <c r="E9" s="269">
        <f>'数据-取费表'!B27</f>
        <v>290</v>
      </c>
      <c r="F9" s="265"/>
      <c r="G9" s="2544"/>
      <c r="H9" s="1386"/>
      <c r="I9" s="2545" t="s">
        <v>2339</v>
      </c>
    </row>
    <row r="10" spans="1:9" s="258" customFormat="1" ht="13.5" customHeight="1">
      <c r="A10" s="946" t="s">
        <v>801</v>
      </c>
      <c r="B10" s="268" t="s">
        <v>2340</v>
      </c>
      <c r="C10" s="269">
        <f ca="1">ROUND(D10*E10/10000,0)</f>
        <v>8310</v>
      </c>
      <c r="D10" s="1028">
        <f ca="1">IF(B1="",'数据-汇总表'!E6,IF(INDIRECT("'数据-取费表'!c"&amp;$G$1)="住宅",INDIRECT("'数据-取费表'!s"&amp;$G$1),INDIRECT("'数据-取费表'!k"&amp;$G$1)+INDIRECT("'数据-取费表'!s"&amp;$G$1)))</f>
        <v>286544.48</v>
      </c>
      <c r="E10" s="269">
        <f>'数据-取费表'!B28</f>
        <v>290</v>
      </c>
      <c r="F10" s="265"/>
      <c r="G10" s="270"/>
    </row>
    <row r="11" spans="1:9" s="258" customFormat="1" ht="13.5" hidden="1" customHeight="1">
      <c r="A11" s="271" t="s">
        <v>7</v>
      </c>
      <c r="B11" s="259" t="s">
        <v>2341</v>
      </c>
      <c r="C11" s="255"/>
      <c r="D11" s="1030"/>
      <c r="E11" s="262"/>
      <c r="F11" s="262"/>
      <c r="G11" s="263"/>
    </row>
    <row r="12" spans="1:9" s="258" customFormat="1" ht="13.5" hidden="1" customHeight="1">
      <c r="A12" s="271" t="s">
        <v>8</v>
      </c>
      <c r="B12" s="259" t="s">
        <v>2342</v>
      </c>
      <c r="C12" s="255">
        <v>0</v>
      </c>
      <c r="D12" s="1030"/>
      <c r="E12" s="272"/>
      <c r="F12" s="265">
        <v>3.0499999999999999E-2</v>
      </c>
      <c r="G12" s="263"/>
    </row>
    <row r="13" spans="1:9" s="258" customFormat="1" ht="13.5" hidden="1" customHeight="1">
      <c r="A13" s="271" t="s">
        <v>9</v>
      </c>
      <c r="B13" s="259" t="s">
        <v>2343</v>
      </c>
      <c r="C13" s="255"/>
      <c r="D13" s="1030"/>
      <c r="E13" s="262"/>
      <c r="F13" s="262"/>
      <c r="G13" s="263"/>
    </row>
    <row r="14" spans="1:9" s="258" customFormat="1" ht="13.5" hidden="1" customHeight="1">
      <c r="A14" s="271" t="s">
        <v>10</v>
      </c>
      <c r="B14" s="259" t="s">
        <v>2344</v>
      </c>
      <c r="C14" s="255"/>
      <c r="D14" s="1030"/>
      <c r="E14" s="262"/>
      <c r="F14" s="262"/>
      <c r="G14" s="263" t="s">
        <v>2345</v>
      </c>
    </row>
    <row r="15" spans="1:9" s="258" customFormat="1" ht="13.5" hidden="1" customHeight="1">
      <c r="A15" s="271" t="s">
        <v>11</v>
      </c>
      <c r="B15" s="259" t="s">
        <v>2346</v>
      </c>
      <c r="C15" s="264"/>
      <c r="D15" s="1030"/>
      <c r="E15" s="262"/>
      <c r="F15" s="262"/>
      <c r="G15" s="263" t="s">
        <v>2347</v>
      </c>
    </row>
    <row r="16" spans="1:9" s="258" customFormat="1" ht="13.5" hidden="1" customHeight="1">
      <c r="A16" s="271" t="s">
        <v>12</v>
      </c>
      <c r="B16" s="259" t="s">
        <v>2344</v>
      </c>
      <c r="C16" s="264"/>
      <c r="D16" s="1030"/>
      <c r="E16" s="262"/>
      <c r="F16" s="262"/>
      <c r="G16" s="263"/>
    </row>
    <row r="17" spans="1:7" s="258" customFormat="1" ht="13.5" hidden="1" customHeight="1">
      <c r="A17" s="271" t="s">
        <v>13</v>
      </c>
      <c r="B17" s="259" t="s">
        <v>2348</v>
      </c>
      <c r="C17" s="273"/>
      <c r="D17" s="1031"/>
      <c r="E17" s="273"/>
      <c r="F17" s="273"/>
      <c r="G17" s="263" t="s">
        <v>2347</v>
      </c>
    </row>
    <row r="18" spans="1:7" s="258" customFormat="1" ht="13.5" hidden="1" customHeight="1">
      <c r="A18" s="271" t="s">
        <v>14</v>
      </c>
      <c r="B18" s="259" t="s">
        <v>2349</v>
      </c>
      <c r="C18" s="264">
        <v>0</v>
      </c>
      <c r="D18" s="1030"/>
      <c r="E18" s="262"/>
      <c r="F18" s="265">
        <v>3.0499999999999999E-2</v>
      </c>
      <c r="G18" s="263" t="s">
        <v>2350</v>
      </c>
    </row>
    <row r="19" spans="1:7" s="267" customFormat="1" ht="13.5" customHeight="1">
      <c r="A19" s="299" t="s">
        <v>2351</v>
      </c>
      <c r="B19" s="254" t="s">
        <v>2352</v>
      </c>
      <c r="C19" s="255" t="str">
        <f>IF(G19="已包含在土地取得成本中","0",ROUND(D19*E19/10000,0))</f>
        <v>0</v>
      </c>
      <c r="D19" s="1032">
        <f ca="1">D9+D10</f>
        <v>378144.48</v>
      </c>
      <c r="E19" s="255">
        <f>'数据-取费表'!B31</f>
        <v>150</v>
      </c>
      <c r="F19" s="275"/>
      <c r="G19" s="2543" t="s">
        <v>3613</v>
      </c>
    </row>
    <row r="20" spans="1:7" s="258" customFormat="1" ht="13.5" customHeight="1">
      <c r="A20" s="299" t="s">
        <v>2353</v>
      </c>
      <c r="B20" s="254" t="s">
        <v>2354</v>
      </c>
      <c r="C20" s="276">
        <f>ROUND((C5+C19)*F20,0)</f>
        <v>5809</v>
      </c>
      <c r="D20" s="276"/>
      <c r="E20" s="276"/>
      <c r="F20" s="277">
        <f>'数据-取费表'!B37</f>
        <v>2.5000000000000001E-2</v>
      </c>
      <c r="G20" s="278" t="s">
        <v>2355</v>
      </c>
    </row>
    <row r="21" spans="1:7" s="258" customFormat="1" ht="13.5" customHeight="1">
      <c r="A21" s="299" t="s">
        <v>2356</v>
      </c>
      <c r="B21" s="254" t="s">
        <v>2357</v>
      </c>
      <c r="C21" s="279">
        <f>F21</f>
        <v>0.03</v>
      </c>
      <c r="D21" s="280" t="s">
        <v>2358</v>
      </c>
      <c r="E21" s="276"/>
      <c r="F21" s="277">
        <f>'数据-取费表'!B38</f>
        <v>0.03</v>
      </c>
      <c r="G21" s="278" t="s">
        <v>2359</v>
      </c>
    </row>
    <row r="22" spans="1:7" s="258" customFormat="1" ht="13.5" customHeight="1">
      <c r="A22" s="299" t="s">
        <v>2360</v>
      </c>
      <c r="B22" s="254" t="s">
        <v>2361</v>
      </c>
      <c r="C22" s="1350">
        <f ca="1">ROUND(SUM(C23:C25),0)</f>
        <v>22874</v>
      </c>
      <c r="D22" s="279">
        <f ca="1">C26</f>
        <v>1.4E-3</v>
      </c>
      <c r="E22" s="280" t="s">
        <v>2358</v>
      </c>
      <c r="F22" s="281">
        <f ca="1">'数据-取费表'!B40</f>
        <v>4.7500000000000001E-2</v>
      </c>
      <c r="G22" s="278" t="str">
        <f>IF('数据-取费表'!B22&lt;=1,"单利计息","复利计息")</f>
        <v>复利计息</v>
      </c>
    </row>
    <row r="23" spans="1:7" s="258" customFormat="1" ht="13.5" customHeight="1">
      <c r="A23" s="947" t="s">
        <v>2362</v>
      </c>
      <c r="B23" s="259" t="s">
        <v>2363</v>
      </c>
      <c r="C23" s="1351">
        <f ca="1">ROUND(IF('数据-取费表'!B22&lt;=1,C5*F22*'数据-取费表'!B23,C5*(POWER((1+F22),'数据-取费表'!B23)-1)),0)</f>
        <v>22598</v>
      </c>
      <c r="D23" s="282"/>
      <c r="E23" s="282"/>
      <c r="F23" s="283"/>
      <c r="G23" s="284" t="s">
        <v>2364</v>
      </c>
    </row>
    <row r="24" spans="1:7" s="258" customFormat="1" ht="13.5" customHeight="1">
      <c r="A24" s="947" t="s">
        <v>2365</v>
      </c>
      <c r="B24" s="259" t="s">
        <v>2366</v>
      </c>
      <c r="C24" s="1351">
        <f ca="1">ROUND(IF('数据-取费表'!B22&lt;=1,C19*F22*('数据-取费表'!B19/2+'数据-取费表'!B21),C19*(POWER((1+F22),('数据-取费表'!B19/2+'数据-取费表'!B21))-1)),0)</f>
        <v>0</v>
      </c>
      <c r="D24" s="282"/>
      <c r="E24" s="282"/>
      <c r="F24" s="283"/>
      <c r="G24" s="284" t="s">
        <v>2367</v>
      </c>
    </row>
    <row r="25" spans="1:7" s="258" customFormat="1" ht="24">
      <c r="A25" s="947" t="s">
        <v>2368</v>
      </c>
      <c r="B25" s="259" t="s">
        <v>2369</v>
      </c>
      <c r="C25" s="1351">
        <f ca="1">ROUND(IF('数据-取费表'!B22&lt;=1,C20*F22*'数据-取费表'!B23/2,C20*(POWER((1+F22),'数据-取费表'!B23/2)-1)),0)</f>
        <v>276</v>
      </c>
      <c r="D25" s="282"/>
      <c r="E25" s="285"/>
      <c r="F25" s="283"/>
      <c r="G25" s="286" t="s">
        <v>2370</v>
      </c>
    </row>
    <row r="26" spans="1:7" s="258" customFormat="1">
      <c r="A26" s="947" t="s">
        <v>795</v>
      </c>
      <c r="B26" s="259" t="s">
        <v>2371</v>
      </c>
      <c r="C26" s="282">
        <f ca="1">ROUND(IF('数据-取费表'!B22&lt;=1,F21*F22*'数据-取费表'!B23/2,F21*(POWER((1+F22),'数据-取费表'!B23/2)-1)),4)</f>
        <v>1.4E-3</v>
      </c>
      <c r="D26" s="282"/>
      <c r="E26" s="285"/>
      <c r="F26" s="283"/>
      <c r="G26" s="287"/>
    </row>
    <row r="27" spans="1:7" s="258" customFormat="1" ht="24.75">
      <c r="A27" s="299" t="s">
        <v>2372</v>
      </c>
      <c r="B27" s="288" t="s">
        <v>2373</v>
      </c>
      <c r="C27" s="289">
        <f ca="1">C28</f>
        <v>13099</v>
      </c>
      <c r="D27" s="279">
        <f ca="1">C29</f>
        <v>1.6999999999999999E-3</v>
      </c>
      <c r="E27" s="280" t="s">
        <v>2374</v>
      </c>
      <c r="F27" s="290">
        <f ca="1">IF(B1="",'数据-取费表'!Q16,INDIRECT("'数据-取费表'!q"&amp;$G$1))</f>
        <v>0.11</v>
      </c>
      <c r="G27" s="291" t="s">
        <v>2375</v>
      </c>
    </row>
    <row r="28" spans="1:7" s="258" customFormat="1" ht="13.5" customHeight="1">
      <c r="A28" s="947" t="s">
        <v>791</v>
      </c>
      <c r="B28" s="292" t="s">
        <v>2376</v>
      </c>
      <c r="C28" s="293">
        <f ca="1">ROUND((C5+C19+C20)*F27*'数据-取费表'!B21/'数据-取费表'!B20,0)</f>
        <v>13099</v>
      </c>
      <c r="D28" s="279"/>
      <c r="E28" s="280"/>
      <c r="F28" s="290"/>
      <c r="G28" s="291"/>
    </row>
    <row r="29" spans="1:7" s="258" customFormat="1" ht="13.5" customHeight="1">
      <c r="A29" s="947" t="s">
        <v>792</v>
      </c>
      <c r="B29" s="292" t="s">
        <v>2377</v>
      </c>
      <c r="C29" s="282">
        <f ca="1">ROUND(C21*F27*'数据-取费表'!B21/'数据-取费表'!B20,4)</f>
        <v>1.6999999999999999E-3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300068</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67300</v>
      </c>
      <c r="D33" s="276"/>
      <c r="E33" s="256"/>
      <c r="F33" s="285"/>
      <c r="G33" s="278"/>
    </row>
    <row r="34" spans="1:7" s="302" customFormat="1" ht="13.5" customHeight="1">
      <c r="A34" s="947" t="s">
        <v>791</v>
      </c>
      <c r="B34" s="259" t="s">
        <v>2385</v>
      </c>
      <c r="C34" s="264">
        <f ca="1">IF(B1="",IF(F34=100%,'数据-取费表'!M16,'数据-取费表'!O16),IF(F34=100%,INDIRECT("'数据-取费表'!m"&amp;$G$1)+INDIRECT("'数据-取费表'!t"&amp;$G$1),INDIRECT("'数据-取费表'!o"&amp;$G$1)+INDIRECT("'数据-取费表'!aq"&amp;$G$1)))</f>
        <v>60174</v>
      </c>
      <c r="D34" s="261"/>
      <c r="E34" s="264"/>
      <c r="F34" s="301">
        <f ca="1">IF('数据-取费表'!B24=0,1,IF(B1="",'数据-取费表'!N16,INDIRECT("'数据-取费表'!n"&amp;$G$1)))</f>
        <v>0.42499999999999999</v>
      </c>
      <c r="G34" s="263" t="s">
        <v>2386</v>
      </c>
    </row>
    <row r="35" spans="1:7" ht="13.5" customHeight="1">
      <c r="A35" s="947" t="s">
        <v>796</v>
      </c>
      <c r="B35" s="259" t="s">
        <v>2387</v>
      </c>
      <c r="C35" s="264">
        <f ca="1">ROUND(C34*F35,0)</f>
        <v>3009</v>
      </c>
      <c r="D35" s="264"/>
      <c r="E35" s="264"/>
      <c r="F35" s="303">
        <f>'数据-取费表'!B33</f>
        <v>0.05</v>
      </c>
      <c r="G35" s="263" t="s">
        <v>2388</v>
      </c>
    </row>
    <row r="36" spans="1:7" ht="24">
      <c r="A36" s="947"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2390</v>
      </c>
    </row>
    <row r="37" spans="1:7" s="302" customFormat="1" ht="13.5" customHeight="1">
      <c r="A37" s="947" t="s">
        <v>798</v>
      </c>
      <c r="B37" s="259" t="s">
        <v>2391</v>
      </c>
      <c r="C37" s="293">
        <f ca="1">ROUND(E37*D37*F34/10000,0)</f>
        <v>3214</v>
      </c>
      <c r="D37" s="261">
        <f ca="1">D19</f>
        <v>378144.48</v>
      </c>
      <c r="E37" s="293">
        <f>'数据-取费表'!B35</f>
        <v>200</v>
      </c>
      <c r="F37" s="303"/>
      <c r="G37" s="305" t="s">
        <v>2392</v>
      </c>
    </row>
    <row r="38" spans="1:7" ht="13.5" customHeight="1">
      <c r="A38" s="947" t="s">
        <v>799</v>
      </c>
      <c r="B38" s="259" t="s">
        <v>2393</v>
      </c>
      <c r="C38" s="264">
        <f ca="1">ROUND(C34*F38,0)</f>
        <v>903</v>
      </c>
      <c r="D38" s="264"/>
      <c r="E38" s="264"/>
      <c r="F38" s="303">
        <f>'数据-取费表'!B36</f>
        <v>1.4999999999999999E-2</v>
      </c>
      <c r="G38" s="263" t="s">
        <v>2388</v>
      </c>
    </row>
    <row r="39" spans="1:7" s="258" customFormat="1" ht="13.5" customHeight="1">
      <c r="A39" s="299" t="s">
        <v>2394</v>
      </c>
      <c r="B39" s="254" t="s">
        <v>2395</v>
      </c>
      <c r="C39" s="276">
        <f ca="1">ROUND(C33*F20,0)</f>
        <v>1683</v>
      </c>
      <c r="D39" s="276"/>
      <c r="E39" s="276"/>
      <c r="F39" s="277"/>
      <c r="G39" s="278" t="s">
        <v>2396</v>
      </c>
    </row>
    <row r="40" spans="1:7" s="258" customFormat="1" ht="13.5" customHeight="1">
      <c r="A40" s="299" t="s">
        <v>2397</v>
      </c>
      <c r="B40" s="254" t="s">
        <v>2398</v>
      </c>
      <c r="C40" s="1723">
        <f>F21</f>
        <v>0.03</v>
      </c>
      <c r="D40" s="280" t="s">
        <v>2399</v>
      </c>
      <c r="E40" s="276"/>
      <c r="F40" s="277"/>
      <c r="G40" s="278" t="s">
        <v>2400</v>
      </c>
    </row>
    <row r="41" spans="1:7" s="258" customFormat="1" ht="13.5" customHeight="1">
      <c r="A41" s="299" t="s">
        <v>2401</v>
      </c>
      <c r="B41" s="254" t="s">
        <v>2402</v>
      </c>
      <c r="C41" s="276">
        <f ca="1">ROUND(SUM(C42:C43),0)</f>
        <v>3277</v>
      </c>
      <c r="D41" s="279">
        <f ca="1">C44</f>
        <v>1.4E-3</v>
      </c>
      <c r="E41" s="280" t="s">
        <v>2399</v>
      </c>
      <c r="F41" s="281"/>
      <c r="G41" s="278" t="str">
        <f>IF('数据-取费表'!B22&lt;=1,"单利计息","复利计息")</f>
        <v>复利计息</v>
      </c>
    </row>
    <row r="42" spans="1:7" ht="13.5" customHeight="1">
      <c r="A42" s="947" t="s">
        <v>791</v>
      </c>
      <c r="B42" s="259" t="s">
        <v>2403</v>
      </c>
      <c r="C42" s="282">
        <f ca="1">ROUND(IF('数据-取费表'!B22&lt;=1,C33*F22*'数据-取费表'!B21/2,C33*(POWER((1+F22),'数据-取费表'!B21/2)-1)),0)</f>
        <v>3197</v>
      </c>
      <c r="D42" s="282"/>
      <c r="E42" s="282"/>
      <c r="F42" s="283"/>
      <c r="G42" s="3271" t="s">
        <v>2404</v>
      </c>
    </row>
    <row r="43" spans="1:7" ht="13.5" customHeight="1">
      <c r="A43" s="947" t="s">
        <v>792</v>
      </c>
      <c r="B43" s="259" t="s">
        <v>2405</v>
      </c>
      <c r="C43" s="282">
        <f ca="1">ROUND(IF('数据-取费表'!B22&lt;=1,C39*F22*'数据-取费表'!B21/2,C39*(POWER((1+F22),'数据-取费表'!B21/2)-1)),0)</f>
        <v>80</v>
      </c>
      <c r="D43" s="282"/>
      <c r="E43" s="282"/>
      <c r="F43" s="283"/>
      <c r="G43" s="3272"/>
    </row>
    <row r="44" spans="1:7" ht="13.5" customHeight="1">
      <c r="A44" s="947" t="s">
        <v>793</v>
      </c>
      <c r="B44" s="259" t="s">
        <v>2406</v>
      </c>
      <c r="C44" s="282">
        <f ca="1">ROUND(IF('数据-取费表'!B22&lt;=1,C40*F22*'数据-取费表'!B21/2,C40*(POWER((1+F22),'数据-取费表'!B21/2)-1)),4)</f>
        <v>1.4E-3</v>
      </c>
      <c r="D44" s="282"/>
      <c r="E44" s="282"/>
      <c r="F44" s="283"/>
      <c r="G44" s="3273"/>
    </row>
    <row r="45" spans="1:7" s="258" customFormat="1" ht="13.5" customHeight="1">
      <c r="A45" s="299" t="s">
        <v>2407</v>
      </c>
      <c r="B45" s="288" t="s">
        <v>2373</v>
      </c>
      <c r="C45" s="289">
        <f ca="1">C46</f>
        <v>7588</v>
      </c>
      <c r="D45" s="279">
        <f ca="1">C47</f>
        <v>3.3E-3</v>
      </c>
      <c r="E45" s="280" t="s">
        <v>2399</v>
      </c>
      <c r="F45" s="290"/>
      <c r="G45" s="291" t="s">
        <v>2408</v>
      </c>
    </row>
    <row r="46" spans="1:7" s="258" customFormat="1" ht="13.5" customHeight="1">
      <c r="A46" s="947" t="s">
        <v>791</v>
      </c>
      <c r="B46" s="292" t="s">
        <v>2409</v>
      </c>
      <c r="C46" s="293">
        <f ca="1">ROUND((C33+C39)*F27,0)</f>
        <v>7588</v>
      </c>
      <c r="D46" s="307"/>
      <c r="E46" s="280"/>
      <c r="F46" s="290"/>
      <c r="G46" s="291"/>
    </row>
    <row r="47" spans="1:7" s="258" customFormat="1" ht="13.5" customHeight="1">
      <c r="A47" s="947" t="s">
        <v>792</v>
      </c>
      <c r="B47" s="292" t="s">
        <v>2410</v>
      </c>
      <c r="C47" s="282">
        <f ca="1">ROUND(C40*F27,4)</f>
        <v>3.3E-3</v>
      </c>
      <c r="D47" s="307"/>
      <c r="E47" s="280"/>
      <c r="F47" s="290"/>
      <c r="G47" s="291"/>
    </row>
    <row r="48" spans="1:7" s="258" customFormat="1" ht="13.5" customHeight="1">
      <c r="A48" s="299" t="s">
        <v>2372</v>
      </c>
      <c r="B48" s="254" t="s">
        <v>2411</v>
      </c>
      <c r="C48" s="1723">
        <f>ROUND(F30/(1+'数据-取费表'!C42),4)</f>
        <v>5.33E-2</v>
      </c>
      <c r="D48" s="280" t="s">
        <v>2399</v>
      </c>
      <c r="E48" s="276"/>
      <c r="F48" s="281"/>
      <c r="G48" s="278" t="s">
        <v>2412</v>
      </c>
    </row>
    <row r="49" spans="1:7" ht="16.5" customHeight="1">
      <c r="A49" s="299" t="s">
        <v>2378</v>
      </c>
      <c r="B49" s="254" t="s">
        <v>2413</v>
      </c>
      <c r="C49" s="276">
        <f ca="1">ROUND((C33+C39+C41+C45)/(1-C40-D41-D45-C48),0)</f>
        <v>87553</v>
      </c>
      <c r="D49" s="276"/>
      <c r="E49" s="276"/>
      <c r="F49" s="308"/>
      <c r="G49" s="278" t="s">
        <v>2414</v>
      </c>
    </row>
    <row r="50" spans="1:7" s="302" customFormat="1" ht="24">
      <c r="A50" s="299" t="s">
        <v>2415</v>
      </c>
      <c r="B50" s="254" t="s">
        <v>2416</v>
      </c>
      <c r="C50" s="276"/>
      <c r="D50" s="276"/>
      <c r="E50" s="276"/>
      <c r="F50" s="308">
        <f>IF('数据-取费表'!B24=0,'数据-取费表'!N16,1)</f>
        <v>1</v>
      </c>
      <c r="G50" s="291" t="s">
        <v>2417</v>
      </c>
    </row>
    <row r="51" spans="1:7" ht="16.5" customHeight="1">
      <c r="A51" s="299" t="s">
        <v>2418</v>
      </c>
      <c r="B51" s="254" t="s">
        <v>2419</v>
      </c>
      <c r="C51" s="276">
        <f ca="1">ROUND(C49*F50,0)</f>
        <v>87553</v>
      </c>
      <c r="D51" s="276"/>
      <c r="E51" s="276"/>
      <c r="F51" s="308"/>
      <c r="G51" s="278" t="s">
        <v>2420</v>
      </c>
    </row>
    <row r="52" spans="1:7" s="252" customFormat="1" ht="16.5" thickBot="1">
      <c r="A52" s="309" t="s">
        <v>2421</v>
      </c>
      <c r="B52" s="310"/>
      <c r="C52" s="311">
        <f ca="1">C31+C51</f>
        <v>387621</v>
      </c>
      <c r="D52" s="310"/>
      <c r="E52" s="310"/>
      <c r="F52" s="310"/>
      <c r="G52" s="312"/>
    </row>
    <row r="55" spans="1:7" ht="15">
      <c r="B55" s="314" t="s">
        <v>2422</v>
      </c>
      <c r="C55" s="315"/>
    </row>
    <row r="56" spans="1:7">
      <c r="B56" s="317" t="s">
        <v>1508</v>
      </c>
      <c r="C56" s="319">
        <f ca="1">1-C57</f>
        <v>0.77400000000000002</v>
      </c>
    </row>
    <row r="57" spans="1:7">
      <c r="B57" s="317" t="s">
        <v>1509</v>
      </c>
      <c r="C57" s="318">
        <f ca="1">ROUND(C51/C52,3)</f>
        <v>0.22600000000000001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1"/>
      <c r="C1" s="2546" t="s">
        <v>2423</v>
      </c>
      <c r="D1" s="242"/>
      <c r="E1" s="242"/>
      <c r="F1" s="242"/>
      <c r="G1" s="1375">
        <f>MATCH(B1,'数据-取费表'!A6:A16,0)+5</f>
        <v>10</v>
      </c>
      <c r="H1" s="1278" t="str">
        <f>IF(ISERROR(FIND("住宅",B1)),"非住宅","住宅")</f>
        <v>非住宅</v>
      </c>
    </row>
    <row r="2" spans="1:8" s="244" customFormat="1" ht="18" customHeight="1">
      <c r="A2" s="245" t="s">
        <v>2322</v>
      </c>
      <c r="B2" s="246">
        <f ca="1">ROUND(IF(D2="——",C52/10000,C52/10000-E2),0)</f>
        <v>242467</v>
      </c>
      <c r="C2" s="243" t="s">
        <v>2323</v>
      </c>
      <c r="D2" s="2540" t="s">
        <v>70</v>
      </c>
      <c r="E2" s="1436" t="e">
        <f ca="1">SUMIF(INDIRECT("'"&amp;G2&amp;"'"&amp;"!A:A"),"承租人权益价值",INDIRECT("'"&amp;G2&amp;"'"&amp;"!c:c"))</f>
        <v>#REF!</v>
      </c>
      <c r="F2" s="2541" t="s">
        <v>2323</v>
      </c>
      <c r="G2" s="2542"/>
    </row>
    <row r="3" spans="1:8" s="244" customFormat="1" ht="18" customHeight="1" thickBot="1">
      <c r="A3" s="247" t="s">
        <v>2324</v>
      </c>
      <c r="B3" s="248">
        <f ca="1">ROUND(B2*10000/(IF(B1="",'数据-汇总表'!E3,INDIRECT("'数据-取费表'!k"&amp;$G$1))),0)</f>
        <v>6412</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109661899</v>
      </c>
      <c r="D5" s="255" t="s">
        <v>2329</v>
      </c>
      <c r="E5" s="256" t="s">
        <v>2330</v>
      </c>
      <c r="F5" s="256" t="s">
        <v>2331</v>
      </c>
      <c r="G5" s="257"/>
    </row>
    <row r="6" spans="1:8" s="258" customFormat="1" ht="13.5" customHeight="1">
      <c r="A6" s="945" t="s">
        <v>2332</v>
      </c>
      <c r="B6" s="259" t="s">
        <v>2333</v>
      </c>
      <c r="C6" s="260"/>
      <c r="D6" s="261"/>
      <c r="E6" s="262"/>
      <c r="F6" s="262"/>
      <c r="G6" s="263"/>
    </row>
    <row r="7" spans="1:8" s="258" customFormat="1" ht="13.5" customHeight="1">
      <c r="A7" s="945" t="s">
        <v>2334</v>
      </c>
      <c r="B7" s="259" t="s">
        <v>2335</v>
      </c>
      <c r="C7" s="264">
        <f>ROUND(C6*F7,0)</f>
        <v>0</v>
      </c>
      <c r="D7" s="264"/>
      <c r="E7" s="262"/>
      <c r="F7" s="265">
        <f>IF(项目基本情况!B8="出让",0,'数据-取费表'!B48+'数据-取费表'!B49)</f>
        <v>3.0499999999999999E-2</v>
      </c>
      <c r="G7" s="263"/>
    </row>
    <row r="8" spans="1:8" s="267" customFormat="1">
      <c r="A8" s="945" t="s">
        <v>2336</v>
      </c>
      <c r="B8" s="259" t="s">
        <v>2337</v>
      </c>
      <c r="C8" s="264">
        <f ca="1">IF(G8="已包含在土地购买价格中",0,C9+C10)</f>
        <v>109661899</v>
      </c>
      <c r="D8" s="266"/>
      <c r="E8" s="264"/>
      <c r="F8" s="265"/>
      <c r="G8" s="2543"/>
    </row>
    <row r="9" spans="1:8" s="258" customFormat="1" ht="13.5" customHeight="1">
      <c r="A9" s="946" t="s">
        <v>800</v>
      </c>
      <c r="B9" s="268" t="s">
        <v>2338</v>
      </c>
      <c r="C9" s="269">
        <f ca="1">ROUND(D9*E9,0)</f>
        <v>26564000</v>
      </c>
      <c r="D9" s="1028">
        <f ca="1">IF(B1="",'数据-汇总表'!E5,IF(INDIRECT("'数据-取费表'!c"&amp;$G$1)="住宅",INDIRECT("'数据-取费表'!k"&amp;$G$1),0))</f>
        <v>91600</v>
      </c>
      <c r="E9" s="269">
        <f>'数据-取费表'!B27</f>
        <v>290</v>
      </c>
      <c r="F9" s="265"/>
      <c r="G9" s="270"/>
    </row>
    <row r="10" spans="1:8" s="258" customFormat="1" ht="13.5" customHeight="1">
      <c r="A10" s="946" t="s">
        <v>801</v>
      </c>
      <c r="B10" s="268" t="s">
        <v>2340</v>
      </c>
      <c r="C10" s="269">
        <f ca="1">ROUND(D10*E10,0)</f>
        <v>83097899</v>
      </c>
      <c r="D10" s="1028">
        <f ca="1">IF(B1="",'数据-汇总表'!E6,IF(INDIRECT("'数据-取费表'!c"&amp;$G$1)="住宅",INDIRECT("'数据-取费表'!s"&amp;$G$1),INDIRECT("'数据-取费表'!k"&amp;$G$1)+INDIRECT("'数据-取费表'!s"&amp;$G$1)))</f>
        <v>286544.48</v>
      </c>
      <c r="E10" s="269">
        <f>'数据-取费表'!B28</f>
        <v>290</v>
      </c>
      <c r="F10" s="265"/>
      <c r="G10" s="270"/>
    </row>
    <row r="11" spans="1:8" s="258" customFormat="1" ht="13.5" hidden="1" customHeight="1">
      <c r="A11" s="271" t="s">
        <v>7</v>
      </c>
      <c r="B11" s="259" t="s">
        <v>2341</v>
      </c>
      <c r="C11" s="255"/>
      <c r="D11" s="1030"/>
      <c r="E11" s="262"/>
      <c r="F11" s="262"/>
      <c r="G11" s="263"/>
    </row>
    <row r="12" spans="1:8" s="258" customFormat="1" ht="13.5" hidden="1" customHeight="1">
      <c r="A12" s="271" t="s">
        <v>8</v>
      </c>
      <c r="B12" s="259" t="s">
        <v>2424</v>
      </c>
      <c r="C12" s="255">
        <v>0</v>
      </c>
      <c r="D12" s="1030"/>
      <c r="E12" s="272"/>
      <c r="F12" s="265">
        <v>3.0499999999999999E-2</v>
      </c>
      <c r="G12" s="263"/>
    </row>
    <row r="13" spans="1:8" s="258" customFormat="1" ht="13.5" hidden="1" customHeight="1">
      <c r="A13" s="271" t="s">
        <v>9</v>
      </c>
      <c r="B13" s="259" t="s">
        <v>2425</v>
      </c>
      <c r="C13" s="255"/>
      <c r="D13" s="1030"/>
      <c r="E13" s="262"/>
      <c r="F13" s="262"/>
      <c r="G13" s="263"/>
    </row>
    <row r="14" spans="1:8" s="258" customFormat="1" ht="13.5" hidden="1" customHeight="1">
      <c r="A14" s="271" t="s">
        <v>10</v>
      </c>
      <c r="B14" s="259" t="s">
        <v>2337</v>
      </c>
      <c r="C14" s="255"/>
      <c r="D14" s="1030"/>
      <c r="E14" s="262"/>
      <c r="F14" s="262"/>
      <c r="G14" s="263" t="s">
        <v>2426</v>
      </c>
    </row>
    <row r="15" spans="1:8" s="258" customFormat="1" ht="13.5" hidden="1" customHeight="1">
      <c r="A15" s="271" t="s">
        <v>11</v>
      </c>
      <c r="B15" s="259" t="s">
        <v>2427</v>
      </c>
      <c r="C15" s="264"/>
      <c r="D15" s="1030"/>
      <c r="E15" s="262"/>
      <c r="F15" s="262"/>
      <c r="G15" s="263" t="s">
        <v>2428</v>
      </c>
    </row>
    <row r="16" spans="1:8" s="258" customFormat="1" ht="13.5" hidden="1" customHeight="1">
      <c r="A16" s="271" t="s">
        <v>12</v>
      </c>
      <c r="B16" s="259" t="s">
        <v>2337</v>
      </c>
      <c r="C16" s="264"/>
      <c r="D16" s="1030"/>
      <c r="E16" s="262"/>
      <c r="F16" s="262"/>
      <c r="G16" s="263"/>
    </row>
    <row r="17" spans="1:7" s="258" customFormat="1" ht="13.5" hidden="1" customHeight="1">
      <c r="A17" s="271" t="s">
        <v>13</v>
      </c>
      <c r="B17" s="259" t="s">
        <v>2429</v>
      </c>
      <c r="C17" s="273"/>
      <c r="D17" s="1031"/>
      <c r="E17" s="273"/>
      <c r="F17" s="273"/>
      <c r="G17" s="263" t="s">
        <v>2428</v>
      </c>
    </row>
    <row r="18" spans="1:7" s="258" customFormat="1" ht="13.5" hidden="1" customHeight="1">
      <c r="A18" s="271" t="s">
        <v>14</v>
      </c>
      <c r="B18" s="259" t="s">
        <v>2430</v>
      </c>
      <c r="C18" s="264">
        <v>0</v>
      </c>
      <c r="D18" s="1030"/>
      <c r="E18" s="262"/>
      <c r="F18" s="265">
        <v>3.0499999999999999E-2</v>
      </c>
      <c r="G18" s="263" t="s">
        <v>2431</v>
      </c>
    </row>
    <row r="19" spans="1:7" s="267" customFormat="1" ht="13.5" customHeight="1">
      <c r="A19" s="299" t="s">
        <v>2432</v>
      </c>
      <c r="B19" s="254" t="s">
        <v>2433</v>
      </c>
      <c r="C19" s="255">
        <f ca="1">IF(G19="已包含在土地取得成本中","0",ROUND(D19*E19,0))</f>
        <v>56721672</v>
      </c>
      <c r="D19" s="1032">
        <f ca="1">D9+D10</f>
        <v>378144.48</v>
      </c>
      <c r="E19" s="255">
        <f>'数据-取费表'!B31</f>
        <v>150</v>
      </c>
      <c r="F19" s="275"/>
      <c r="G19" s="2543"/>
    </row>
    <row r="20" spans="1:7" s="258" customFormat="1" ht="13.5" customHeight="1">
      <c r="A20" s="299" t="s">
        <v>2434</v>
      </c>
      <c r="B20" s="254" t="s">
        <v>2435</v>
      </c>
      <c r="C20" s="276">
        <f ca="1">ROUND((C5+C19)*F20,0)</f>
        <v>4159589</v>
      </c>
      <c r="D20" s="276"/>
      <c r="E20" s="276"/>
      <c r="F20" s="277">
        <f>'数据-取费表'!B37</f>
        <v>2.5000000000000001E-2</v>
      </c>
      <c r="G20" s="278" t="s">
        <v>2436</v>
      </c>
    </row>
    <row r="21" spans="1:7" s="258" customFormat="1" ht="13.5" customHeight="1">
      <c r="A21" s="299" t="s">
        <v>2437</v>
      </c>
      <c r="B21" s="254" t="s">
        <v>2438</v>
      </c>
      <c r="C21" s="279">
        <f>F21</f>
        <v>0.03</v>
      </c>
      <c r="D21" s="280" t="s">
        <v>2439</v>
      </c>
      <c r="E21" s="276"/>
      <c r="F21" s="277">
        <f>'数据-取费表'!B38</f>
        <v>0.03</v>
      </c>
      <c r="G21" s="278" t="s">
        <v>2440</v>
      </c>
    </row>
    <row r="22" spans="1:7" s="258" customFormat="1" ht="13.5" customHeight="1">
      <c r="A22" s="299" t="s">
        <v>2441</v>
      </c>
      <c r="B22" s="254" t="s">
        <v>2442</v>
      </c>
      <c r="C22" s="1376">
        <f ca="1">ROUND(SUM(C23:C25),0)</f>
        <v>34342016</v>
      </c>
      <c r="D22" s="279">
        <f ca="1">C26</f>
        <v>2.8999999999999998E-3</v>
      </c>
      <c r="E22" s="280" t="s">
        <v>2439</v>
      </c>
      <c r="F22" s="281">
        <f ca="1">'数据-取费表'!B40</f>
        <v>4.7500000000000001E-2</v>
      </c>
      <c r="G22" s="278" t="str">
        <f>IF('数据-取费表'!B22&lt;=1,"单利计息","复利计息")</f>
        <v>复利计息</v>
      </c>
    </row>
    <row r="23" spans="1:7" s="258" customFormat="1" ht="13.5" customHeight="1">
      <c r="A23" s="947" t="s">
        <v>2332</v>
      </c>
      <c r="B23" s="259" t="s">
        <v>2443</v>
      </c>
      <c r="C23" s="1377">
        <f ca="1">ROUND(IF('数据-取费表'!B22&lt;=1,C5*F22*'数据-取费表'!B22,C5*(POWER((1+F22),'数据-取费表'!B22)-1)),0)</f>
        <v>22367878</v>
      </c>
      <c r="D23" s="282"/>
      <c r="E23" s="282"/>
      <c r="F23" s="283"/>
      <c r="G23" s="284" t="s">
        <v>2444</v>
      </c>
    </row>
    <row r="24" spans="1:7" s="258" customFormat="1" ht="13.5" customHeight="1">
      <c r="A24" s="947" t="s">
        <v>2334</v>
      </c>
      <c r="B24" s="259" t="s">
        <v>2445</v>
      </c>
      <c r="C24" s="1377">
        <f ca="1">ROUND(IF('数据-取费表'!B22&lt;=1,C19*F22*('数据-取费表'!B19/2+'数据-取费表'!B20),C19*(POWER((1+F22),('数据-取费表'!B19/2+'数据-取费表'!B20))-1)),0)</f>
        <v>11569592</v>
      </c>
      <c r="D24" s="282"/>
      <c r="E24" s="282"/>
      <c r="F24" s="283"/>
      <c r="G24" s="284" t="s">
        <v>2446</v>
      </c>
    </row>
    <row r="25" spans="1:7" s="258" customFormat="1" ht="24">
      <c r="A25" s="947" t="s">
        <v>2336</v>
      </c>
      <c r="B25" s="259" t="s">
        <v>2447</v>
      </c>
      <c r="C25" s="1377">
        <f ca="1">ROUND(IF('数据-取费表'!B22&lt;=1,C20*F22*'数据-取费表'!B22/2,C20*(POWER((1+F22),'数据-取费表'!B22/2)-1)),0)</f>
        <v>404546</v>
      </c>
      <c r="D25" s="282"/>
      <c r="E25" s="285"/>
      <c r="F25" s="283"/>
      <c r="G25" s="286" t="s">
        <v>2448</v>
      </c>
    </row>
    <row r="26" spans="1:7" s="258" customFormat="1">
      <c r="A26" s="947" t="s">
        <v>795</v>
      </c>
      <c r="B26" s="259" t="s">
        <v>2371</v>
      </c>
      <c r="C26" s="282">
        <f ca="1">ROUND(IF('数据-取费表'!B22&lt;=1,F21*F22*'数据-取费表'!B22/2,F21*(POWER((1+F22),'数据-取费表'!B22/2)-1)),4)</f>
        <v>2.8999999999999998E-3</v>
      </c>
      <c r="D26" s="282"/>
      <c r="E26" s="285"/>
      <c r="F26" s="283"/>
      <c r="G26" s="287"/>
    </row>
    <row r="27" spans="1:7" s="258" customFormat="1" ht="24.75">
      <c r="A27" s="299" t="s">
        <v>2372</v>
      </c>
      <c r="B27" s="288" t="s">
        <v>2373</v>
      </c>
      <c r="C27" s="289">
        <f ca="1">C28</f>
        <v>18759748</v>
      </c>
      <c r="D27" s="279">
        <f ca="1">C29</f>
        <v>3.3E-3</v>
      </c>
      <c r="E27" s="280" t="s">
        <v>2374</v>
      </c>
      <c r="F27" s="290">
        <f ca="1">IF(B1="",'数据-取费表'!Q16,INDIRECT("'数据-取费表'!q"&amp;$G$1))</f>
        <v>0.11</v>
      </c>
      <c r="G27" s="291" t="s">
        <v>2375</v>
      </c>
    </row>
    <row r="28" spans="1:7" s="258" customFormat="1" ht="13.5" customHeight="1">
      <c r="A28" s="947" t="s">
        <v>791</v>
      </c>
      <c r="B28" s="292" t="s">
        <v>2376</v>
      </c>
      <c r="C28" s="293">
        <f ca="1">ROUND((C5+C19+C20)*F27,0)</f>
        <v>18759748</v>
      </c>
      <c r="D28" s="279"/>
      <c r="E28" s="280"/>
      <c r="F28" s="290"/>
      <c r="G28" s="291"/>
    </row>
    <row r="29" spans="1:7" s="258" customFormat="1" ht="13.5" customHeight="1">
      <c r="A29" s="947" t="s">
        <v>792</v>
      </c>
      <c r="B29" s="292" t="s">
        <v>2377</v>
      </c>
      <c r="C29" s="282">
        <f ca="1">ROUND(C21*F27,4)</f>
        <v>3.3E-3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245628692</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1603326445</v>
      </c>
      <c r="D33" s="276"/>
      <c r="E33" s="256"/>
      <c r="F33" s="285"/>
      <c r="G33" s="278"/>
    </row>
    <row r="34" spans="1:7" s="302" customFormat="1" ht="13.5" customHeight="1">
      <c r="A34" s="947" t="s">
        <v>791</v>
      </c>
      <c r="B34" s="259" t="s">
        <v>2385</v>
      </c>
      <c r="C34" s="264">
        <f ca="1">ROUND(IF(B1="",SUMPRODUCT('数据-取费表'!K6:K14,'数据-取费表'!L6:L14),INDIRECT("'数据-取费表'!l"&amp;$G$1)*INDIRECT("'数据-取费表'!k"&amp;$G$1)+'数据-取费表'!L14*INDIRECT("'数据-取费表'!S"&amp;$G$1)),0)</f>
        <v>1415105680</v>
      </c>
      <c r="D34" s="261"/>
      <c r="E34" s="264"/>
      <c r="F34" s="301"/>
      <c r="G34" s="263"/>
    </row>
    <row r="35" spans="1:7" ht="13.5" customHeight="1">
      <c r="A35" s="947" t="s">
        <v>796</v>
      </c>
      <c r="B35" s="259" t="s">
        <v>2387</v>
      </c>
      <c r="C35" s="264">
        <f ca="1">ROUND(C34*F35,0)</f>
        <v>70755284</v>
      </c>
      <c r="D35" s="264"/>
      <c r="E35" s="264"/>
      <c r="F35" s="303">
        <f>'数据-取费表'!B33</f>
        <v>0.05</v>
      </c>
      <c r="G35" s="263" t="s">
        <v>2388</v>
      </c>
    </row>
    <row r="36" spans="1:7" ht="24">
      <c r="A36" s="947" t="s">
        <v>797</v>
      </c>
      <c r="B36" s="259" t="s">
        <v>2389</v>
      </c>
      <c r="C36" s="264">
        <f ca="1">ROUND(IF(B1="",SUM('数据-取费表'!AP6:AP13)*F36,IF(INDIRECT("'数据-取费表'!c"&amp;$G$1)="住宅",INDIRECT("'数据-取费表'!k"&amp;$G$1)*INDIRECT("'数据-取费表'!l"&amp;$G$1)*F36,0)),0)</f>
        <v>20610000</v>
      </c>
      <c r="D36" s="264"/>
      <c r="E36" s="264"/>
      <c r="F36" s="303">
        <f>'数据-取费表'!B34</f>
        <v>0.05</v>
      </c>
      <c r="G36" s="304" t="s">
        <v>2390</v>
      </c>
    </row>
    <row r="37" spans="1:7" s="302" customFormat="1" ht="13.5" customHeight="1">
      <c r="A37" s="947" t="s">
        <v>798</v>
      </c>
      <c r="B37" s="259" t="s">
        <v>2391</v>
      </c>
      <c r="C37" s="293">
        <f ca="1">ROUND(E37*D37,0)</f>
        <v>75628896</v>
      </c>
      <c r="D37" s="261">
        <f ca="1">D19</f>
        <v>378144.48</v>
      </c>
      <c r="E37" s="293">
        <f>'数据-取费表'!B35</f>
        <v>200</v>
      </c>
      <c r="F37" s="303"/>
      <c r="G37" s="305"/>
    </row>
    <row r="38" spans="1:7" ht="13.5" customHeight="1">
      <c r="A38" s="947" t="s">
        <v>799</v>
      </c>
      <c r="B38" s="259" t="s">
        <v>2393</v>
      </c>
      <c r="C38" s="264">
        <f ca="1">ROUND(C34*F38,0)</f>
        <v>21226585</v>
      </c>
      <c r="D38" s="264"/>
      <c r="E38" s="264"/>
      <c r="F38" s="303">
        <f>'数据-取费表'!B36</f>
        <v>1.4999999999999999E-2</v>
      </c>
      <c r="G38" s="263" t="s">
        <v>2388</v>
      </c>
    </row>
    <row r="39" spans="1:7" s="258" customFormat="1" ht="13.5" customHeight="1">
      <c r="A39" s="299" t="s">
        <v>2394</v>
      </c>
      <c r="B39" s="254" t="s">
        <v>2395</v>
      </c>
      <c r="C39" s="276">
        <f ca="1">ROUND(C33*F20,0)</f>
        <v>40083161</v>
      </c>
      <c r="D39" s="276"/>
      <c r="E39" s="276"/>
      <c r="F39" s="277"/>
      <c r="G39" s="278" t="s">
        <v>2396</v>
      </c>
    </row>
    <row r="40" spans="1:7" s="258" customFormat="1" ht="13.5" customHeight="1">
      <c r="A40" s="299" t="s">
        <v>2397</v>
      </c>
      <c r="B40" s="254" t="s">
        <v>2398</v>
      </c>
      <c r="C40" s="1723">
        <f>F21</f>
        <v>0.03</v>
      </c>
      <c r="D40" s="280" t="s">
        <v>2399</v>
      </c>
      <c r="E40" s="276"/>
      <c r="F40" s="277"/>
      <c r="G40" s="278" t="s">
        <v>2400</v>
      </c>
    </row>
    <row r="41" spans="1:7" s="258" customFormat="1" ht="13.5" customHeight="1">
      <c r="A41" s="299" t="s">
        <v>2401</v>
      </c>
      <c r="B41" s="254" t="s">
        <v>2402</v>
      </c>
      <c r="C41" s="276">
        <f ca="1">ROUND(SUM(C42:C43),0)</f>
        <v>159831856</v>
      </c>
      <c r="D41" s="279">
        <f ca="1">C44</f>
        <v>2.8999999999999998E-3</v>
      </c>
      <c r="E41" s="280" t="s">
        <v>2399</v>
      </c>
      <c r="F41" s="281"/>
      <c r="G41" s="278" t="str">
        <f>IF('数据-取费表'!B22&lt;=1,"单利计息","复利计息")</f>
        <v>复利计息</v>
      </c>
    </row>
    <row r="42" spans="1:7" ht="13.5" customHeight="1">
      <c r="A42" s="947" t="s">
        <v>791</v>
      </c>
      <c r="B42" s="259" t="s">
        <v>2403</v>
      </c>
      <c r="C42" s="282">
        <f ca="1">ROUND(IF('数据-取费表'!B22&lt;=1,C33*F22*'数据-取费表'!B20/2,C33*(POWER((1+F22),'数据-取费表'!B20/2)-1)),0)</f>
        <v>155933518</v>
      </c>
      <c r="D42" s="282"/>
      <c r="E42" s="282"/>
      <c r="F42" s="283"/>
      <c r="G42" s="3271" t="s">
        <v>2451</v>
      </c>
    </row>
    <row r="43" spans="1:7" ht="13.5" customHeight="1">
      <c r="A43" s="947" t="s">
        <v>792</v>
      </c>
      <c r="B43" s="259" t="s">
        <v>2405</v>
      </c>
      <c r="C43" s="282">
        <f ca="1">ROUND(IF('数据-取费表'!B22&lt;=1,C39*F22*'数据-取费表'!B20/2,C39*(POWER((1+F22),'数据-取费表'!B20/2)-1)),0)</f>
        <v>3898338</v>
      </c>
      <c r="D43" s="282"/>
      <c r="E43" s="282"/>
      <c r="F43" s="283"/>
      <c r="G43" s="3272"/>
    </row>
    <row r="44" spans="1:7" ht="13.5" customHeight="1">
      <c r="A44" s="947" t="s">
        <v>793</v>
      </c>
      <c r="B44" s="259" t="s">
        <v>2406</v>
      </c>
      <c r="C44" s="282">
        <f ca="1">ROUND(IF('数据-取费表'!B22&lt;=1,C40*F22*'数据-取费表'!B20/2,C40*(POWER((1+F22),'数据-取费表'!B20/2)-1)),4)</f>
        <v>2.8999999999999998E-3</v>
      </c>
      <c r="D44" s="282"/>
      <c r="E44" s="282"/>
      <c r="F44" s="283"/>
      <c r="G44" s="3273"/>
    </row>
    <row r="45" spans="1:7" s="258" customFormat="1" ht="13.5" customHeight="1">
      <c r="A45" s="299" t="s">
        <v>2407</v>
      </c>
      <c r="B45" s="288" t="s">
        <v>2373</v>
      </c>
      <c r="C45" s="289">
        <f ca="1">C46</f>
        <v>180775057</v>
      </c>
      <c r="D45" s="279">
        <f ca="1">C47</f>
        <v>3.3E-3</v>
      </c>
      <c r="E45" s="280" t="s">
        <v>2399</v>
      </c>
      <c r="F45" s="290"/>
      <c r="G45" s="291" t="s">
        <v>2408</v>
      </c>
    </row>
    <row r="46" spans="1:7" s="258" customFormat="1" ht="13.5" customHeight="1">
      <c r="A46" s="947" t="s">
        <v>791</v>
      </c>
      <c r="B46" s="292" t="s">
        <v>2409</v>
      </c>
      <c r="C46" s="293">
        <f ca="1">ROUND((C33+C39)*F27,0)</f>
        <v>180775057</v>
      </c>
      <c r="D46" s="307"/>
      <c r="E46" s="280"/>
      <c r="F46" s="290"/>
      <c r="G46" s="291"/>
    </row>
    <row r="47" spans="1:7" s="258" customFormat="1" ht="13.5" customHeight="1">
      <c r="A47" s="947" t="s">
        <v>792</v>
      </c>
      <c r="B47" s="292" t="s">
        <v>2410</v>
      </c>
      <c r="C47" s="282">
        <f ca="1">ROUND(C40*F27,4)</f>
        <v>3.3E-3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2179040658</v>
      </c>
      <c r="D49" s="276"/>
      <c r="E49" s="276"/>
      <c r="F49" s="308"/>
      <c r="G49" s="278" t="s">
        <v>2414</v>
      </c>
    </row>
    <row r="50" spans="1:7" s="302" customFormat="1">
      <c r="A50" s="299" t="s">
        <v>2415</v>
      </c>
      <c r="B50" s="254" t="s">
        <v>2416</v>
      </c>
      <c r="C50" s="276"/>
      <c r="D50" s="276"/>
      <c r="E50" s="276"/>
      <c r="F50" s="308">
        <f>IF('数据-取费表'!B24=0,'数据-取费表'!N16,1)</f>
        <v>1</v>
      </c>
      <c r="G50" s="291"/>
    </row>
    <row r="51" spans="1:7" ht="16.5" customHeight="1">
      <c r="A51" s="299" t="s">
        <v>2418</v>
      </c>
      <c r="B51" s="254" t="s">
        <v>2453</v>
      </c>
      <c r="C51" s="276">
        <f ca="1">ROUND(C49*F50,0)</f>
        <v>2179040658</v>
      </c>
      <c r="D51" s="276"/>
      <c r="E51" s="276"/>
      <c r="F51" s="308"/>
      <c r="G51" s="278" t="s">
        <v>2420</v>
      </c>
    </row>
    <row r="52" spans="1:7" s="252" customFormat="1" ht="16.5" thickBot="1">
      <c r="A52" s="309" t="s">
        <v>2421</v>
      </c>
      <c r="B52" s="310"/>
      <c r="C52" s="311">
        <f ca="1">C31+C51</f>
        <v>2424669350</v>
      </c>
      <c r="D52" s="310"/>
      <c r="E52" s="310"/>
      <c r="F52" s="310"/>
      <c r="G52" s="312"/>
    </row>
    <row r="55" spans="1:7" ht="15">
      <c r="B55" s="314" t="s">
        <v>2422</v>
      </c>
      <c r="C55" s="315"/>
    </row>
    <row r="56" spans="1:7">
      <c r="B56" s="317" t="s">
        <v>1508</v>
      </c>
      <c r="C56" s="319">
        <f ca="1">1-C57</f>
        <v>0.10099999999999998</v>
      </c>
    </row>
    <row r="57" spans="1:7">
      <c r="B57" s="317" t="s">
        <v>1509</v>
      </c>
      <c r="C57" s="318">
        <f ca="1">ROUND(C51/C52,3)</f>
        <v>0.89900000000000002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12" sqref="C12"/>
    </sheetView>
  </sheetViews>
  <sheetFormatPr defaultColWidth="9" defaultRowHeight="14.25"/>
  <cols>
    <col min="1" max="1" width="14.375" style="403" customWidth="1"/>
    <col min="2" max="2" width="15.75" style="403" customWidth="1"/>
    <col min="3" max="3" width="17"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2322</v>
      </c>
      <c r="B2" s="670">
        <f>F66</f>
        <v>307196</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7"/>
    </row>
    <row r="3" spans="1:30" s="398" customFormat="1" ht="28.5" customHeight="1" thickBot="1">
      <c r="A3" s="247" t="s">
        <v>2324</v>
      </c>
      <c r="B3" s="609">
        <f>ROUND(IF(D3="",B2*10000/'数据-汇总表'!E3,B2*10000/D3),0)</f>
        <v>8124</v>
      </c>
      <c r="C3" s="247" t="s">
        <v>2738</v>
      </c>
      <c r="D3" s="1578"/>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30" ht="15">
      <c r="A4" s="401" t="s">
        <v>2637</v>
      </c>
      <c r="B4" s="402"/>
      <c r="C4" s="3292" t="s">
        <v>2638</v>
      </c>
      <c r="D4" s="3293"/>
      <c r="E4" s="3294" t="s">
        <v>2639</v>
      </c>
      <c r="F4" s="3295"/>
      <c r="G4" s="3292" t="s">
        <v>2640</v>
      </c>
      <c r="H4" s="3293"/>
      <c r="I4" s="3292" t="s">
        <v>2641</v>
      </c>
      <c r="J4" s="3293"/>
      <c r="K4" s="610" t="s">
        <v>2642</v>
      </c>
      <c r="L4" s="1126"/>
      <c r="M4" s="1127"/>
      <c r="N4" s="1127"/>
      <c r="O4" s="1127"/>
      <c r="P4" s="3296" t="s">
        <v>2643</v>
      </c>
      <c r="Q4" s="3297"/>
      <c r="R4" s="3279" t="s">
        <v>2639</v>
      </c>
      <c r="S4" s="3280"/>
      <c r="T4" s="3279" t="s">
        <v>2640</v>
      </c>
      <c r="U4" s="3280"/>
      <c r="V4" s="3304" t="s">
        <v>2641</v>
      </c>
      <c r="W4" s="3304"/>
      <c r="X4" s="1808"/>
      <c r="Y4" s="3279" t="s">
        <v>2643</v>
      </c>
      <c r="Z4" s="3280"/>
      <c r="AA4" s="3274" t="s">
        <v>2639</v>
      </c>
      <c r="AB4" s="3275" t="s">
        <v>2640</v>
      </c>
      <c r="AC4" s="3274" t="s">
        <v>2641</v>
      </c>
    </row>
    <row r="5" spans="1:30" ht="15">
      <c r="A5" s="404"/>
      <c r="B5" s="405"/>
      <c r="C5" s="3285" t="s">
        <v>2534</v>
      </c>
      <c r="D5" s="3286"/>
      <c r="E5" s="3283" t="str">
        <f>住宅土地案例!E4</f>
        <v>江北区观音桥组团M分区M09-4/02号宗地</v>
      </c>
      <c r="F5" s="3284"/>
      <c r="G5" s="3285" t="str">
        <f>住宅土地案例!E7</f>
        <v>江北区大石坝组团G分区G20-1-2/02号宗地</v>
      </c>
      <c r="H5" s="3286"/>
      <c r="I5" s="3285" t="str">
        <f>住宅土地案例!E13</f>
        <v>渝中区渝中组团C分区C29-7号宗地</v>
      </c>
      <c r="J5" s="3286"/>
      <c r="K5" s="610"/>
      <c r="L5" s="1126"/>
      <c r="M5" s="1127"/>
      <c r="N5" s="1127"/>
      <c r="O5" s="1127"/>
      <c r="P5" s="3298"/>
      <c r="Q5" s="3299"/>
      <c r="R5" s="3281"/>
      <c r="S5" s="3282"/>
      <c r="T5" s="3281"/>
      <c r="U5" s="3282"/>
      <c r="V5" s="3304"/>
      <c r="W5" s="3304"/>
      <c r="X5" s="1808"/>
      <c r="Y5" s="3281"/>
      <c r="Z5" s="3282"/>
      <c r="AA5" s="3275"/>
      <c r="AB5" s="3275"/>
      <c r="AC5" s="3275"/>
    </row>
    <row r="6" spans="1:30" ht="15.75" thickBot="1">
      <c r="A6" s="406"/>
      <c r="B6" s="407"/>
      <c r="C6" s="3287" t="s">
        <v>2538</v>
      </c>
      <c r="D6" s="3288"/>
      <c r="E6" s="3289">
        <f>住宅土地案例!G4</f>
        <v>18098</v>
      </c>
      <c r="F6" s="3290"/>
      <c r="G6" s="3287">
        <f>住宅土地案例!G7</f>
        <v>17105</v>
      </c>
      <c r="H6" s="3288"/>
      <c r="I6" s="3287">
        <f>住宅土地案例!G13</f>
        <v>17121</v>
      </c>
      <c r="J6" s="3288"/>
      <c r="K6" s="610" t="s">
        <v>2539</v>
      </c>
      <c r="L6" s="1126"/>
      <c r="M6" s="1127"/>
      <c r="N6" s="1127"/>
      <c r="O6" s="1127"/>
      <c r="P6" s="3300"/>
      <c r="Q6" s="3301"/>
      <c r="R6" s="3281"/>
      <c r="S6" s="3282"/>
      <c r="T6" s="3302"/>
      <c r="U6" s="3303"/>
      <c r="V6" s="3304"/>
      <c r="W6" s="3304"/>
      <c r="X6" s="1808"/>
      <c r="Y6" s="3302"/>
      <c r="Z6" s="3303"/>
      <c r="AA6" s="3276"/>
      <c r="AB6" s="3276"/>
      <c r="AC6" s="3276"/>
    </row>
    <row r="7" spans="1:30" s="117" customFormat="1" ht="15.75" thickBot="1">
      <c r="A7" s="408" t="s">
        <v>2540</v>
      </c>
      <c r="B7" s="409"/>
      <c r="C7" s="410">
        <f>'数据-取费表'!B2</f>
        <v>43796</v>
      </c>
      <c r="D7" s="411">
        <v>100</v>
      </c>
      <c r="E7" s="412" t="str">
        <f>住宅土地案例!L4</f>
        <v>2018-11-28</v>
      </c>
      <c r="F7" s="413">
        <f>SUMIF(70:70,YEAR(E7)&amp;"-"&amp;INT((MONTH(E7)+2)/3),71:71)</f>
        <v>96</v>
      </c>
      <c r="G7" s="2687" t="str">
        <f>住宅土地案例!L7</f>
        <v>2017-08-22</v>
      </c>
      <c r="H7" s="411">
        <f>SUMIF(70:70,YEAR(G7)&amp;"-"&amp;INT((MONTH(G7)+2)/3),71:71)</f>
        <v>91</v>
      </c>
      <c r="I7" s="2687" t="str">
        <f>住宅土地案例!L13</f>
        <v>2017-09-15</v>
      </c>
      <c r="J7" s="411">
        <f>SUMIF(70:70,YEAR(I7)&amp;"-"&amp;INT((MONTH(I7)+2)/3),71:71)</f>
        <v>91</v>
      </c>
      <c r="K7" s="611"/>
      <c r="L7" s="1128"/>
      <c r="M7" s="1129"/>
      <c r="N7" s="1129"/>
      <c r="O7" s="1129"/>
      <c r="P7" s="3277" t="s">
        <v>2541</v>
      </c>
      <c r="Q7" s="3305"/>
      <c r="R7" s="768" t="s">
        <v>17</v>
      </c>
      <c r="S7" s="769">
        <f t="shared" ref="S7:S15" si="0">F7</f>
        <v>96</v>
      </c>
      <c r="T7" s="768" t="s">
        <v>17</v>
      </c>
      <c r="U7" s="769">
        <f t="shared" ref="U7:U15" si="1">H7</f>
        <v>91</v>
      </c>
      <c r="V7" s="768" t="s">
        <v>17</v>
      </c>
      <c r="W7" s="769">
        <f t="shared" ref="W7:W15" si="2">J7</f>
        <v>91</v>
      </c>
      <c r="X7" s="770"/>
      <c r="Y7" s="3277" t="s">
        <v>2541</v>
      </c>
      <c r="Z7" s="3278"/>
      <c r="AA7" s="771">
        <f>D7/F7</f>
        <v>1.0416666666666667</v>
      </c>
      <c r="AB7" s="771">
        <f>D7/H7</f>
        <v>1.098901098901099</v>
      </c>
      <c r="AC7" s="771">
        <f>D7/J7</f>
        <v>1.098901098901099</v>
      </c>
    </row>
    <row r="8" spans="1:30" s="117" customFormat="1" ht="15.75" thickBot="1">
      <c r="A8" s="408" t="s">
        <v>2542</v>
      </c>
      <c r="B8" s="409"/>
      <c r="C8" s="414" t="s">
        <v>2543</v>
      </c>
      <c r="D8" s="411">
        <v>100</v>
      </c>
      <c r="E8" s="414" t="s">
        <v>3605</v>
      </c>
      <c r="F8" s="413">
        <f>SUMIF(73:73,E8,74:74)-SUMIF(73:73,C8,74:74)+100</f>
        <v>100</v>
      </c>
      <c r="G8" s="414" t="s">
        <v>3605</v>
      </c>
      <c r="H8" s="411">
        <f>SUMIF(73:73,G8,74:74)-SUMIF(73:73,C8,74:74)+100</f>
        <v>100</v>
      </c>
      <c r="I8" s="414" t="s">
        <v>3605</v>
      </c>
      <c r="J8" s="411">
        <f>SUMIF(73:73,I8,74:74)-SUMIF(73:73,C8,74:74)+100</f>
        <v>100</v>
      </c>
      <c r="K8" s="611"/>
      <c r="L8" s="1128"/>
      <c r="M8" s="1129"/>
      <c r="N8" s="1129"/>
      <c r="O8" s="1129"/>
      <c r="P8" s="3277" t="s">
        <v>2544</v>
      </c>
      <c r="Q8" s="3278"/>
      <c r="R8" s="768" t="s">
        <v>17</v>
      </c>
      <c r="S8" s="769">
        <f t="shared" si="0"/>
        <v>100</v>
      </c>
      <c r="T8" s="768" t="s">
        <v>17</v>
      </c>
      <c r="U8" s="769">
        <f t="shared" si="1"/>
        <v>100</v>
      </c>
      <c r="V8" s="768" t="s">
        <v>17</v>
      </c>
      <c r="W8" s="769">
        <f t="shared" si="2"/>
        <v>100</v>
      </c>
      <c r="X8" s="770"/>
      <c r="Y8" s="3277" t="s">
        <v>2544</v>
      </c>
      <c r="Z8" s="3278"/>
      <c r="AA8" s="771">
        <f t="shared" ref="AA8:AA45" si="3">D8/F8</f>
        <v>1</v>
      </c>
      <c r="AB8" s="771">
        <f t="shared" ref="AB8:AB45" si="4">D8/H8</f>
        <v>1</v>
      </c>
      <c r="AC8" s="771">
        <f t="shared" ref="AC8:AC45" si="5">D8/J8</f>
        <v>1</v>
      </c>
    </row>
    <row r="9" spans="1:30" s="117" customFormat="1" ht="42.75">
      <c r="A9" s="415" t="s">
        <v>2545</v>
      </c>
      <c r="B9" s="71" t="s">
        <v>2546</v>
      </c>
      <c r="C9" s="2690" t="s">
        <v>3606</v>
      </c>
      <c r="D9" s="135">
        <v>100</v>
      </c>
      <c r="E9" s="2690" t="s">
        <v>3198</v>
      </c>
      <c r="F9" s="135">
        <f>SUMIF(75:75,E9,76:76)-SUMIF(75:75,C9,76:76)+100</f>
        <v>100</v>
      </c>
      <c r="G9" s="2690" t="s">
        <v>3198</v>
      </c>
      <c r="H9" s="135">
        <f>SUMIF(75:75,G9,76:76)-SUMIF(75:75,C9,76:76)+100</f>
        <v>100</v>
      </c>
      <c r="I9" s="2690" t="s">
        <v>3188</v>
      </c>
      <c r="J9" s="3030">
        <f>SUMIF(75:75,I9,76:76)-SUMIF(75:75,C9,76:76)+100</f>
        <v>100</v>
      </c>
      <c r="K9" s="611"/>
      <c r="L9" s="1128"/>
      <c r="M9" s="1129"/>
      <c r="N9" s="1129"/>
      <c r="O9" s="1130"/>
      <c r="P9" s="3291" t="s">
        <v>2547</v>
      </c>
      <c r="Q9" s="1790" t="str">
        <f t="shared" ref="Q9:Q15" si="6">B9</f>
        <v>用途</v>
      </c>
      <c r="R9" s="768" t="s">
        <v>17</v>
      </c>
      <c r="S9" s="769">
        <f t="shared" si="0"/>
        <v>100</v>
      </c>
      <c r="T9" s="768" t="s">
        <v>17</v>
      </c>
      <c r="U9" s="769">
        <f t="shared" si="1"/>
        <v>100</v>
      </c>
      <c r="V9" s="768" t="s">
        <v>17</v>
      </c>
      <c r="W9" s="769">
        <f t="shared" si="2"/>
        <v>100</v>
      </c>
      <c r="X9" s="770"/>
      <c r="Y9" s="3136" t="s">
        <v>2548</v>
      </c>
      <c r="Z9" s="55" t="str">
        <f t="shared" ref="Z9:Z15" si="7">Q9</f>
        <v>用途</v>
      </c>
      <c r="AA9" s="771">
        <f t="shared" si="3"/>
        <v>1</v>
      </c>
      <c r="AB9" s="771">
        <f t="shared" si="4"/>
        <v>1</v>
      </c>
      <c r="AC9" s="771">
        <f t="shared" si="5"/>
        <v>1</v>
      </c>
    </row>
    <row r="10" spans="1:30" s="427" customFormat="1" ht="27">
      <c r="A10" s="421"/>
      <c r="B10" s="422" t="s">
        <v>2549</v>
      </c>
      <c r="C10" s="432"/>
      <c r="D10" s="136">
        <v>100</v>
      </c>
      <c r="E10" s="465"/>
      <c r="F10" s="136">
        <f>ROUND(100/'数据-取费表'!G16,0)</f>
        <v>109</v>
      </c>
      <c r="G10" s="463"/>
      <c r="H10" s="136">
        <f>ROUND(100/'数据-取费表'!G16,0)</f>
        <v>109</v>
      </c>
      <c r="I10" s="463"/>
      <c r="J10" s="136">
        <f>ROUND(100/'数据-取费表'!G16,0)</f>
        <v>109</v>
      </c>
      <c r="K10" s="671"/>
      <c r="L10" s="1131"/>
      <c r="M10" s="1132"/>
      <c r="N10" s="1132"/>
      <c r="O10" s="1133"/>
      <c r="P10" s="3291"/>
      <c r="Q10" s="1790" t="str">
        <f t="shared" si="6"/>
        <v>土地使用年限（年）</v>
      </c>
      <c r="R10" s="768" t="s">
        <v>17</v>
      </c>
      <c r="S10" s="769">
        <f t="shared" si="0"/>
        <v>109</v>
      </c>
      <c r="T10" s="768" t="s">
        <v>17</v>
      </c>
      <c r="U10" s="769">
        <f t="shared" si="1"/>
        <v>109</v>
      </c>
      <c r="V10" s="768" t="s">
        <v>17</v>
      </c>
      <c r="W10" s="769">
        <f t="shared" si="2"/>
        <v>109</v>
      </c>
      <c r="X10" s="770"/>
      <c r="Y10" s="3136"/>
      <c r="Z10" s="55" t="str">
        <f t="shared" si="7"/>
        <v>土地使用年限（年）</v>
      </c>
      <c r="AA10" s="771">
        <f t="shared" si="3"/>
        <v>0.91743119266055051</v>
      </c>
      <c r="AB10" s="771">
        <f t="shared" si="4"/>
        <v>0.91743119266055051</v>
      </c>
      <c r="AC10" s="771">
        <f t="shared" si="5"/>
        <v>0.91743119266055051</v>
      </c>
    </row>
    <row r="11" spans="1:30" ht="15">
      <c r="A11" s="428"/>
      <c r="B11" s="422" t="s">
        <v>2550</v>
      </c>
      <c r="C11" s="429">
        <f>'数据-汇总表'!I6</f>
        <v>8.86</v>
      </c>
      <c r="D11" s="136">
        <v>100</v>
      </c>
      <c r="E11" s="429">
        <v>3</v>
      </c>
      <c r="F11" s="136">
        <f>LOOKUP(E11,80:80,81:81)-LOOKUP(C11,80:80,81:81)+100</f>
        <v>103</v>
      </c>
      <c r="G11" s="430">
        <v>5.5</v>
      </c>
      <c r="H11" s="136">
        <f>LOOKUP(G11,80:80,81:81)-LOOKUP(C11,80:80,81:81)+100</f>
        <v>103</v>
      </c>
      <c r="I11" s="429">
        <v>4.5</v>
      </c>
      <c r="J11" s="136">
        <f>LOOKUP(I11,80:80,81:81)-LOOKUP(C11,80:80,81:81)+100</f>
        <v>103</v>
      </c>
      <c r="K11" s="672">
        <v>3</v>
      </c>
      <c r="L11" s="1134"/>
      <c r="M11" s="1127"/>
      <c r="N11" s="1127"/>
      <c r="O11" s="1135"/>
      <c r="P11" s="3291"/>
      <c r="Q11" s="1790" t="str">
        <f t="shared" si="6"/>
        <v>容积率</v>
      </c>
      <c r="R11" s="768" t="s">
        <v>17</v>
      </c>
      <c r="S11" s="769">
        <f t="shared" si="0"/>
        <v>103</v>
      </c>
      <c r="T11" s="768" t="s">
        <v>17</v>
      </c>
      <c r="U11" s="769">
        <f t="shared" si="1"/>
        <v>103</v>
      </c>
      <c r="V11" s="768" t="s">
        <v>17</v>
      </c>
      <c r="W11" s="769">
        <f t="shared" si="2"/>
        <v>103</v>
      </c>
      <c r="X11" s="770"/>
      <c r="Y11" s="3136"/>
      <c r="Z11" s="55" t="str">
        <f t="shared" si="7"/>
        <v>容积率</v>
      </c>
      <c r="AA11" s="771">
        <f t="shared" si="3"/>
        <v>0.970873786407767</v>
      </c>
      <c r="AB11" s="771">
        <f t="shared" si="4"/>
        <v>0.970873786407767</v>
      </c>
      <c r="AC11" s="771">
        <f t="shared" si="5"/>
        <v>0.970873786407767</v>
      </c>
    </row>
    <row r="12" spans="1:30" s="117" customFormat="1" ht="15">
      <c r="A12" s="431"/>
      <c r="B12" s="2593" t="s">
        <v>2739</v>
      </c>
      <c r="C12" s="432"/>
      <c r="D12" s="433">
        <v>100</v>
      </c>
      <c r="E12" s="465"/>
      <c r="F12" s="136">
        <f>SUMIF(82:82,E12,83:83)-SUMIF(82:82,C12,83:83)+100</f>
        <v>100</v>
      </c>
      <c r="G12" s="463"/>
      <c r="H12" s="136">
        <f>SUMIF(82:82,G12,83:83)-SUMIF(82:82,C12,83:83)+100</f>
        <v>100</v>
      </c>
      <c r="I12" s="465"/>
      <c r="J12" s="136">
        <f>SUMIF(82:82,I12,83:83)-SUMIF(82:82,C12,83:83)+100</f>
        <v>100</v>
      </c>
      <c r="K12" s="671"/>
      <c r="L12" s="1128"/>
      <c r="M12" s="1129"/>
      <c r="N12" s="1129"/>
      <c r="O12" s="1130"/>
      <c r="P12" s="3291"/>
      <c r="Q12" s="1790" t="str">
        <f t="shared" si="6"/>
        <v>配建</v>
      </c>
      <c r="R12" s="768" t="s">
        <v>17</v>
      </c>
      <c r="S12" s="769">
        <f t="shared" si="0"/>
        <v>100</v>
      </c>
      <c r="T12" s="768" t="s">
        <v>17</v>
      </c>
      <c r="U12" s="769">
        <f t="shared" si="1"/>
        <v>100</v>
      </c>
      <c r="V12" s="768" t="s">
        <v>17</v>
      </c>
      <c r="W12" s="769">
        <f t="shared" si="2"/>
        <v>100</v>
      </c>
      <c r="X12" s="770"/>
      <c r="Y12" s="3136"/>
      <c r="Z12" s="55" t="str">
        <f t="shared" si="7"/>
        <v>配建</v>
      </c>
      <c r="AA12" s="771">
        <f>D12/F12</f>
        <v>1</v>
      </c>
      <c r="AB12" s="771">
        <f>D12/H12</f>
        <v>1</v>
      </c>
      <c r="AC12" s="771">
        <f>D12/J12</f>
        <v>1</v>
      </c>
    </row>
    <row r="13" spans="1:30" ht="15">
      <c r="A13" s="428"/>
      <c r="B13" s="2593"/>
      <c r="C13" s="434"/>
      <c r="D13" s="435">
        <v>100</v>
      </c>
      <c r="E13" s="549"/>
      <c r="F13" s="136">
        <f>SUMIF(84:84,E13,85:85)-SUMIF(84:84,C13,85:85)+100</f>
        <v>100</v>
      </c>
      <c r="G13" s="673"/>
      <c r="H13" s="435">
        <f>SUMIF(84:84,G13,85:85)-SUMIF(84:84,C13,85:85)+100</f>
        <v>100</v>
      </c>
      <c r="I13" s="673"/>
      <c r="J13" s="435">
        <f>SUMIF(84:84,I13,85:85)-SUMIF(84:84,C13,85:85)+100</f>
        <v>100</v>
      </c>
      <c r="K13" s="671"/>
      <c r="L13" s="1136"/>
      <c r="M13" s="1127"/>
      <c r="N13" s="1127"/>
      <c r="O13" s="1135"/>
      <c r="P13" s="3291"/>
      <c r="Q13" s="1790">
        <f t="shared" si="6"/>
        <v>0</v>
      </c>
      <c r="R13" s="768" t="s">
        <v>17</v>
      </c>
      <c r="S13" s="769">
        <f t="shared" si="0"/>
        <v>100</v>
      </c>
      <c r="T13" s="768" t="s">
        <v>17</v>
      </c>
      <c r="U13" s="769">
        <f t="shared" si="1"/>
        <v>100</v>
      </c>
      <c r="V13" s="768" t="s">
        <v>17</v>
      </c>
      <c r="W13" s="769">
        <f t="shared" si="2"/>
        <v>100</v>
      </c>
      <c r="X13" s="770"/>
      <c r="Y13" s="3136"/>
      <c r="Z13" s="55">
        <f t="shared" si="7"/>
        <v>0</v>
      </c>
      <c r="AA13" s="771">
        <f>D13/F13</f>
        <v>1</v>
      </c>
      <c r="AB13" s="771">
        <f>D13/H13</f>
        <v>1</v>
      </c>
      <c r="AC13" s="771">
        <f>D13/J13</f>
        <v>1</v>
      </c>
    </row>
    <row r="14" spans="1:30" ht="15.75" thickBot="1">
      <c r="A14" s="436"/>
      <c r="B14" s="2595"/>
      <c r="C14" s="437"/>
      <c r="D14" s="438">
        <v>100</v>
      </c>
      <c r="E14" s="549"/>
      <c r="F14" s="438">
        <f>SUMIF(86:86,E14,87:87)-SUMIF(86:86,C14,87:87)+100</f>
        <v>100</v>
      </c>
      <c r="G14" s="673"/>
      <c r="H14" s="438">
        <f>SUMIF(86:86,G14,87:87)-SUMIF(86:86,C14,87:87)+100</f>
        <v>100</v>
      </c>
      <c r="I14" s="673"/>
      <c r="J14" s="438">
        <f>SUMIF(86:86,I14,87:87)-SUMIF(86:86,C14,87:87)+100</f>
        <v>100</v>
      </c>
      <c r="K14" s="671"/>
      <c r="L14" s="1136"/>
      <c r="M14" s="1127"/>
      <c r="N14" s="1127"/>
      <c r="O14" s="1135"/>
      <c r="P14" s="3291"/>
      <c r="Q14" s="1790">
        <f t="shared" si="6"/>
        <v>0</v>
      </c>
      <c r="R14" s="768" t="s">
        <v>17</v>
      </c>
      <c r="S14" s="769">
        <f t="shared" si="0"/>
        <v>100</v>
      </c>
      <c r="T14" s="768" t="s">
        <v>17</v>
      </c>
      <c r="U14" s="769">
        <f t="shared" si="1"/>
        <v>100</v>
      </c>
      <c r="V14" s="768" t="s">
        <v>17</v>
      </c>
      <c r="W14" s="769">
        <f t="shared" si="2"/>
        <v>100</v>
      </c>
      <c r="X14" s="770"/>
      <c r="Y14" s="3136"/>
      <c r="Z14" s="55">
        <f t="shared" si="7"/>
        <v>0</v>
      </c>
      <c r="AA14" s="771">
        <f>D14/F14</f>
        <v>1</v>
      </c>
      <c r="AB14" s="771">
        <f>D14/H14</f>
        <v>1</v>
      </c>
      <c r="AC14" s="771">
        <f>D14/J14</f>
        <v>1</v>
      </c>
    </row>
    <row r="15" spans="1:30" ht="85.5">
      <c r="A15" s="440" t="s">
        <v>2551</v>
      </c>
      <c r="B15" s="69" t="s">
        <v>2080</v>
      </c>
      <c r="C15" s="2596" t="str">
        <f>估价对象房地状况!C15</f>
        <v>估价对象周边居住用地比例、居住小区规模和社区发展完善程度，综合评价居住社区成熟度一般</v>
      </c>
      <c r="D15" s="441">
        <v>100</v>
      </c>
      <c r="E15" s="442"/>
      <c r="F15" s="441">
        <f>SUMIF(88:88,E16,89:89)-SUMIF(88:88,C16,89:89)+100</f>
        <v>95</v>
      </c>
      <c r="G15" s="442"/>
      <c r="H15" s="441">
        <f>SUMIF(88:88,G16,89:89)-SUMIF(88:88,C16,89:89)+100</f>
        <v>95</v>
      </c>
      <c r="I15" s="444"/>
      <c r="J15" s="441">
        <f>SUMIF(88:88,I16,89:89)-SUMIF(88:88,C16,89:89)+100</f>
        <v>100</v>
      </c>
      <c r="K15" s="672">
        <v>5</v>
      </c>
      <c r="L15" s="1136"/>
      <c r="M15" s="1127"/>
      <c r="N15" s="1127"/>
      <c r="O15" s="1135"/>
      <c r="P15" s="3306" t="s">
        <v>2552</v>
      </c>
      <c r="Q15" s="1805" t="str">
        <f t="shared" si="6"/>
        <v>居住社区成熟度</v>
      </c>
      <c r="R15" s="772" t="s">
        <v>17</v>
      </c>
      <c r="S15" s="773">
        <f t="shared" si="0"/>
        <v>95</v>
      </c>
      <c r="T15" s="772" t="s">
        <v>17</v>
      </c>
      <c r="U15" s="773">
        <f t="shared" si="1"/>
        <v>95</v>
      </c>
      <c r="V15" s="772" t="s">
        <v>17</v>
      </c>
      <c r="W15" s="773">
        <f t="shared" si="2"/>
        <v>100</v>
      </c>
      <c r="X15" s="1808"/>
      <c r="Y15" s="3306" t="s">
        <v>2552</v>
      </c>
      <c r="Z15" s="1809" t="str">
        <f t="shared" si="7"/>
        <v>居住社区成熟度</v>
      </c>
      <c r="AA15" s="1806">
        <f t="shared" si="3"/>
        <v>1.0526315789473684</v>
      </c>
      <c r="AB15" s="1806">
        <f t="shared" si="4"/>
        <v>1.0526315789473684</v>
      </c>
      <c r="AC15" s="1806">
        <f t="shared" si="5"/>
        <v>1</v>
      </c>
    </row>
    <row r="16" spans="1:30" ht="15">
      <c r="A16" s="428"/>
      <c r="B16" s="446"/>
      <c r="C16" s="447" t="s">
        <v>3609</v>
      </c>
      <c r="D16" s="448"/>
      <c r="E16" s="2598" t="s">
        <v>3610</v>
      </c>
      <c r="F16" s="448"/>
      <c r="G16" s="2598" t="s">
        <v>3610</v>
      </c>
      <c r="H16" s="450"/>
      <c r="I16" s="2597" t="s">
        <v>3609</v>
      </c>
      <c r="J16" s="448"/>
      <c r="K16" s="671"/>
      <c r="L16" s="1136"/>
      <c r="M16" s="1127"/>
      <c r="N16" s="1127"/>
      <c r="O16" s="1135"/>
      <c r="P16" s="3307"/>
      <c r="Q16" s="1805"/>
      <c r="R16" s="772"/>
      <c r="S16" s="773"/>
      <c r="T16" s="772"/>
      <c r="U16" s="773"/>
      <c r="V16" s="772"/>
      <c r="W16" s="773"/>
      <c r="X16" s="1808"/>
      <c r="Y16" s="3307"/>
      <c r="Z16" s="1809"/>
      <c r="AA16" s="1806">
        <v>1</v>
      </c>
      <c r="AB16" s="1806">
        <v>1</v>
      </c>
      <c r="AC16" s="1806">
        <v>1</v>
      </c>
    </row>
    <row r="17" spans="1:29" ht="57">
      <c r="A17" s="428"/>
      <c r="B17" s="451" t="s">
        <v>2645</v>
      </c>
      <c r="C17" s="265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36"/>
      <c r="M17" s="1127"/>
      <c r="N17" s="1127"/>
      <c r="O17" s="1135"/>
      <c r="P17" s="3307"/>
      <c r="Q17" s="1805" t="str">
        <f>B17</f>
        <v>商业繁华度</v>
      </c>
      <c r="R17" s="772" t="s">
        <v>17</v>
      </c>
      <c r="S17" s="773">
        <f>F17</f>
        <v>100</v>
      </c>
      <c r="T17" s="772" t="s">
        <v>17</v>
      </c>
      <c r="U17" s="773">
        <f>H17</f>
        <v>100</v>
      </c>
      <c r="V17" s="772" t="s">
        <v>17</v>
      </c>
      <c r="W17" s="773">
        <f>J17</f>
        <v>100</v>
      </c>
      <c r="X17" s="1808"/>
      <c r="Y17" s="3307"/>
      <c r="Z17" s="1809" t="str">
        <f>Q17</f>
        <v>商业繁华度</v>
      </c>
      <c r="AA17" s="1806">
        <f t="shared" si="3"/>
        <v>1</v>
      </c>
      <c r="AB17" s="1806">
        <f t="shared" si="4"/>
        <v>1</v>
      </c>
      <c r="AC17" s="1806">
        <f t="shared" si="5"/>
        <v>1</v>
      </c>
    </row>
    <row r="18" spans="1:29" ht="15">
      <c r="A18" s="428"/>
      <c r="B18" s="456"/>
      <c r="C18" s="2603"/>
      <c r="D18" s="450"/>
      <c r="E18" s="2603"/>
      <c r="F18" s="450"/>
      <c r="G18" s="2603"/>
      <c r="H18" s="448"/>
      <c r="I18" s="2602"/>
      <c r="J18" s="448"/>
      <c r="K18" s="671"/>
      <c r="L18" s="1136"/>
      <c r="M18" s="1127"/>
      <c r="N18" s="1127"/>
      <c r="O18" s="1135"/>
      <c r="P18" s="3307"/>
      <c r="Q18" s="1805"/>
      <c r="R18" s="772"/>
      <c r="S18" s="773"/>
      <c r="T18" s="772"/>
      <c r="U18" s="773"/>
      <c r="V18" s="772"/>
      <c r="W18" s="773"/>
      <c r="X18" s="1808"/>
      <c r="Y18" s="3307"/>
      <c r="Z18" s="1809"/>
      <c r="AA18" s="1806">
        <v>1</v>
      </c>
      <c r="AB18" s="1806">
        <v>1</v>
      </c>
      <c r="AC18" s="1806">
        <v>1</v>
      </c>
    </row>
    <row r="19" spans="1:29" ht="71.25">
      <c r="A19" s="428"/>
      <c r="B19" s="451" t="s">
        <v>2679</v>
      </c>
      <c r="C19" s="265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36"/>
      <c r="M19" s="1127"/>
      <c r="N19" s="1127"/>
      <c r="O19" s="1135"/>
      <c r="P19" s="3307"/>
      <c r="Q19" s="1805" t="str">
        <f>B19</f>
        <v>办公集聚程度</v>
      </c>
      <c r="R19" s="772" t="s">
        <v>17</v>
      </c>
      <c r="S19" s="773">
        <f>F19</f>
        <v>100</v>
      </c>
      <c r="T19" s="772" t="s">
        <v>17</v>
      </c>
      <c r="U19" s="773">
        <f>H19</f>
        <v>100</v>
      </c>
      <c r="V19" s="772" t="s">
        <v>17</v>
      </c>
      <c r="W19" s="773">
        <f>J19</f>
        <v>100</v>
      </c>
      <c r="X19" s="1808"/>
      <c r="Y19" s="3307"/>
      <c r="Z19" s="1809" t="str">
        <f>Q19</f>
        <v>办公集聚程度</v>
      </c>
      <c r="AA19" s="1806">
        <f t="shared" si="3"/>
        <v>1</v>
      </c>
      <c r="AB19" s="1806">
        <f t="shared" si="4"/>
        <v>1</v>
      </c>
      <c r="AC19" s="1806">
        <f t="shared" si="5"/>
        <v>1</v>
      </c>
    </row>
    <row r="20" spans="1:29" ht="15">
      <c r="A20" s="428"/>
      <c r="B20" s="456"/>
      <c r="C20" s="447"/>
      <c r="D20" s="448"/>
      <c r="E20" s="2598"/>
      <c r="F20" s="448"/>
      <c r="G20" s="2598"/>
      <c r="H20" s="448"/>
      <c r="I20" s="2597"/>
      <c r="J20" s="448"/>
      <c r="K20" s="671"/>
      <c r="L20" s="1136"/>
      <c r="M20" s="1127"/>
      <c r="N20" s="1127"/>
      <c r="O20" s="1135"/>
      <c r="P20" s="3307"/>
      <c r="Q20" s="1805"/>
      <c r="R20" s="772"/>
      <c r="S20" s="773"/>
      <c r="T20" s="772"/>
      <c r="U20" s="773"/>
      <c r="V20" s="772"/>
      <c r="W20" s="773"/>
      <c r="X20" s="1808"/>
      <c r="Y20" s="3307"/>
      <c r="Z20" s="1809"/>
      <c r="AA20" s="1806">
        <v>1</v>
      </c>
      <c r="AB20" s="1806">
        <v>1</v>
      </c>
      <c r="AC20" s="1806">
        <v>1</v>
      </c>
    </row>
    <row r="21" spans="1:29" ht="71.25">
      <c r="A21" s="428"/>
      <c r="B21" s="451" t="s">
        <v>2701</v>
      </c>
      <c r="C21" s="2600" t="str">
        <f>估价对象房地状况!C18</f>
        <v>估价对象周边道路状况、公共交通通达情况、停车便捷程度，综合评价交通便捷度较好</v>
      </c>
      <c r="D21" s="450">
        <v>100</v>
      </c>
      <c r="E21" s="452"/>
      <c r="F21" s="455">
        <f>SUMIF(94:94,E22,95:95)-SUMIF(94:94,C22,95:95)+100</f>
        <v>90</v>
      </c>
      <c r="G21" s="452"/>
      <c r="H21" s="450">
        <f>SUMIF(94:94,G22,95:95)-SUMIF(94:94,C22,95:95)+100</f>
        <v>90</v>
      </c>
      <c r="I21" s="454"/>
      <c r="J21" s="450">
        <f>SUMIF(94:94,I22,95:95)-SUMIF(94:94,C22,95:95)+100</f>
        <v>95</v>
      </c>
      <c r="K21" s="672">
        <v>5</v>
      </c>
      <c r="L21" s="1136"/>
      <c r="M21" s="1127"/>
      <c r="N21" s="1127"/>
      <c r="O21" s="1135"/>
      <c r="P21" s="3307"/>
      <c r="Q21" s="1805" t="str">
        <f>B21</f>
        <v>交通便捷度</v>
      </c>
      <c r="R21" s="772" t="s">
        <v>17</v>
      </c>
      <c r="S21" s="773">
        <f>F21</f>
        <v>90</v>
      </c>
      <c r="T21" s="772" t="s">
        <v>17</v>
      </c>
      <c r="U21" s="773">
        <f>H21</f>
        <v>90</v>
      </c>
      <c r="V21" s="772" t="s">
        <v>17</v>
      </c>
      <c r="W21" s="773">
        <f>J21</f>
        <v>95</v>
      </c>
      <c r="X21" s="1808"/>
      <c r="Y21" s="3307"/>
      <c r="Z21" s="1809" t="str">
        <f>Q21</f>
        <v>交通便捷度</v>
      </c>
      <c r="AA21" s="1806">
        <f t="shared" si="3"/>
        <v>1.1111111111111112</v>
      </c>
      <c r="AB21" s="1806">
        <f t="shared" si="4"/>
        <v>1.1111111111111112</v>
      </c>
      <c r="AC21" s="1806">
        <f t="shared" si="5"/>
        <v>1.0526315789473684</v>
      </c>
    </row>
    <row r="22" spans="1:29" ht="15">
      <c r="A22" s="428"/>
      <c r="B22" s="1380"/>
      <c r="C22" s="447" t="s">
        <v>3609</v>
      </c>
      <c r="D22" s="450"/>
      <c r="E22" s="2598" t="s">
        <v>3611</v>
      </c>
      <c r="F22" s="448"/>
      <c r="G22" s="2598" t="s">
        <v>3611</v>
      </c>
      <c r="H22" s="448"/>
      <c r="I22" s="2597" t="s">
        <v>3610</v>
      </c>
      <c r="J22" s="448"/>
      <c r="K22" s="671"/>
      <c r="L22" s="1136"/>
      <c r="M22" s="1127"/>
      <c r="N22" s="1127"/>
      <c r="O22" s="1135"/>
      <c r="P22" s="3307"/>
      <c r="Q22" s="1805"/>
      <c r="R22" s="772"/>
      <c r="S22" s="773"/>
      <c r="T22" s="772"/>
      <c r="U22" s="773"/>
      <c r="V22" s="772"/>
      <c r="W22" s="773"/>
      <c r="X22" s="1808"/>
      <c r="Y22" s="3307"/>
      <c r="Z22" s="1809"/>
      <c r="AA22" s="1806">
        <v>1</v>
      </c>
      <c r="AB22" s="1806">
        <v>1</v>
      </c>
      <c r="AC22" s="1806">
        <v>1</v>
      </c>
    </row>
    <row r="23" spans="1:29" ht="15">
      <c r="A23" s="404"/>
      <c r="B23" s="451" t="s">
        <v>2740</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2">
        <v>5</v>
      </c>
      <c r="L23" s="1136"/>
      <c r="M23" s="1127"/>
      <c r="N23" s="1127"/>
      <c r="O23" s="1135"/>
      <c r="P23" s="3307"/>
      <c r="Q23" s="1805" t="str">
        <f t="shared" ref="Q23:Q37" si="8">B23</f>
        <v>区域土地利用方向</v>
      </c>
      <c r="R23" s="772" t="s">
        <v>17</v>
      </c>
      <c r="S23" s="773">
        <f>F23</f>
        <v>100</v>
      </c>
      <c r="T23" s="772" t="s">
        <v>17</v>
      </c>
      <c r="U23" s="773">
        <f>H23</f>
        <v>100</v>
      </c>
      <c r="V23" s="772" t="s">
        <v>17</v>
      </c>
      <c r="W23" s="773">
        <f>J23</f>
        <v>100</v>
      </c>
      <c r="X23" s="1808"/>
      <c r="Y23" s="3307"/>
      <c r="Z23" s="1809" t="str">
        <f>Q23</f>
        <v>区域土地利用方向</v>
      </c>
      <c r="AA23" s="1806">
        <f t="shared" si="3"/>
        <v>1</v>
      </c>
      <c r="AB23" s="1806">
        <f t="shared" si="4"/>
        <v>1</v>
      </c>
      <c r="AC23" s="1806">
        <f t="shared" si="5"/>
        <v>1</v>
      </c>
    </row>
    <row r="24" spans="1:29" ht="15">
      <c r="A24" s="404"/>
      <c r="B24" s="456"/>
      <c r="C24" s="616" t="s">
        <v>3610</v>
      </c>
      <c r="D24" s="448"/>
      <c r="E24" s="616" t="s">
        <v>3610</v>
      </c>
      <c r="F24" s="448"/>
      <c r="G24" s="616" t="s">
        <v>3610</v>
      </c>
      <c r="H24" s="448"/>
      <c r="I24" s="616" t="s">
        <v>3610</v>
      </c>
      <c r="J24" s="448"/>
      <c r="K24" s="808"/>
      <c r="L24" s="1136"/>
      <c r="M24" s="1127"/>
      <c r="N24" s="1127"/>
      <c r="O24" s="1135"/>
      <c r="P24" s="3307"/>
      <c r="Q24" s="1805"/>
      <c r="R24" s="772"/>
      <c r="S24" s="773"/>
      <c r="T24" s="772"/>
      <c r="U24" s="773"/>
      <c r="V24" s="772"/>
      <c r="W24" s="773"/>
      <c r="X24" s="1808"/>
      <c r="Y24" s="3307"/>
      <c r="Z24" s="1809"/>
      <c r="AA24" s="1806"/>
      <c r="AB24" s="1806"/>
      <c r="AC24" s="1806"/>
    </row>
    <row r="25" spans="1:29" ht="42.75">
      <c r="A25" s="404"/>
      <c r="B25" s="1380" t="s">
        <v>2741</v>
      </c>
      <c r="C25" s="265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v>5</v>
      </c>
      <c r="L25" s="1136"/>
      <c r="M25" s="1127"/>
      <c r="N25" s="1127"/>
      <c r="O25" s="1135"/>
      <c r="P25" s="3307"/>
      <c r="Q25" s="1805" t="str">
        <f t="shared" si="8"/>
        <v>自然及人文环境状况</v>
      </c>
      <c r="R25" s="772" t="s">
        <v>17</v>
      </c>
      <c r="S25" s="773">
        <f>F25</f>
        <v>100</v>
      </c>
      <c r="T25" s="772" t="s">
        <v>17</v>
      </c>
      <c r="U25" s="773">
        <f>H25</f>
        <v>100</v>
      </c>
      <c r="V25" s="772" t="s">
        <v>17</v>
      </c>
      <c r="W25" s="773">
        <f>J25</f>
        <v>100</v>
      </c>
      <c r="X25" s="1808"/>
      <c r="Y25" s="3307"/>
      <c r="Z25" s="1809" t="str">
        <f>Q25</f>
        <v>自然及人文环境状况</v>
      </c>
      <c r="AA25" s="1806">
        <f t="shared" si="3"/>
        <v>1</v>
      </c>
      <c r="AB25" s="1806">
        <f t="shared" si="4"/>
        <v>1</v>
      </c>
      <c r="AC25" s="1806">
        <f t="shared" si="5"/>
        <v>1</v>
      </c>
    </row>
    <row r="26" spans="1:29" ht="15">
      <c r="A26" s="404"/>
      <c r="B26" s="456"/>
      <c r="C26" s="447" t="s">
        <v>3610</v>
      </c>
      <c r="D26" s="448"/>
      <c r="E26" s="2604" t="s">
        <v>3610</v>
      </c>
      <c r="F26" s="448"/>
      <c r="G26" s="2604" t="s">
        <v>3610</v>
      </c>
      <c r="H26" s="448"/>
      <c r="I26" s="447" t="s">
        <v>3610</v>
      </c>
      <c r="J26" s="448"/>
      <c r="K26" s="671"/>
      <c r="L26" s="1136"/>
      <c r="M26" s="1127"/>
      <c r="N26" s="1127"/>
      <c r="O26" s="1135"/>
      <c r="P26" s="3307"/>
      <c r="Q26" s="1805"/>
      <c r="R26" s="772"/>
      <c r="S26" s="773"/>
      <c r="T26" s="772"/>
      <c r="U26" s="773"/>
      <c r="V26" s="772"/>
      <c r="W26" s="773"/>
      <c r="X26" s="1808"/>
      <c r="Y26" s="3307"/>
      <c r="Z26" s="1809"/>
      <c r="AA26" s="1806">
        <v>1</v>
      </c>
      <c r="AB26" s="1806">
        <v>1</v>
      </c>
      <c r="AC26" s="1806">
        <v>1</v>
      </c>
    </row>
    <row r="27" spans="1:29" s="117" customFormat="1" ht="42.75">
      <c r="A27" s="648"/>
      <c r="B27" s="1380" t="s">
        <v>2646</v>
      </c>
      <c r="C27" s="260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v>5</v>
      </c>
      <c r="L27" s="1128"/>
      <c r="M27" s="1129"/>
      <c r="N27" s="1129"/>
      <c r="O27" s="1130"/>
      <c r="P27" s="3307"/>
      <c r="Q27" s="1790" t="str">
        <f t="shared" si="8"/>
        <v>公共配套设施</v>
      </c>
      <c r="R27" s="768" t="s">
        <v>17</v>
      </c>
      <c r="S27" s="769">
        <f>F27</f>
        <v>100</v>
      </c>
      <c r="T27" s="768" t="s">
        <v>17</v>
      </c>
      <c r="U27" s="769">
        <f>H27</f>
        <v>100</v>
      </c>
      <c r="V27" s="768" t="s">
        <v>17</v>
      </c>
      <c r="W27" s="769">
        <f>J27</f>
        <v>100</v>
      </c>
      <c r="X27" s="770"/>
      <c r="Y27" s="3307"/>
      <c r="Z27" s="55" t="str">
        <f>Q27</f>
        <v>公共配套设施</v>
      </c>
      <c r="AA27" s="1806">
        <f>D27/F27</f>
        <v>1</v>
      </c>
      <c r="AB27" s="1806">
        <f>D27/H27</f>
        <v>1</v>
      </c>
      <c r="AC27" s="1806">
        <f>D27/J27</f>
        <v>1</v>
      </c>
    </row>
    <row r="28" spans="1:29" s="117" customFormat="1" ht="15">
      <c r="A28" s="648"/>
      <c r="B28" s="456"/>
      <c r="C28" s="2691" t="s">
        <v>3610</v>
      </c>
      <c r="D28" s="448"/>
      <c r="E28" s="2604" t="s">
        <v>3610</v>
      </c>
      <c r="F28" s="448"/>
      <c r="G28" s="2604" t="s">
        <v>3610</v>
      </c>
      <c r="H28" s="448"/>
      <c r="I28" s="2691" t="s">
        <v>3610</v>
      </c>
      <c r="J28" s="448"/>
      <c r="K28" s="671"/>
      <c r="L28" s="1128"/>
      <c r="M28" s="1129"/>
      <c r="N28" s="1129"/>
      <c r="O28" s="1130"/>
      <c r="P28" s="3307"/>
      <c r="Q28" s="1790"/>
      <c r="R28" s="768"/>
      <c r="S28" s="769"/>
      <c r="T28" s="768"/>
      <c r="U28" s="769"/>
      <c r="V28" s="768"/>
      <c r="W28" s="769"/>
      <c r="X28" s="770"/>
      <c r="Y28" s="3307"/>
      <c r="Z28" s="55"/>
      <c r="AA28" s="1806">
        <v>1</v>
      </c>
      <c r="AB28" s="1806">
        <v>1</v>
      </c>
      <c r="AC28" s="1806">
        <v>1</v>
      </c>
    </row>
    <row r="29" spans="1:29" s="117" customFormat="1" ht="28.5">
      <c r="A29" s="648"/>
      <c r="B29" s="1380" t="s">
        <v>2647</v>
      </c>
      <c r="C29" s="260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28"/>
      <c r="M29" s="1129"/>
      <c r="N29" s="1129"/>
      <c r="O29" s="1130"/>
      <c r="P29" s="3307"/>
      <c r="Q29" s="1790" t="str">
        <f t="shared" ref="Q29" si="9">B29</f>
        <v>基础设施水平</v>
      </c>
      <c r="R29" s="768" t="s">
        <v>17</v>
      </c>
      <c r="S29" s="769">
        <f>F29</f>
        <v>100</v>
      </c>
      <c r="T29" s="768" t="s">
        <v>17</v>
      </c>
      <c r="U29" s="769">
        <f>H29</f>
        <v>100</v>
      </c>
      <c r="V29" s="768" t="s">
        <v>17</v>
      </c>
      <c r="W29" s="769">
        <f>J29</f>
        <v>100</v>
      </c>
      <c r="X29" s="770"/>
      <c r="Y29" s="3307"/>
      <c r="Z29" s="55" t="str">
        <f>Q29</f>
        <v>基础设施水平</v>
      </c>
      <c r="AA29" s="1806">
        <f>D29/F29</f>
        <v>1</v>
      </c>
      <c r="AB29" s="1806">
        <f>D29/H29</f>
        <v>1</v>
      </c>
      <c r="AC29" s="1806">
        <f>D29/J29</f>
        <v>1</v>
      </c>
    </row>
    <row r="30" spans="1:29" s="117" customFormat="1" ht="15">
      <c r="A30" s="648"/>
      <c r="B30" s="456"/>
      <c r="C30" s="2691"/>
      <c r="D30" s="448"/>
      <c r="E30" s="2692"/>
      <c r="F30" s="448"/>
      <c r="G30" s="2692"/>
      <c r="H30" s="448"/>
      <c r="I30" s="2692"/>
      <c r="J30" s="448"/>
      <c r="K30" s="671"/>
      <c r="L30" s="1128"/>
      <c r="M30" s="1129"/>
      <c r="N30" s="1129"/>
      <c r="O30" s="1130"/>
      <c r="P30" s="3307"/>
      <c r="Q30" s="1790"/>
      <c r="R30" s="768"/>
      <c r="S30" s="769"/>
      <c r="T30" s="768"/>
      <c r="U30" s="769"/>
      <c r="V30" s="768"/>
      <c r="W30" s="769"/>
      <c r="X30" s="770"/>
      <c r="Y30" s="3307"/>
      <c r="Z30" s="55"/>
      <c r="AA30" s="1806">
        <v>1</v>
      </c>
      <c r="AB30" s="1806">
        <v>1</v>
      </c>
      <c r="AC30" s="1806">
        <v>1</v>
      </c>
    </row>
    <row r="31" spans="1:29" ht="15">
      <c r="A31" s="428"/>
      <c r="B31" s="456" t="s">
        <v>2648</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6"/>
      <c r="M31" s="1127"/>
      <c r="N31" s="1127"/>
      <c r="O31" s="1135"/>
      <c r="P31" s="3307"/>
      <c r="Q31" s="1805" t="str">
        <f t="shared" si="8"/>
        <v>临街状况</v>
      </c>
      <c r="R31" s="772" t="s">
        <v>17</v>
      </c>
      <c r="S31" s="773">
        <f t="shared" ref="S31:S45" si="10">F31</f>
        <v>100</v>
      </c>
      <c r="T31" s="772" t="s">
        <v>17</v>
      </c>
      <c r="U31" s="773">
        <f t="shared" ref="U31:U45" si="11">H31</f>
        <v>100</v>
      </c>
      <c r="V31" s="772" t="s">
        <v>17</v>
      </c>
      <c r="W31" s="773">
        <f t="shared" ref="W31:W45" si="12">J31</f>
        <v>100</v>
      </c>
      <c r="X31" s="1808"/>
      <c r="Y31" s="3307"/>
      <c r="Z31" s="1809" t="str">
        <f t="shared" ref="Z31:Z45" si="13">Q31</f>
        <v>临街状况</v>
      </c>
      <c r="AA31" s="1806">
        <f t="shared" si="3"/>
        <v>1</v>
      </c>
      <c r="AB31" s="1806">
        <f t="shared" si="4"/>
        <v>1</v>
      </c>
      <c r="AC31" s="1806">
        <f t="shared" si="5"/>
        <v>1</v>
      </c>
    </row>
    <row r="32" spans="1:29" ht="27">
      <c r="A32" s="428"/>
      <c r="B32" s="1380"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6"/>
      <c r="M32" s="1127"/>
      <c r="N32" s="1127"/>
      <c r="O32" s="1135"/>
      <c r="P32" s="3307"/>
      <c r="Q32" s="1805" t="str">
        <f t="shared" si="8"/>
        <v>毗邻道路的类型与等级</v>
      </c>
      <c r="R32" s="772" t="s">
        <v>17</v>
      </c>
      <c r="S32" s="773">
        <f t="shared" si="10"/>
        <v>100</v>
      </c>
      <c r="T32" s="772" t="s">
        <v>17</v>
      </c>
      <c r="U32" s="773">
        <f t="shared" si="11"/>
        <v>100</v>
      </c>
      <c r="V32" s="772" t="s">
        <v>17</v>
      </c>
      <c r="W32" s="773">
        <f t="shared" si="12"/>
        <v>100</v>
      </c>
      <c r="X32" s="1808"/>
      <c r="Y32" s="3307"/>
      <c r="Z32" s="1809" t="str">
        <f t="shared" si="13"/>
        <v>毗邻道路的类型与等级</v>
      </c>
      <c r="AA32" s="1806">
        <f t="shared" si="3"/>
        <v>1</v>
      </c>
      <c r="AB32" s="1806">
        <f t="shared" si="4"/>
        <v>1</v>
      </c>
      <c r="AC32" s="1806">
        <f t="shared" si="5"/>
        <v>1</v>
      </c>
    </row>
    <row r="33" spans="1:29" ht="15">
      <c r="A33" s="428"/>
      <c r="B33" s="456"/>
      <c r="C33" s="447"/>
      <c r="D33" s="448"/>
      <c r="E33" s="2604"/>
      <c r="F33" s="448"/>
      <c r="G33" s="2604"/>
      <c r="H33" s="448"/>
      <c r="I33" s="447"/>
      <c r="J33" s="448"/>
      <c r="K33" s="613"/>
      <c r="L33" s="1136"/>
      <c r="M33" s="1127"/>
      <c r="N33" s="1127"/>
      <c r="O33" s="1135"/>
      <c r="P33" s="3307"/>
      <c r="Q33" s="1805"/>
      <c r="R33" s="772"/>
      <c r="S33" s="773"/>
      <c r="T33" s="772"/>
      <c r="U33" s="773"/>
      <c r="V33" s="772"/>
      <c r="W33" s="773"/>
      <c r="X33" s="1808"/>
      <c r="Y33" s="3307"/>
      <c r="Z33" s="1809"/>
      <c r="AA33" s="1806">
        <v>1</v>
      </c>
      <c r="AB33" s="1806">
        <v>1</v>
      </c>
      <c r="AC33" s="1806">
        <v>1</v>
      </c>
    </row>
    <row r="34" spans="1:29" ht="15">
      <c r="A34" s="428"/>
      <c r="B34" s="422" t="s">
        <v>2742</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6"/>
      <c r="M34" s="1127"/>
      <c r="N34" s="1127"/>
      <c r="O34" s="1135"/>
      <c r="P34" s="3307"/>
      <c r="Q34" s="1805" t="str">
        <f t="shared" si="8"/>
        <v>土地级别</v>
      </c>
      <c r="R34" s="772" t="s">
        <v>17</v>
      </c>
      <c r="S34" s="773">
        <f t="shared" si="10"/>
        <v>100</v>
      </c>
      <c r="T34" s="772" t="s">
        <v>17</v>
      </c>
      <c r="U34" s="773">
        <f t="shared" si="11"/>
        <v>100</v>
      </c>
      <c r="V34" s="772" t="s">
        <v>17</v>
      </c>
      <c r="W34" s="773">
        <f t="shared" si="12"/>
        <v>100</v>
      </c>
      <c r="X34" s="1808"/>
      <c r="Y34" s="3307"/>
      <c r="Z34" s="1809" t="str">
        <f t="shared" si="13"/>
        <v>土地级别</v>
      </c>
      <c r="AA34" s="1806">
        <f t="shared" si="3"/>
        <v>1</v>
      </c>
      <c r="AB34" s="1806">
        <f t="shared" si="4"/>
        <v>1</v>
      </c>
      <c r="AC34" s="1806">
        <f t="shared" si="5"/>
        <v>1</v>
      </c>
    </row>
    <row r="35" spans="1:29" ht="15">
      <c r="A35" s="404"/>
      <c r="B35" s="1382"/>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6"/>
      <c r="M35" s="1127"/>
      <c r="N35" s="1127"/>
      <c r="O35" s="1135"/>
      <c r="P35" s="3307"/>
      <c r="Q35" s="1805">
        <f t="shared" si="8"/>
        <v>0</v>
      </c>
      <c r="R35" s="772" t="s">
        <v>17</v>
      </c>
      <c r="S35" s="773">
        <f t="shared" si="10"/>
        <v>100</v>
      </c>
      <c r="T35" s="772" t="s">
        <v>17</v>
      </c>
      <c r="U35" s="773">
        <f t="shared" si="11"/>
        <v>100</v>
      </c>
      <c r="V35" s="772" t="s">
        <v>17</v>
      </c>
      <c r="W35" s="773">
        <f t="shared" si="12"/>
        <v>100</v>
      </c>
      <c r="X35" s="1808"/>
      <c r="Y35" s="3307"/>
      <c r="Z35" s="1809">
        <f t="shared" si="13"/>
        <v>0</v>
      </c>
      <c r="AA35" s="1806">
        <f t="shared" si="3"/>
        <v>1</v>
      </c>
      <c r="AB35" s="1806">
        <f t="shared" si="4"/>
        <v>1</v>
      </c>
      <c r="AC35" s="1806">
        <f t="shared" si="5"/>
        <v>1</v>
      </c>
    </row>
    <row r="36" spans="1:29" ht="15">
      <c r="A36" s="674"/>
      <c r="B36" s="1383"/>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6"/>
      <c r="M36" s="1127"/>
      <c r="N36" s="1127"/>
      <c r="O36" s="1135"/>
      <c r="P36" s="3308" t="s">
        <v>2557</v>
      </c>
      <c r="Q36" s="1805">
        <f t="shared" si="8"/>
        <v>0</v>
      </c>
      <c r="R36" s="772" t="s">
        <v>17</v>
      </c>
      <c r="S36" s="773">
        <f t="shared" si="10"/>
        <v>100</v>
      </c>
      <c r="T36" s="772" t="s">
        <v>17</v>
      </c>
      <c r="U36" s="773">
        <f t="shared" si="11"/>
        <v>100</v>
      </c>
      <c r="V36" s="772" t="s">
        <v>17</v>
      </c>
      <c r="W36" s="773">
        <f t="shared" si="12"/>
        <v>100</v>
      </c>
      <c r="X36" s="1808"/>
      <c r="Y36" s="3309" t="s">
        <v>2557</v>
      </c>
      <c r="Z36" s="1809">
        <f t="shared" si="13"/>
        <v>0</v>
      </c>
      <c r="AA36" s="1806">
        <f t="shared" si="3"/>
        <v>1</v>
      </c>
      <c r="AB36" s="1806">
        <f t="shared" si="4"/>
        <v>1</v>
      </c>
      <c r="AC36" s="1806">
        <f t="shared" si="5"/>
        <v>1</v>
      </c>
    </row>
    <row r="37" spans="1:29" s="471" customFormat="1" ht="15.75" thickBot="1">
      <c r="A37" s="675"/>
      <c r="B37" s="1384"/>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4"/>
      <c r="M37" s="1137"/>
      <c r="N37" s="1137"/>
      <c r="O37" s="1138"/>
      <c r="P37" s="3309"/>
      <c r="Q37" s="1805">
        <f t="shared" si="8"/>
        <v>0</v>
      </c>
      <c r="R37" s="775" t="s">
        <v>17</v>
      </c>
      <c r="S37" s="776">
        <f t="shared" si="10"/>
        <v>100</v>
      </c>
      <c r="T37" s="775" t="s">
        <v>17</v>
      </c>
      <c r="U37" s="776">
        <f t="shared" si="11"/>
        <v>100</v>
      </c>
      <c r="V37" s="775" t="s">
        <v>17</v>
      </c>
      <c r="W37" s="776">
        <f t="shared" si="12"/>
        <v>100</v>
      </c>
      <c r="X37" s="777"/>
      <c r="Y37" s="3309"/>
      <c r="Z37" s="778">
        <f t="shared" si="13"/>
        <v>0</v>
      </c>
      <c r="AA37" s="1806">
        <f t="shared" si="3"/>
        <v>1</v>
      </c>
      <c r="AB37" s="1806">
        <f t="shared" si="4"/>
        <v>1</v>
      </c>
      <c r="AC37" s="1806">
        <f t="shared" si="5"/>
        <v>1</v>
      </c>
    </row>
    <row r="38" spans="1:29" ht="15">
      <c r="A38" s="472" t="s">
        <v>2555</v>
      </c>
      <c r="B38" s="456" t="s">
        <v>2743</v>
      </c>
      <c r="C38" s="678">
        <f>'数据-汇总表'!D3</f>
        <v>25136</v>
      </c>
      <c r="D38" s="467">
        <v>100</v>
      </c>
      <c r="E38" s="678">
        <f>住宅土地案例!I4</f>
        <v>10956.1</v>
      </c>
      <c r="F38" s="467">
        <f>LOOKUP(E38,117:117,118:118)-LOOKUP(C38,117:117,118:118)+100</f>
        <v>100</v>
      </c>
      <c r="G38" s="678">
        <f>住宅土地案例!I7</f>
        <v>23976</v>
      </c>
      <c r="H38" s="467">
        <f>LOOKUP(G38,117:117,118:118)-LOOKUP(C38,117:117,118:118)+100</f>
        <v>100</v>
      </c>
      <c r="I38" s="530">
        <f>住宅土地案例!I13</f>
        <v>10337</v>
      </c>
      <c r="J38" s="467">
        <f>LOOKUP(I38,117:117,118:118)-LOOKUP(C38,117:117,118:118)+100</f>
        <v>100</v>
      </c>
      <c r="K38" s="613"/>
      <c r="L38" s="1136"/>
      <c r="M38" s="1127"/>
      <c r="N38" s="1127"/>
      <c r="O38" s="1135"/>
      <c r="P38" s="3309"/>
      <c r="Q38" s="1805" t="str">
        <f>B38</f>
        <v>宗地面积</v>
      </c>
      <c r="R38" s="772" t="s">
        <v>17</v>
      </c>
      <c r="S38" s="773">
        <f t="shared" si="10"/>
        <v>100</v>
      </c>
      <c r="T38" s="772" t="s">
        <v>17</v>
      </c>
      <c r="U38" s="773">
        <f t="shared" si="11"/>
        <v>100</v>
      </c>
      <c r="V38" s="772" t="s">
        <v>17</v>
      </c>
      <c r="W38" s="773">
        <f t="shared" si="12"/>
        <v>100</v>
      </c>
      <c r="X38" s="1808"/>
      <c r="Y38" s="3309"/>
      <c r="Z38" s="1809" t="str">
        <f t="shared" si="13"/>
        <v>宗地面积</v>
      </c>
      <c r="AA38" s="1806">
        <f t="shared" si="3"/>
        <v>1</v>
      </c>
      <c r="AB38" s="1806">
        <f t="shared" si="4"/>
        <v>1</v>
      </c>
      <c r="AC38" s="1806">
        <f t="shared" si="5"/>
        <v>1</v>
      </c>
    </row>
    <row r="39" spans="1:29" ht="15">
      <c r="A39" s="472"/>
      <c r="B39" s="422" t="s">
        <v>2744</v>
      </c>
      <c r="C39" s="2606" t="s">
        <v>4072</v>
      </c>
      <c r="D39" s="435">
        <v>100</v>
      </c>
      <c r="E39" s="2606" t="s">
        <v>4072</v>
      </c>
      <c r="F39" s="435">
        <f>SUMIF(119:119,E39,120:120)-SUMIF(119:119,C39,120:120)+100</f>
        <v>100</v>
      </c>
      <c r="G39" s="2606" t="s">
        <v>4072</v>
      </c>
      <c r="H39" s="435">
        <f>SUMIF(119:119,G39,120:120)-SUMIF(119:119,C39,120:120)+100</f>
        <v>100</v>
      </c>
      <c r="I39" s="2606" t="s">
        <v>4072</v>
      </c>
      <c r="J39" s="435">
        <f>SUMIF(119:119,I39,120:120)-SUMIF(119:119,C39,120:120)+100</f>
        <v>100</v>
      </c>
      <c r="K39" s="612">
        <v>2</v>
      </c>
      <c r="L39" s="1136"/>
      <c r="M39" s="1127"/>
      <c r="N39" s="1127"/>
      <c r="O39" s="1135"/>
      <c r="P39" s="3309"/>
      <c r="Q39" s="1805" t="str">
        <f t="shared" ref="Q39:Q45" si="14">B39</f>
        <v>宗地形状</v>
      </c>
      <c r="R39" s="772" t="s">
        <v>17</v>
      </c>
      <c r="S39" s="773">
        <f t="shared" si="10"/>
        <v>100</v>
      </c>
      <c r="T39" s="772" t="s">
        <v>17</v>
      </c>
      <c r="U39" s="773">
        <f t="shared" si="11"/>
        <v>100</v>
      </c>
      <c r="V39" s="772" t="s">
        <v>17</v>
      </c>
      <c r="W39" s="773">
        <f t="shared" si="12"/>
        <v>100</v>
      </c>
      <c r="X39" s="1808"/>
      <c r="Y39" s="3309"/>
      <c r="Z39" s="1809" t="str">
        <f t="shared" si="13"/>
        <v>宗地形状</v>
      </c>
      <c r="AA39" s="1806">
        <f t="shared" si="3"/>
        <v>1</v>
      </c>
      <c r="AB39" s="1806">
        <f t="shared" si="4"/>
        <v>1</v>
      </c>
      <c r="AC39" s="1806">
        <f t="shared" si="5"/>
        <v>1</v>
      </c>
    </row>
    <row r="40" spans="1:29" ht="15">
      <c r="A40" s="472"/>
      <c r="B40" s="422" t="s">
        <v>2745</v>
      </c>
      <c r="C40" s="2606" t="s">
        <v>4074</v>
      </c>
      <c r="D40" s="435">
        <v>100</v>
      </c>
      <c r="E40" s="2606" t="s">
        <v>4074</v>
      </c>
      <c r="F40" s="435">
        <f>SUMIF(121:121,E40,122:122)-SUMIF(121:121,C40,122:122)+100</f>
        <v>100</v>
      </c>
      <c r="G40" s="2606" t="s">
        <v>4074</v>
      </c>
      <c r="H40" s="435">
        <f>SUMIF(121:121,G40,122:122)-SUMIF(121:121,C40,122:122)+100</f>
        <v>100</v>
      </c>
      <c r="I40" s="2606" t="s">
        <v>4074</v>
      </c>
      <c r="J40" s="435">
        <f>SUMIF(121:121,I40,122:122)-SUMIF(121:121,C40,122:122)+100</f>
        <v>100</v>
      </c>
      <c r="K40" s="612">
        <v>2</v>
      </c>
      <c r="L40" s="1136"/>
      <c r="M40" s="1127"/>
      <c r="N40" s="1127"/>
      <c r="O40" s="1135"/>
      <c r="P40" s="3309"/>
      <c r="Q40" s="1805" t="str">
        <f t="shared" si="14"/>
        <v>临街宽度及深度</v>
      </c>
      <c r="R40" s="772" t="s">
        <v>17</v>
      </c>
      <c r="S40" s="773">
        <f t="shared" si="10"/>
        <v>100</v>
      </c>
      <c r="T40" s="772" t="s">
        <v>17</v>
      </c>
      <c r="U40" s="773">
        <f t="shared" si="11"/>
        <v>100</v>
      </c>
      <c r="V40" s="772" t="s">
        <v>17</v>
      </c>
      <c r="W40" s="773">
        <f t="shared" si="12"/>
        <v>100</v>
      </c>
      <c r="X40" s="1808"/>
      <c r="Y40" s="3309"/>
      <c r="Z40" s="1809" t="str">
        <f t="shared" si="13"/>
        <v>临街宽度及深度</v>
      </c>
      <c r="AA40" s="1806">
        <f t="shared" si="3"/>
        <v>1</v>
      </c>
      <c r="AB40" s="1806">
        <f t="shared" si="4"/>
        <v>1</v>
      </c>
      <c r="AC40" s="1806">
        <f t="shared" si="5"/>
        <v>1</v>
      </c>
    </row>
    <row r="41" spans="1:29" s="117" customFormat="1" ht="15">
      <c r="A41" s="473"/>
      <c r="B41" s="422" t="s">
        <v>2746</v>
      </c>
      <c r="C41" s="2693" t="s">
        <v>4076</v>
      </c>
      <c r="D41" s="136">
        <v>100</v>
      </c>
      <c r="E41" s="2693" t="s">
        <v>4080</v>
      </c>
      <c r="F41" s="435">
        <f>SUMIF(123:123,E41,124:124)-SUMIF(123:123,C41,124:124)+100</f>
        <v>102</v>
      </c>
      <c r="G41" s="2693" t="s">
        <v>4080</v>
      </c>
      <c r="H41" s="435">
        <f>SUMIF(123:123,G41,124:124)-SUMIF(123:123,C41,124:124)+100</f>
        <v>102</v>
      </c>
      <c r="I41" s="2693" t="s">
        <v>4080</v>
      </c>
      <c r="J41" s="435">
        <f>SUMIF(123:123,I41,124:124)-SUMIF(123:123,C41,124:124)+100</f>
        <v>102</v>
      </c>
      <c r="K41" s="612">
        <v>2</v>
      </c>
      <c r="L41" s="1128"/>
      <c r="M41" s="1129"/>
      <c r="N41" s="1129"/>
      <c r="O41" s="1130"/>
      <c r="P41" s="3309"/>
      <c r="Q41" s="1805" t="str">
        <f t="shared" si="14"/>
        <v>宗地开发程度</v>
      </c>
      <c r="R41" s="768" t="s">
        <v>17</v>
      </c>
      <c r="S41" s="769">
        <f t="shared" si="10"/>
        <v>102</v>
      </c>
      <c r="T41" s="768" t="s">
        <v>17</v>
      </c>
      <c r="U41" s="769">
        <f t="shared" si="11"/>
        <v>102</v>
      </c>
      <c r="V41" s="768" t="s">
        <v>17</v>
      </c>
      <c r="W41" s="769">
        <f t="shared" si="12"/>
        <v>102</v>
      </c>
      <c r="X41" s="770"/>
      <c r="Y41" s="3309"/>
      <c r="Z41" s="55" t="str">
        <f t="shared" si="13"/>
        <v>宗地开发程度</v>
      </c>
      <c r="AA41" s="771">
        <f t="shared" si="3"/>
        <v>0.98039215686274506</v>
      </c>
      <c r="AB41" s="771">
        <f t="shared" si="4"/>
        <v>0.98039215686274506</v>
      </c>
      <c r="AC41" s="771">
        <f t="shared" si="5"/>
        <v>0.98039215686274506</v>
      </c>
    </row>
    <row r="42" spans="1:29" ht="15">
      <c r="A42" s="472"/>
      <c r="B42" s="422" t="s">
        <v>2747</v>
      </c>
      <c r="C42" s="2606" t="s">
        <v>3610</v>
      </c>
      <c r="D42" s="435">
        <v>100</v>
      </c>
      <c r="E42" s="2606" t="s">
        <v>3610</v>
      </c>
      <c r="F42" s="435">
        <f>SUMIF(125:125,E42,126:126)-SUMIF(125:125,C42,126:126)+100</f>
        <v>100</v>
      </c>
      <c r="G42" s="2606" t="s">
        <v>3610</v>
      </c>
      <c r="H42" s="435">
        <f>SUMIF(125:125,G42,126:126)-SUMIF(125:125,C42,126:126)+100</f>
        <v>100</v>
      </c>
      <c r="I42" s="2606" t="s">
        <v>3610</v>
      </c>
      <c r="J42" s="435">
        <f>SUMIF(125:125,I42,126:126)-SUMIF(125:125,C42,126:126)+100</f>
        <v>100</v>
      </c>
      <c r="K42" s="612">
        <v>2</v>
      </c>
      <c r="L42" s="1136"/>
      <c r="M42" s="1127"/>
      <c r="N42" s="1127"/>
      <c r="O42" s="1135"/>
      <c r="P42" s="3309" t="s">
        <v>2557</v>
      </c>
      <c r="Q42" s="1805" t="str">
        <f t="shared" si="14"/>
        <v>工程地质条件</v>
      </c>
      <c r="R42" s="772" t="s">
        <v>17</v>
      </c>
      <c r="S42" s="773">
        <f t="shared" si="10"/>
        <v>100</v>
      </c>
      <c r="T42" s="772" t="s">
        <v>17</v>
      </c>
      <c r="U42" s="773">
        <f t="shared" si="11"/>
        <v>100</v>
      </c>
      <c r="V42" s="772" t="s">
        <v>17</v>
      </c>
      <c r="W42" s="773">
        <f t="shared" si="12"/>
        <v>100</v>
      </c>
      <c r="X42" s="1808"/>
      <c r="Y42" s="3309" t="s">
        <v>2557</v>
      </c>
      <c r="Z42" s="1809" t="str">
        <f t="shared" si="13"/>
        <v>工程地质条件</v>
      </c>
      <c r="AA42" s="1806">
        <f t="shared" si="3"/>
        <v>1</v>
      </c>
      <c r="AB42" s="1806">
        <f t="shared" si="4"/>
        <v>1</v>
      </c>
      <c r="AC42" s="1806">
        <f t="shared" si="5"/>
        <v>1</v>
      </c>
    </row>
    <row r="43" spans="1:29" ht="15">
      <c r="A43" s="472"/>
      <c r="B43" s="1383"/>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6"/>
      <c r="M43" s="1127"/>
      <c r="N43" s="1127"/>
      <c r="O43" s="1135"/>
      <c r="P43" s="3309"/>
      <c r="Q43" s="1805">
        <f t="shared" si="14"/>
        <v>0</v>
      </c>
      <c r="R43" s="772" t="s">
        <v>17</v>
      </c>
      <c r="S43" s="773">
        <f t="shared" si="10"/>
        <v>100</v>
      </c>
      <c r="T43" s="772" t="s">
        <v>17</v>
      </c>
      <c r="U43" s="773">
        <f t="shared" si="11"/>
        <v>100</v>
      </c>
      <c r="V43" s="772" t="s">
        <v>17</v>
      </c>
      <c r="W43" s="773">
        <f t="shared" si="12"/>
        <v>100</v>
      </c>
      <c r="X43" s="1808"/>
      <c r="Y43" s="3309"/>
      <c r="Z43" s="1809">
        <f t="shared" si="13"/>
        <v>0</v>
      </c>
      <c r="AA43" s="1806">
        <f t="shared" si="3"/>
        <v>1</v>
      </c>
      <c r="AB43" s="1806">
        <f t="shared" si="4"/>
        <v>1</v>
      </c>
      <c r="AC43" s="1806">
        <f t="shared" si="5"/>
        <v>1</v>
      </c>
    </row>
    <row r="44" spans="1:29" ht="15">
      <c r="A44" s="472"/>
      <c r="B44" s="1383"/>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6"/>
      <c r="M44" s="1127"/>
      <c r="N44" s="1127"/>
      <c r="O44" s="1135"/>
      <c r="P44" s="3309"/>
      <c r="Q44" s="1805">
        <f t="shared" si="14"/>
        <v>0</v>
      </c>
      <c r="R44" s="772" t="s">
        <v>17</v>
      </c>
      <c r="S44" s="773">
        <f t="shared" si="10"/>
        <v>100</v>
      </c>
      <c r="T44" s="772" t="s">
        <v>17</v>
      </c>
      <c r="U44" s="773">
        <f t="shared" si="11"/>
        <v>100</v>
      </c>
      <c r="V44" s="772" t="s">
        <v>17</v>
      </c>
      <c r="W44" s="773">
        <f t="shared" si="12"/>
        <v>100</v>
      </c>
      <c r="X44" s="1808"/>
      <c r="Y44" s="3309"/>
      <c r="Z44" s="1809">
        <f t="shared" si="13"/>
        <v>0</v>
      </c>
      <c r="AA44" s="1806">
        <f t="shared" si="3"/>
        <v>1</v>
      </c>
      <c r="AB44" s="1806">
        <f t="shared" si="4"/>
        <v>1</v>
      </c>
      <c r="AC44" s="1806">
        <f t="shared" si="5"/>
        <v>1</v>
      </c>
    </row>
    <row r="45" spans="1:29" s="471" customFormat="1" ht="15.75" thickBot="1">
      <c r="A45" s="468"/>
      <c r="B45" s="1383"/>
      <c r="C45" s="2694"/>
      <c r="D45" s="679">
        <v>100</v>
      </c>
      <c r="E45" s="673"/>
      <c r="F45" s="438">
        <f>SUMIF(131:131,E45,132:132)-SUMIF(131:131,C45,132:132)+100</f>
        <v>100</v>
      </c>
      <c r="G45" s="673"/>
      <c r="H45" s="438">
        <f>SUMIF(131:131,G45,132:132)-SUMIF(131:131,C45,132:132)+100</f>
        <v>100</v>
      </c>
      <c r="I45" s="673"/>
      <c r="J45" s="438">
        <f>SUMIF(131:131,I45,132:132)-SUMIF(131:131,C45,132:132)+100</f>
        <v>100</v>
      </c>
      <c r="K45" s="680"/>
      <c r="L45" s="1134"/>
      <c r="M45" s="1137"/>
      <c r="N45" s="1137"/>
      <c r="O45" s="1138"/>
      <c r="P45" s="3309"/>
      <c r="Q45" s="1805">
        <f t="shared" si="14"/>
        <v>0</v>
      </c>
      <c r="R45" s="775" t="s">
        <v>17</v>
      </c>
      <c r="S45" s="776">
        <f t="shared" si="10"/>
        <v>100</v>
      </c>
      <c r="T45" s="775" t="s">
        <v>17</v>
      </c>
      <c r="U45" s="776">
        <f t="shared" si="11"/>
        <v>100</v>
      </c>
      <c r="V45" s="775" t="s">
        <v>17</v>
      </c>
      <c r="W45" s="776">
        <f t="shared" si="12"/>
        <v>100</v>
      </c>
      <c r="X45" s="777"/>
      <c r="Y45" s="3309"/>
      <c r="Z45" s="778">
        <f t="shared" si="13"/>
        <v>0</v>
      </c>
      <c r="AA45" s="1806">
        <f t="shared" si="3"/>
        <v>1</v>
      </c>
      <c r="AB45" s="1806">
        <f t="shared" si="4"/>
        <v>1</v>
      </c>
      <c r="AC45" s="1806">
        <f t="shared" si="5"/>
        <v>1</v>
      </c>
    </row>
    <row r="46" spans="1:29" ht="15">
      <c r="A46" s="479" t="s">
        <v>2712</v>
      </c>
      <c r="B46" s="2695" t="s">
        <v>2748</v>
      </c>
      <c r="C46" s="681" t="s">
        <v>1</v>
      </c>
      <c r="D46" s="481"/>
      <c r="E46" s="482">
        <f>ROUNDDOWN(住宅土地案例!Q4,0)</f>
        <v>8823</v>
      </c>
      <c r="F46" s="483"/>
      <c r="G46" s="482">
        <f>ROUNDDOWN(住宅土地案例!Q7,0)</f>
        <v>9062</v>
      </c>
      <c r="H46" s="485"/>
      <c r="I46" s="482">
        <f>ROUNDDOWN(住宅土地案例!Q13,0)</f>
        <v>10103</v>
      </c>
      <c r="J46" s="485"/>
      <c r="K46" s="781"/>
      <c r="L46" s="1139"/>
      <c r="M46" s="1140"/>
      <c r="N46" s="1127"/>
      <c r="O46" s="1140"/>
      <c r="P46" s="3291" t="str">
        <f>A46</f>
        <v>成交单价</v>
      </c>
      <c r="Q46" s="3291"/>
      <c r="R46" s="3304">
        <f>E46</f>
        <v>8823</v>
      </c>
      <c r="S46" s="3304"/>
      <c r="T46" s="3304">
        <f>G46</f>
        <v>9062</v>
      </c>
      <c r="U46" s="3304"/>
      <c r="V46" s="3304">
        <f>I46</f>
        <v>10103</v>
      </c>
      <c r="W46" s="3304"/>
      <c r="X46" s="757"/>
      <c r="Y46" s="779"/>
      <c r="Z46" s="757"/>
      <c r="AA46" s="757"/>
      <c r="AB46" s="757"/>
      <c r="AC46" s="757"/>
    </row>
    <row r="47" spans="1:29" ht="15.75" thickBot="1">
      <c r="A47" s="486" t="s">
        <v>2661</v>
      </c>
      <c r="B47" s="682"/>
      <c r="C47" s="490">
        <f>R48</f>
        <v>9921</v>
      </c>
      <c r="D47" s="489"/>
      <c r="E47" s="490">
        <f>R47</f>
        <v>9387</v>
      </c>
      <c r="F47" s="491"/>
      <c r="G47" s="488">
        <f>T47</f>
        <v>10171</v>
      </c>
      <c r="H47" s="489"/>
      <c r="I47" s="490">
        <f>V47</f>
        <v>10205</v>
      </c>
      <c r="J47" s="489"/>
      <c r="K47" s="782"/>
      <c r="L47" s="1139"/>
      <c r="M47" s="1140"/>
      <c r="N47" s="1140"/>
      <c r="O47" s="1140"/>
      <c r="P47" s="3291" t="str">
        <f>A47</f>
        <v>比较价值（元/平方米）</v>
      </c>
      <c r="Q47" s="3291"/>
      <c r="R47" s="3310">
        <f>ROUND(PRODUCT(R46,AA7:AA45),0)</f>
        <v>9387</v>
      </c>
      <c r="S47" s="3310"/>
      <c r="T47" s="3310">
        <f>ROUND(PRODUCT(T46,AB7:AB45),0)</f>
        <v>10171</v>
      </c>
      <c r="U47" s="3310"/>
      <c r="V47" s="3310">
        <f>ROUND(PRODUCT(V46,AC7:AC45),0)</f>
        <v>10205</v>
      </c>
      <c r="W47" s="3310"/>
      <c r="X47" s="757"/>
      <c r="Y47" s="757"/>
      <c r="Z47" s="757"/>
      <c r="AA47" s="757"/>
      <c r="AB47" s="757"/>
      <c r="AC47" s="757"/>
    </row>
    <row r="48" spans="1:29" ht="15.75" thickBot="1">
      <c r="A48" s="492" t="s">
        <v>2749</v>
      </c>
      <c r="B48" s="493"/>
      <c r="C48" s="494">
        <f>R48</f>
        <v>9921</v>
      </c>
      <c r="D48" s="494"/>
      <c r="E48" s="494"/>
      <c r="F48" s="494"/>
      <c r="G48" s="494"/>
      <c r="H48" s="494"/>
      <c r="I48" s="494"/>
      <c r="J48" s="494"/>
      <c r="K48" s="783"/>
      <c r="L48" s="1139"/>
      <c r="M48" s="1140"/>
      <c r="N48" s="1140"/>
      <c r="O48" s="1140"/>
      <c r="P48" s="3311" t="str">
        <f>A48</f>
        <v>估价对象XX用房的比较价值（楼面单价，元/平方米）</v>
      </c>
      <c r="Q48" s="3312"/>
      <c r="R48" s="3313">
        <f>ROUND(AVERAGE(R47:V47),0)</f>
        <v>9921</v>
      </c>
      <c r="S48" s="3313"/>
      <c r="T48" s="3313"/>
      <c r="U48" s="3313"/>
      <c r="V48" s="3313"/>
      <c r="W48" s="3313"/>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2663</v>
      </c>
      <c r="D51" s="498"/>
      <c r="E51" s="499">
        <f>IF(E46&lt;E47,E47/E46-1,E46/E47-1)</f>
        <v>6.3923835430125697E-2</v>
      </c>
      <c r="F51" s="500" t="str">
        <f>IF(OR(E51&gt;=0.3,E51&lt;=-0.3),"超过30%","")</f>
        <v/>
      </c>
      <c r="G51" s="499">
        <f>IF(G46&lt;G47,G47/G46-1,G46/G47-1)</f>
        <v>0.12237916574707564</v>
      </c>
      <c r="H51" s="500" t="str">
        <f>IF(OR(G51&gt;=0.3,G51&lt;=-0.3),"超过30%","")</f>
        <v/>
      </c>
      <c r="I51" s="499">
        <f>IF(I46&lt;I47,I47/I46-1,I46/I47-1)</f>
        <v>1.0096011085816148E-2</v>
      </c>
      <c r="J51" s="500" t="str">
        <f>IF(OR(I51&gt;=0.3,I51&lt;=-0.3),"超过30%","")</f>
        <v/>
      </c>
      <c r="K51" s="1101"/>
      <c r="L51" s="1102"/>
      <c r="M51" s="1140"/>
      <c r="N51" s="1140"/>
      <c r="O51" s="1140"/>
    </row>
    <row r="52" spans="1:15" ht="13.5" customHeight="1">
      <c r="A52" s="1140"/>
      <c r="B52" s="1140"/>
      <c r="C52" s="497" t="s">
        <v>2664</v>
      </c>
      <c r="D52" s="501"/>
      <c r="E52" s="499">
        <f>IF(E47&lt;G47,G47/E47-1,E47/G47-1)</f>
        <v>8.3519761372110368E-2</v>
      </c>
      <c r="F52" s="500" t="str">
        <f>IF(OR(E52&gt;=0.2,E52&lt;=-0.2),"超过20%","")</f>
        <v/>
      </c>
      <c r="G52" s="499">
        <f>IF(G47&lt;I47,I47/G47-1,G47/I47-1)</f>
        <v>3.3428374791073523E-3</v>
      </c>
      <c r="H52" s="500" t="str">
        <f>IF(OR(G52&gt;=0.2,G52&lt;=-0.2),"超过20%","")</f>
        <v/>
      </c>
      <c r="I52" s="499">
        <f>IF(I47&lt;E47,E47/I47-1,I47/E47-1)</f>
        <v>8.7141791839778326E-2</v>
      </c>
      <c r="J52" s="500" t="str">
        <f>IF(OR(I52&gt;=0.2,I52&lt;=-0.2),"超过20%","")</f>
        <v/>
      </c>
      <c r="K52" s="1101"/>
      <c r="L52" s="1102"/>
      <c r="M52" s="1140"/>
      <c r="N52" s="1140"/>
      <c r="O52" s="1140"/>
    </row>
    <row r="53" spans="1:15" s="502" customFormat="1" ht="13.5" customHeight="1">
      <c r="A53" s="1141"/>
      <c r="B53" s="1141"/>
      <c r="C53" s="497" t="s">
        <v>2665</v>
      </c>
      <c r="D53" s="501"/>
      <c r="E53" s="499">
        <f>IF(E46&lt;G46,G46/E46-1,E46/G46-1)</f>
        <v>2.7088291964184608E-2</v>
      </c>
      <c r="F53" s="500" t="str">
        <f>IF(OR(E53&gt;=0.3,E53&lt;=-0.3),"超过30%","")</f>
        <v/>
      </c>
      <c r="G53" s="499">
        <f>IF(G46&lt;I46,I46/G46-1,G46/I46-1)</f>
        <v>0.11487530346501873</v>
      </c>
      <c r="H53" s="500" t="str">
        <f>IF(OR(G53&gt;=0.3,G53&lt;=-0.3),"超过30%","")</f>
        <v/>
      </c>
      <c r="I53" s="499">
        <f>IF(I46&lt;E46,E46/I46-1,I46/E46-1)</f>
        <v>0.1450753711889381</v>
      </c>
      <c r="J53" s="500" t="str">
        <f>IF(OR(I53&gt;=0.3,I53&lt;=-0.3),"超过30%","")</f>
        <v/>
      </c>
      <c r="K53" s="1144"/>
      <c r="L53" s="1145"/>
      <c r="M53" s="1141"/>
      <c r="N53" s="1141"/>
      <c r="O53" s="1141"/>
    </row>
    <row r="54" spans="1:15" s="502" customFormat="1" ht="15" thickBot="1">
      <c r="A54" s="1141"/>
      <c r="B54" s="1142"/>
      <c r="C54" s="760"/>
      <c r="D54" s="758"/>
      <c r="E54" s="758"/>
      <c r="F54" s="758"/>
      <c r="G54" s="758"/>
      <c r="H54" s="758"/>
      <c r="I54" s="758"/>
      <c r="J54" s="758"/>
      <c r="K54" s="1144"/>
      <c r="L54" s="1145"/>
      <c r="M54" s="1141"/>
      <c r="N54" s="1141"/>
      <c r="O54" s="1141"/>
    </row>
    <row r="55" spans="1:15" ht="27" customHeight="1">
      <c r="A55" s="683" t="s">
        <v>2750</v>
      </c>
      <c r="B55" s="684" t="s">
        <v>2751</v>
      </c>
      <c r="C55" s="2696" t="s">
        <v>3608</v>
      </c>
      <c r="D55" s="2697" t="s">
        <v>2753</v>
      </c>
      <c r="E55" s="685" t="s">
        <v>2754</v>
      </c>
      <c r="F55" s="1103" t="s">
        <v>2755</v>
      </c>
      <c r="G55" s="3292" t="s">
        <v>2756</v>
      </c>
      <c r="H55" s="3314"/>
      <c r="I55" s="144" t="s">
        <v>2757</v>
      </c>
      <c r="J55" s="2698">
        <f>项目基本情况!F35</f>
        <v>0</v>
      </c>
      <c r="K55" s="2699" t="s">
        <v>2758</v>
      </c>
      <c r="L55" s="1102"/>
      <c r="M55" s="1140"/>
      <c r="N55" s="1140"/>
      <c r="O55" s="1140"/>
    </row>
    <row r="56" spans="1:15" s="691" customFormat="1">
      <c r="A56" s="687" t="s">
        <v>2759</v>
      </c>
      <c r="B56" s="688">
        <f>C48</f>
        <v>9921</v>
      </c>
      <c r="C56" s="689">
        <v>1</v>
      </c>
      <c r="D56" s="1159">
        <v>1</v>
      </c>
      <c r="E56" s="689">
        <f>'数据-汇总表'!E8+'数据-汇总表'!E9</f>
        <v>218042.81</v>
      </c>
      <c r="F56" s="1099">
        <f t="shared" ref="F56:F65" si="15">ROUND(B56*E56/10000,0)</f>
        <v>216320</v>
      </c>
      <c r="G56" s="3315"/>
      <c r="H56" s="3291"/>
      <c r="I56" s="1104">
        <v>1</v>
      </c>
      <c r="J56" s="1107">
        <v>1</v>
      </c>
      <c r="K56" s="1141"/>
      <c r="L56" s="937"/>
      <c r="M56" s="937"/>
      <c r="N56" s="937"/>
      <c r="O56" s="937"/>
    </row>
    <row r="57" spans="1:15" s="691" customFormat="1">
      <c r="A57" s="692" t="s">
        <v>2760</v>
      </c>
      <c r="B57" s="262">
        <f>ROUND($C$48*C57*D57,0)</f>
        <v>0</v>
      </c>
      <c r="C57" s="200">
        <f t="shared" ref="C57:C65" si="16">IF($C$55="北京市系数",I57,J57)</f>
        <v>0</v>
      </c>
      <c r="D57" s="1160">
        <v>0.25</v>
      </c>
      <c r="E57" s="693"/>
      <c r="F57" s="1099">
        <f t="shared" si="15"/>
        <v>0</v>
      </c>
      <c r="G57" s="3316" t="s">
        <v>2761</v>
      </c>
      <c r="H57" s="1100">
        <f>项目基本情况!B37</f>
        <v>0</v>
      </c>
      <c r="I57" s="1104">
        <f>SUMIF(修正!A45:A56,H57,修正!B45:B56)</f>
        <v>0</v>
      </c>
      <c r="J57" s="1108"/>
      <c r="K57" s="1140"/>
      <c r="L57" s="937"/>
      <c r="M57" s="937"/>
      <c r="N57" s="937"/>
      <c r="O57" s="937"/>
    </row>
    <row r="58" spans="1:15" s="691" customFormat="1">
      <c r="A58" s="692" t="s">
        <v>2762</v>
      </c>
      <c r="B58" s="262">
        <f t="shared" ref="B58:B65" si="17">ROUND($C$48*C58*D58,0)</f>
        <v>0</v>
      </c>
      <c r="C58" s="200">
        <f t="shared" si="16"/>
        <v>0</v>
      </c>
      <c r="D58" s="1160">
        <v>0.25</v>
      </c>
      <c r="E58" s="693"/>
      <c r="F58" s="1099">
        <f t="shared" si="15"/>
        <v>0</v>
      </c>
      <c r="G58" s="3316"/>
      <c r="H58" s="1100">
        <f>项目基本情况!B37</f>
        <v>0</v>
      </c>
      <c r="I58" s="1104">
        <f>SUMIF(修正!A45:A56,H58,修正!C45:C56)</f>
        <v>0</v>
      </c>
      <c r="J58" s="1108"/>
      <c r="K58" s="1141"/>
      <c r="L58" s="937"/>
      <c r="M58" s="937"/>
      <c r="N58" s="937"/>
      <c r="O58" s="937"/>
    </row>
    <row r="59" spans="1:15" s="691" customFormat="1">
      <c r="A59" s="692" t="s">
        <v>2763</v>
      </c>
      <c r="B59" s="262">
        <f t="shared" si="17"/>
        <v>0</v>
      </c>
      <c r="C59" s="200">
        <f t="shared" si="16"/>
        <v>0</v>
      </c>
      <c r="D59" s="1160">
        <v>0.25</v>
      </c>
      <c r="E59" s="693"/>
      <c r="F59" s="1099">
        <f t="shared" si="15"/>
        <v>0</v>
      </c>
      <c r="G59" s="3316"/>
      <c r="H59" s="1100">
        <f>项目基本情况!B37</f>
        <v>0</v>
      </c>
      <c r="I59" s="1104">
        <f>SUMIF(修正!A45:A56,H59,修正!D45:D56)</f>
        <v>0</v>
      </c>
      <c r="J59" s="1108"/>
      <c r="K59" s="1140"/>
      <c r="L59" s="937"/>
      <c r="M59" s="937"/>
      <c r="N59" s="937"/>
      <c r="O59" s="937"/>
    </row>
    <row r="60" spans="1:15" s="691" customFormat="1">
      <c r="A60" s="692" t="s">
        <v>2764</v>
      </c>
      <c r="B60" s="262">
        <f t="shared" si="17"/>
        <v>9921</v>
      </c>
      <c r="C60" s="200">
        <f t="shared" si="16"/>
        <v>1</v>
      </c>
      <c r="D60" s="1160">
        <v>1</v>
      </c>
      <c r="E60" s="693">
        <f>'数据-汇总表'!F19</f>
        <v>91600</v>
      </c>
      <c r="F60" s="1099">
        <f t="shared" si="15"/>
        <v>90876</v>
      </c>
      <c r="G60" s="3316"/>
      <c r="H60" s="1100">
        <f>项目基本情况!B37</f>
        <v>0</v>
      </c>
      <c r="I60" s="1104">
        <f>SUMIF(修正!A45:A56,H60,修正!E45:E56)</f>
        <v>0</v>
      </c>
      <c r="J60" s="1108">
        <v>1</v>
      </c>
      <c r="K60" s="1141"/>
      <c r="L60" s="937"/>
      <c r="M60" s="937"/>
      <c r="N60" s="937"/>
      <c r="O60" s="937"/>
    </row>
    <row r="61" spans="1:15" s="691" customFormat="1">
      <c r="A61" s="692" t="s">
        <v>2765</v>
      </c>
      <c r="B61" s="262">
        <f t="shared" si="17"/>
        <v>0</v>
      </c>
      <c r="C61" s="200">
        <f t="shared" si="16"/>
        <v>0</v>
      </c>
      <c r="D61" s="1160">
        <v>0.25</v>
      </c>
      <c r="E61" s="261">
        <f>'数据-汇总表'!E11</f>
        <v>0</v>
      </c>
      <c r="F61" s="1099">
        <f t="shared" si="15"/>
        <v>0</v>
      </c>
      <c r="G61" s="2700" t="s">
        <v>2766</v>
      </c>
      <c r="H61" s="1100">
        <f>项目基本情况!C37</f>
        <v>0</v>
      </c>
      <c r="I61" s="1104">
        <f>SUMIF(修正!A45:A56,H61,修正!F45:F56)</f>
        <v>0</v>
      </c>
      <c r="J61" s="1108"/>
      <c r="K61" s="1140"/>
      <c r="L61" s="937"/>
      <c r="M61" s="937"/>
      <c r="N61" s="937"/>
      <c r="O61" s="937"/>
    </row>
    <row r="62" spans="1:15" s="691" customFormat="1">
      <c r="A62" s="692" t="s">
        <v>2767</v>
      </c>
      <c r="B62" s="262">
        <f t="shared" si="17"/>
        <v>0</v>
      </c>
      <c r="C62" s="200">
        <f t="shared" si="16"/>
        <v>0</v>
      </c>
      <c r="D62" s="1160">
        <v>0.25</v>
      </c>
      <c r="E62" s="261">
        <f>'数据-汇总表'!E12</f>
        <v>0</v>
      </c>
      <c r="F62" s="1099">
        <f t="shared" si="15"/>
        <v>0</v>
      </c>
      <c r="G62" s="1105" t="s">
        <v>2768</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1" customFormat="1">
      <c r="A63" s="692" t="s">
        <v>2769</v>
      </c>
      <c r="B63" s="262">
        <f t="shared" si="17"/>
        <v>0</v>
      </c>
      <c r="C63" s="200">
        <f t="shared" si="16"/>
        <v>0</v>
      </c>
      <c r="D63" s="1160">
        <v>0.25</v>
      </c>
      <c r="E63" s="261">
        <f>'数据-汇总表'!E13</f>
        <v>115386.06</v>
      </c>
      <c r="F63" s="1099">
        <f t="shared" si="15"/>
        <v>0</v>
      </c>
      <c r="G63" s="1105" t="s">
        <v>2770</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2771</v>
      </c>
      <c r="B64" s="262">
        <f t="shared" si="17"/>
        <v>0</v>
      </c>
      <c r="C64" s="200">
        <f t="shared" si="16"/>
        <v>0</v>
      </c>
      <c r="D64" s="1160">
        <v>0.25</v>
      </c>
      <c r="E64" s="261">
        <f>'数据-汇总表'!E14</f>
        <v>0</v>
      </c>
      <c r="F64" s="1099">
        <f t="shared" si="15"/>
        <v>0</v>
      </c>
      <c r="G64" s="2700" t="s">
        <v>2761</v>
      </c>
      <c r="H64" s="1100">
        <f>项目基本情况!B37</f>
        <v>0</v>
      </c>
      <c r="I64" s="1104">
        <f>SUMIF(修正!A45:A56,H64,修正!H45:H56)</f>
        <v>0</v>
      </c>
      <c r="J64" s="1108"/>
      <c r="K64" s="1141"/>
      <c r="L64" s="937"/>
      <c r="M64" s="937"/>
      <c r="N64" s="937"/>
      <c r="O64" s="937"/>
    </row>
    <row r="65" spans="1:17" s="691" customFormat="1" ht="15" thickBot="1">
      <c r="A65" s="692" t="s">
        <v>2772</v>
      </c>
      <c r="B65" s="262">
        <f t="shared" si="17"/>
        <v>0</v>
      </c>
      <c r="C65" s="200">
        <f t="shared" si="16"/>
        <v>0</v>
      </c>
      <c r="D65" s="1160">
        <v>0.25</v>
      </c>
      <c r="E65" s="261">
        <f>'数据-汇总表'!E15</f>
        <v>0</v>
      </c>
      <c r="F65" s="1099">
        <f t="shared" si="15"/>
        <v>0</v>
      </c>
      <c r="G65" s="2701" t="s">
        <v>2766</v>
      </c>
      <c r="H65" s="1110">
        <f>项目基本情况!C37</f>
        <v>0</v>
      </c>
      <c r="I65" s="1106">
        <f>SUMIF(修正!A45:A56,H65,修正!H45:H56)</f>
        <v>0</v>
      </c>
      <c r="J65" s="1109"/>
      <c r="K65" s="1140"/>
      <c r="L65" s="937"/>
      <c r="M65" s="937"/>
      <c r="N65" s="937"/>
      <c r="O65" s="937"/>
    </row>
    <row r="66" spans="1:17" s="691" customFormat="1" ht="13.5" thickBot="1">
      <c r="A66" s="694" t="s">
        <v>2773</v>
      </c>
      <c r="B66" s="695" t="s">
        <v>28</v>
      </c>
      <c r="C66" s="695" t="s">
        <v>29</v>
      </c>
      <c r="D66" s="695" t="s">
        <v>1026</v>
      </c>
      <c r="E66" s="695">
        <f>IF(B46="楼面地价",SUM(E56:E65),'数据-汇总表'!D3)</f>
        <v>425028.87</v>
      </c>
      <c r="F66" s="696">
        <f>IF(B46="楼面地价",SUM(F56:F65),ROUND(C48*E66/10000,0))</f>
        <v>307196</v>
      </c>
      <c r="G66" s="785"/>
      <c r="H66" s="785"/>
      <c r="I66" s="785"/>
      <c r="J66" s="785"/>
      <c r="K66" s="1154"/>
      <c r="L66" s="937"/>
      <c r="M66" s="937"/>
      <c r="N66" s="937"/>
      <c r="O66" s="937"/>
    </row>
    <row r="67" spans="1:17">
      <c r="A67" s="757"/>
      <c r="B67" s="759"/>
      <c r="C67" s="760"/>
      <c r="D67" s="757"/>
      <c r="E67" s="757"/>
      <c r="F67" s="757"/>
      <c r="G67" s="757"/>
      <c r="H67" s="757"/>
      <c r="I67" s="757"/>
      <c r="J67" s="1140"/>
      <c r="K67" s="1101"/>
      <c r="L67" s="1102"/>
      <c r="M67" s="1140"/>
      <c r="N67" s="1140"/>
      <c r="O67" s="1140"/>
    </row>
    <row r="68" spans="1:17">
      <c r="A68" s="757"/>
      <c r="B68" s="759"/>
      <c r="C68" s="759" t="str">
        <f>YEAR(C7)&amp;"-"&amp;MONTH(C7)&amp;"-1"</f>
        <v>2019-11-1</v>
      </c>
      <c r="D68" s="759">
        <f>EDATE(C68,-3)</f>
        <v>43678</v>
      </c>
      <c r="E68" s="759">
        <f>EDATE(D68,-3)</f>
        <v>43586</v>
      </c>
      <c r="F68" s="759">
        <f t="shared" ref="F68:O68" si="18">EDATE(E68,-3)</f>
        <v>43497</v>
      </c>
      <c r="G68" s="759">
        <f t="shared" si="18"/>
        <v>43405</v>
      </c>
      <c r="H68" s="759">
        <f t="shared" si="18"/>
        <v>43313</v>
      </c>
      <c r="I68" s="759">
        <f t="shared" si="18"/>
        <v>43221</v>
      </c>
      <c r="J68" s="759">
        <f t="shared" si="18"/>
        <v>43132</v>
      </c>
      <c r="K68" s="759">
        <f t="shared" si="18"/>
        <v>43040</v>
      </c>
      <c r="L68" s="759">
        <f t="shared" si="18"/>
        <v>42948</v>
      </c>
      <c r="M68" s="759">
        <f t="shared" si="18"/>
        <v>42856</v>
      </c>
      <c r="N68" s="759">
        <f t="shared" si="18"/>
        <v>42767</v>
      </c>
      <c r="O68" s="759">
        <f t="shared" si="18"/>
        <v>42675</v>
      </c>
    </row>
    <row r="69" spans="1:17" ht="21.75" thickBot="1">
      <c r="A69" s="761" t="s">
        <v>2666</v>
      </c>
      <c r="B69" s="757"/>
      <c r="C69" s="762"/>
      <c r="D69" s="762"/>
      <c r="E69" s="762"/>
      <c r="F69" s="763"/>
      <c r="G69" s="763"/>
      <c r="H69" s="762"/>
      <c r="I69" s="762"/>
      <c r="J69" s="1155"/>
      <c r="K69" s="1156"/>
      <c r="L69" s="1157"/>
      <c r="M69" s="1155"/>
      <c r="N69" s="1155"/>
      <c r="O69" s="1155"/>
      <c r="P69" s="503"/>
      <c r="Q69" s="504"/>
    </row>
    <row r="70" spans="1:17" s="508" customFormat="1" ht="15">
      <c r="A70" s="2702" t="s">
        <v>2774</v>
      </c>
      <c r="B70" s="1355"/>
      <c r="C70" s="1567" t="str">
        <f>YEAR(C68)&amp;"-"&amp;ROUNDUP(MONTH(C68)/3,0)</f>
        <v>2019-4</v>
      </c>
      <c r="D70" s="1567" t="str">
        <f>YEAR(D68)&amp;"-"&amp;ROUNDUP(MONTH(D68)/3,0)</f>
        <v>2019-3</v>
      </c>
      <c r="E70" s="1567" t="str">
        <f t="shared" ref="E70:O70" si="19">YEAR(E68)&amp;"-"&amp;ROUNDUP(MONTH(E68)/3,0)</f>
        <v>2019-2</v>
      </c>
      <c r="F70" s="1567" t="str">
        <f t="shared" si="19"/>
        <v>2019-1</v>
      </c>
      <c r="G70" s="1567" t="str">
        <f t="shared" si="19"/>
        <v>2018-4</v>
      </c>
      <c r="H70" s="1567" t="str">
        <f t="shared" si="19"/>
        <v>2018-3</v>
      </c>
      <c r="I70" s="1567" t="str">
        <f t="shared" si="19"/>
        <v>2018-2</v>
      </c>
      <c r="J70" s="1567" t="str">
        <f t="shared" si="19"/>
        <v>2018-1</v>
      </c>
      <c r="K70" s="1567" t="str">
        <f t="shared" si="19"/>
        <v>2017-4</v>
      </c>
      <c r="L70" s="1567" t="str">
        <f t="shared" si="19"/>
        <v>2017-3</v>
      </c>
      <c r="M70" s="1567" t="str">
        <f t="shared" si="19"/>
        <v>2017-2</v>
      </c>
      <c r="N70" s="1567" t="str">
        <f t="shared" si="19"/>
        <v>2017-1</v>
      </c>
      <c r="O70" s="1567" t="str">
        <f t="shared" si="19"/>
        <v>2016-4</v>
      </c>
      <c r="P70" s="507"/>
    </row>
    <row r="71" spans="1:17" s="117" customFormat="1" ht="30" customHeight="1">
      <c r="A71" s="2703" t="s">
        <v>2775</v>
      </c>
      <c r="B71" s="332" t="str">
        <f>"北京市平均增长率"&amp;TEXT(SUMIF(基准地价修正!N21:N25,A71,基准地价修正!P21:P25),"0.00%")</f>
        <v>北京市平均增长率2.16%</v>
      </c>
      <c r="C71" s="603">
        <v>100</v>
      </c>
      <c r="D71" s="595">
        <f>C71-$C$72</f>
        <v>99</v>
      </c>
      <c r="E71" s="595">
        <f t="shared" ref="E71:O71" si="20">D71-$C$72</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75" thickBot="1">
      <c r="A72" s="515" t="s">
        <v>2577</v>
      </c>
      <c r="B72" s="516"/>
      <c r="C72" s="517">
        <v>1</v>
      </c>
      <c r="D72" s="518"/>
      <c r="E72" s="518"/>
      <c r="F72" s="518"/>
      <c r="G72" s="518"/>
      <c r="H72" s="518"/>
      <c r="I72" s="518"/>
      <c r="J72" s="518"/>
      <c r="K72" s="518"/>
      <c r="L72" s="518"/>
      <c r="M72" s="519"/>
      <c r="N72" s="518"/>
      <c r="O72" s="1158"/>
      <c r="P72" s="504"/>
      <c r="Q72" s="504"/>
    </row>
    <row r="73" spans="1:17" s="117" customFormat="1" ht="15">
      <c r="A73" s="521" t="s">
        <v>2542</v>
      </c>
      <c r="B73" s="510"/>
      <c r="C73" s="522" t="s">
        <v>2644</v>
      </c>
      <c r="D73" s="523"/>
      <c r="E73" s="523"/>
      <c r="F73" s="523"/>
      <c r="G73" s="523"/>
      <c r="H73" s="523"/>
      <c r="I73" s="523"/>
      <c r="J73" s="523"/>
      <c r="K73" s="523"/>
      <c r="L73" s="524"/>
      <c r="M73" s="525"/>
      <c r="N73" s="1147"/>
      <c r="O73" s="1147"/>
      <c r="P73" s="526"/>
      <c r="Q73" s="504"/>
    </row>
    <row r="74" spans="1:17" s="117" customFormat="1" ht="15.75" thickBot="1">
      <c r="A74" s="521"/>
      <c r="B74" s="510"/>
      <c r="C74" s="638">
        <v>100</v>
      </c>
      <c r="D74" s="512"/>
      <c r="E74" s="512"/>
      <c r="F74" s="512"/>
      <c r="G74" s="512"/>
      <c r="H74" s="512"/>
      <c r="I74" s="512"/>
      <c r="J74" s="512"/>
      <c r="K74" s="512"/>
      <c r="L74" s="512"/>
      <c r="M74" s="514"/>
      <c r="N74" s="1147"/>
      <c r="O74" s="1147"/>
      <c r="P74" s="504"/>
      <c r="Q74" s="504"/>
    </row>
    <row r="75" spans="1:17" ht="42.75">
      <c r="A75" s="527" t="s">
        <v>2580</v>
      </c>
      <c r="B75" s="528" t="s">
        <v>2546</v>
      </c>
      <c r="C75" s="2985" t="s">
        <v>3607</v>
      </c>
      <c r="D75" s="530" t="str">
        <f>住宅土地案例!H4</f>
        <v>二类居住用地</v>
      </c>
      <c r="E75" s="530" t="str">
        <f>住宅土地案例!H13</f>
        <v>二类居住用地、商业用地、商务用地</v>
      </c>
      <c r="F75" s="530"/>
      <c r="G75" s="530"/>
      <c r="H75" s="530"/>
      <c r="I75" s="530"/>
      <c r="J75" s="530"/>
      <c r="K75" s="531"/>
      <c r="L75" s="532"/>
      <c r="M75" s="533"/>
      <c r="N75" s="1148"/>
      <c r="O75" s="1148"/>
      <c r="P75" s="45"/>
      <c r="Q75" s="504"/>
    </row>
    <row r="76" spans="1:17" ht="15.75" thickBot="1">
      <c r="A76" s="534"/>
      <c r="B76" s="535"/>
      <c r="C76" s="536">
        <v>100</v>
      </c>
      <c r="D76" s="536">
        <v>100</v>
      </c>
      <c r="E76" s="536">
        <v>100</v>
      </c>
      <c r="F76" s="536"/>
      <c r="G76" s="536"/>
      <c r="H76" s="536"/>
      <c r="I76" s="536"/>
      <c r="J76" s="536"/>
      <c r="K76" s="536"/>
      <c r="L76" s="536"/>
      <c r="M76" s="537"/>
      <c r="N76" s="1149"/>
      <c r="O76" s="1149"/>
      <c r="P76" s="45"/>
      <c r="Q76" s="504"/>
    </row>
    <row r="77" spans="1:17" ht="27.75" thickTop="1">
      <c r="A77" s="534"/>
      <c r="B77" s="538" t="s">
        <v>2549</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2550</v>
      </c>
      <c r="C79" s="547" t="str">
        <f>C80&amp;"（含）"&amp;"-"&amp;D80</f>
        <v>0（含）-3</v>
      </c>
      <c r="D79" s="547" t="str">
        <f t="shared" ref="D79:L79" si="21">D80&amp;"（含）"&amp;"-"&amp;E80</f>
        <v>3（含）-6</v>
      </c>
      <c r="E79" s="547" t="str">
        <f t="shared" si="21"/>
        <v>6（含）-9</v>
      </c>
      <c r="F79" s="547" t="str">
        <f t="shared" si="21"/>
        <v>9（含）-12</v>
      </c>
      <c r="G79" s="547" t="str">
        <f t="shared" si="21"/>
        <v>12（含）-15</v>
      </c>
      <c r="H79" s="547" t="str">
        <f t="shared" si="21"/>
        <v>15（含）-18</v>
      </c>
      <c r="I79" s="547" t="str">
        <f t="shared" si="21"/>
        <v>18（含）-21</v>
      </c>
      <c r="J79" s="547" t="str">
        <f t="shared" si="21"/>
        <v>21（含）-</v>
      </c>
      <c r="K79" s="547" t="str">
        <f t="shared" si="21"/>
        <v>（含）-</v>
      </c>
      <c r="L79" s="547" t="str">
        <f t="shared" si="21"/>
        <v>（含）-</v>
      </c>
      <c r="M79" s="448" t="str">
        <f>M80&amp;"（含）"&amp;"-"&amp;P80</f>
        <v>（含）-</v>
      </c>
      <c r="N79" s="1149"/>
      <c r="O79" s="1149"/>
      <c r="P79" s="45"/>
      <c r="Q79" s="504"/>
    </row>
    <row r="80" spans="1:17" ht="15">
      <c r="A80" s="534"/>
      <c r="B80" s="548"/>
      <c r="C80" s="549">
        <v>0</v>
      </c>
      <c r="D80" s="549">
        <v>3</v>
      </c>
      <c r="E80" s="549">
        <v>6</v>
      </c>
      <c r="F80" s="549">
        <v>9</v>
      </c>
      <c r="G80" s="549">
        <v>12</v>
      </c>
      <c r="H80" s="549">
        <v>15</v>
      </c>
      <c r="I80" s="549">
        <v>18</v>
      </c>
      <c r="J80" s="549">
        <v>21</v>
      </c>
      <c r="K80" s="550"/>
      <c r="L80" s="551"/>
      <c r="M80" s="552"/>
      <c r="N80" s="1148"/>
      <c r="O80" s="1148"/>
      <c r="P80" s="45"/>
      <c r="Q80" s="504"/>
    </row>
    <row r="81" spans="1:17" ht="15.75" thickBot="1">
      <c r="A81" s="534"/>
      <c r="B81" s="535"/>
      <c r="C81" s="544">
        <v>100</v>
      </c>
      <c r="D81" s="544">
        <f t="shared" ref="D81:M81" si="22">IF($B$46="单位面积地价",C81+$K11,C81-$K11)</f>
        <v>97</v>
      </c>
      <c r="E81" s="544">
        <f t="shared" si="22"/>
        <v>94</v>
      </c>
      <c r="F81" s="544">
        <f t="shared" si="22"/>
        <v>91</v>
      </c>
      <c r="G81" s="544">
        <f t="shared" si="22"/>
        <v>88</v>
      </c>
      <c r="H81" s="544">
        <f t="shared" si="22"/>
        <v>85</v>
      </c>
      <c r="I81" s="544">
        <f t="shared" si="22"/>
        <v>82</v>
      </c>
      <c r="J81" s="544">
        <f t="shared" si="22"/>
        <v>79</v>
      </c>
      <c r="K81" s="544">
        <f t="shared" si="22"/>
        <v>76</v>
      </c>
      <c r="L81" s="544">
        <f t="shared" si="22"/>
        <v>73</v>
      </c>
      <c r="M81" s="544">
        <f t="shared" si="22"/>
        <v>70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0</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0</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48"/>
      <c r="O88" s="1148"/>
      <c r="P88" s="577"/>
      <c r="Q88" s="504"/>
    </row>
    <row r="89" spans="1:17" ht="15.75" thickBot="1">
      <c r="A89" s="534"/>
      <c r="B89" s="543"/>
      <c r="C89" s="544">
        <v>100</v>
      </c>
      <c r="D89" s="544">
        <f>C89-$K15</f>
        <v>95</v>
      </c>
      <c r="E89" s="544">
        <f>D89-$K15</f>
        <v>90</v>
      </c>
      <c r="F89" s="544">
        <f>E89-$K15</f>
        <v>85</v>
      </c>
      <c r="G89" s="544">
        <f>F89-$K15</f>
        <v>80</v>
      </c>
      <c r="H89" s="544"/>
      <c r="I89" s="544"/>
      <c r="J89" s="544"/>
      <c r="K89" s="544"/>
      <c r="L89" s="544"/>
      <c r="M89" s="545"/>
      <c r="N89" s="1149"/>
      <c r="O89" s="1149"/>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48"/>
      <c r="O94" s="1148"/>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49"/>
      <c r="O95" s="1149"/>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7"/>
      <c r="M96" s="621"/>
      <c r="N96" s="1147"/>
      <c r="O96" s="1147"/>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49"/>
      <c r="O97" s="1149"/>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1"/>
      <c r="N98" s="1147"/>
      <c r="O98" s="1147"/>
      <c r="P98" s="45"/>
      <c r="Q98" s="504"/>
    </row>
    <row r="99" spans="1:17" s="117" customFormat="1" ht="15.75" thickBot="1">
      <c r="A99" s="579"/>
      <c r="B99" s="543"/>
      <c r="C99" s="544">
        <v>100</v>
      </c>
      <c r="D99" s="544">
        <f>C99-$K25</f>
        <v>95</v>
      </c>
      <c r="E99" s="544">
        <f>D99-$K25</f>
        <v>90</v>
      </c>
      <c r="F99" s="544">
        <f>E99-$K25</f>
        <v>85</v>
      </c>
      <c r="G99" s="544">
        <f>F99-$K25</f>
        <v>80</v>
      </c>
      <c r="H99" s="544"/>
      <c r="I99" s="544"/>
      <c r="J99" s="544"/>
      <c r="K99" s="544"/>
      <c r="L99" s="544"/>
      <c r="M99" s="545"/>
      <c r="N99" s="1149"/>
      <c r="O99" s="1149"/>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0"/>
      <c r="O100" s="1150"/>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0"/>
      <c r="O101" s="1150"/>
      <c r="P101" s="558"/>
      <c r="Q101" s="559"/>
    </row>
    <row r="102" spans="1:17" s="471" customFormat="1" ht="15.75" thickTop="1">
      <c r="A102" s="553"/>
      <c r="B102" s="546" t="s">
        <v>2647</v>
      </c>
      <c r="C102" s="659" t="s">
        <v>2667</v>
      </c>
      <c r="D102" s="659" t="s">
        <v>2668</v>
      </c>
      <c r="E102" s="659" t="s">
        <v>2669</v>
      </c>
      <c r="F102" s="659" t="s">
        <v>2670</v>
      </c>
      <c r="G102" s="659" t="s">
        <v>2671</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49"/>
      <c r="O105" s="1149"/>
      <c r="P105" s="45"/>
      <c r="Q105" s="504"/>
    </row>
    <row r="106" spans="1:17" ht="27.75" thickTop="1">
      <c r="A106" s="534"/>
      <c r="B106" s="538" t="s">
        <v>2683</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49"/>
      <c r="O107" s="1149"/>
      <c r="P107" s="45"/>
      <c r="Q107" s="504"/>
    </row>
    <row r="108" spans="1:17" ht="15.75" thickTop="1">
      <c r="A108" s="534"/>
      <c r="B108" s="538" t="s">
        <v>2742</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49"/>
      <c r="O109" s="1149"/>
      <c r="P109" s="45"/>
      <c r="Q109" s="504"/>
    </row>
    <row r="110" spans="1:17" ht="15.75" thickTop="1">
      <c r="A110" s="534"/>
      <c r="B110" s="546">
        <f>B35</f>
        <v>0</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4"/>
      <c r="B112" s="538">
        <f>B36</f>
        <v>0</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0</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6"/>
      <c r="E115" s="676"/>
      <c r="F115" s="676"/>
      <c r="G115" s="676"/>
      <c r="H115" s="676"/>
      <c r="I115" s="676"/>
      <c r="J115" s="676"/>
      <c r="K115" s="676"/>
      <c r="L115" s="676"/>
      <c r="M115" s="698"/>
      <c r="N115" s="1149"/>
      <c r="O115" s="1149"/>
      <c r="P115" s="558"/>
      <c r="Q115" s="559"/>
    </row>
    <row r="116" spans="1:17">
      <c r="A116" s="527" t="s">
        <v>2555</v>
      </c>
      <c r="B116" s="528" t="s">
        <v>2783</v>
      </c>
      <c r="C116" s="529" t="str">
        <f>C117&amp;"(含)"&amp;"-"&amp;D117</f>
        <v>0(含)-30000</v>
      </c>
      <c r="D116" s="529" t="str">
        <f t="shared" ref="D116:M116" si="26">D117&amp;"(含)"&amp;"-"&amp;E117</f>
        <v>30000(含)-</v>
      </c>
      <c r="E116" s="529" t="str">
        <f t="shared" si="26"/>
        <v>(含)-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48"/>
      <c r="O116" s="1148"/>
      <c r="P116" s="45"/>
      <c r="Q116" s="504"/>
    </row>
    <row r="117" spans="1:17" ht="15">
      <c r="A117" s="534"/>
      <c r="B117" s="546"/>
      <c r="C117" s="595">
        <v>0</v>
      </c>
      <c r="D117" s="595">
        <v>30000</v>
      </c>
      <c r="E117" s="595"/>
      <c r="F117" s="595"/>
      <c r="G117" s="595"/>
      <c r="H117" s="595"/>
      <c r="I117" s="595"/>
      <c r="J117" s="596"/>
      <c r="K117" s="596"/>
      <c r="L117" s="597"/>
      <c r="M117" s="598"/>
      <c r="N117" s="1148"/>
      <c r="O117" s="1148"/>
      <c r="P117" s="45"/>
      <c r="Q117" s="504"/>
    </row>
    <row r="118" spans="1:17" ht="15.75" thickBot="1">
      <c r="A118" s="534"/>
      <c r="B118" s="543"/>
      <c r="C118" s="570">
        <v>100</v>
      </c>
      <c r="D118" s="591"/>
      <c r="E118" s="591"/>
      <c r="F118" s="591"/>
      <c r="G118" s="591"/>
      <c r="H118" s="591"/>
      <c r="I118" s="591"/>
      <c r="J118" s="591"/>
      <c r="K118" s="591"/>
      <c r="L118" s="591"/>
      <c r="M118" s="592"/>
      <c r="N118" s="1149"/>
      <c r="O118" s="1149"/>
      <c r="P118" s="45"/>
      <c r="Q118" s="504"/>
    </row>
    <row r="119" spans="1:17" ht="15" thickTop="1">
      <c r="A119" s="599"/>
      <c r="B119" s="538" t="s">
        <v>2784</v>
      </c>
      <c r="C119" s="3006" t="s">
        <v>4073</v>
      </c>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49"/>
      <c r="O120" s="1149"/>
      <c r="P120" s="45"/>
      <c r="Q120" s="504"/>
    </row>
    <row r="121" spans="1:17" ht="15" thickTop="1">
      <c r="A121" s="599"/>
      <c r="B121" s="538" t="s">
        <v>2785</v>
      </c>
      <c r="C121" s="3005" t="s">
        <v>4075</v>
      </c>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49"/>
      <c r="O122" s="1149"/>
      <c r="P122" s="45"/>
      <c r="Q122" s="504"/>
    </row>
    <row r="123" spans="1:17" s="471" customFormat="1" ht="15" thickTop="1">
      <c r="A123" s="593"/>
      <c r="B123" s="538" t="s">
        <v>2786</v>
      </c>
      <c r="C123" s="3005" t="s">
        <v>4081</v>
      </c>
      <c r="D123" s="3005" t="s">
        <v>4077</v>
      </c>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98</v>
      </c>
      <c r="E124" s="544">
        <f t="shared" ref="E124:M124" si="29">D124-$K41</f>
        <v>96</v>
      </c>
      <c r="F124" s="544">
        <f t="shared" si="29"/>
        <v>94</v>
      </c>
      <c r="G124" s="544">
        <f t="shared" si="29"/>
        <v>92</v>
      </c>
      <c r="H124" s="544">
        <f t="shared" si="29"/>
        <v>90</v>
      </c>
      <c r="I124" s="544">
        <f t="shared" si="29"/>
        <v>88</v>
      </c>
      <c r="J124" s="544">
        <f t="shared" si="29"/>
        <v>86</v>
      </c>
      <c r="K124" s="544">
        <f t="shared" si="29"/>
        <v>84</v>
      </c>
      <c r="L124" s="544">
        <f t="shared" si="29"/>
        <v>82</v>
      </c>
      <c r="M124" s="545">
        <f t="shared" si="29"/>
        <v>80</v>
      </c>
      <c r="N124" s="1150"/>
      <c r="O124" s="1150"/>
      <c r="P124" s="558"/>
      <c r="Q124" s="559"/>
    </row>
    <row r="125" spans="1:17" ht="15" thickTop="1">
      <c r="A125" s="599"/>
      <c r="B125" s="538" t="s">
        <v>2787</v>
      </c>
      <c r="C125" s="3005" t="s">
        <v>4078</v>
      </c>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49"/>
      <c r="O126" s="1149"/>
      <c r="P126" s="45"/>
      <c r="Q126" s="504"/>
    </row>
    <row r="127" spans="1:17" ht="15" thickTop="1">
      <c r="A127" s="599"/>
      <c r="B127" s="538">
        <f>B43</f>
        <v>0</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0</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0</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699"/>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4" priority="14" stopIfTrue="1" operator="containsText" text="超过">
      <formula>NOT(ISERROR(SEARCH("超过",F51)))</formula>
    </cfRule>
  </conditionalFormatting>
  <conditionalFormatting sqref="J53">
    <cfRule type="containsText" dxfId="183" priority="13" stopIfTrue="1" operator="containsText" text="超过">
      <formula>NOT(ISERROR(SEARCH("超过",J53)))</formula>
    </cfRule>
  </conditionalFormatting>
  <conditionalFormatting sqref="H53">
    <cfRule type="containsText" dxfId="182" priority="12" stopIfTrue="1" operator="containsText" text="超过">
      <formula>NOT(ISERROR(SEARCH("超过",H53)))</formula>
    </cfRule>
  </conditionalFormatting>
  <conditionalFormatting sqref="F53">
    <cfRule type="containsText" dxfId="181" priority="11" stopIfTrue="1" operator="containsText" text="超过">
      <formula>NOT(ISERROR(SEARCH("超过",F53)))</formula>
    </cfRule>
  </conditionalFormatting>
  <conditionalFormatting sqref="F52 H52 J52">
    <cfRule type="containsText" dxfId="180" priority="10" stopIfTrue="1" operator="containsText" text="超过">
      <formula>NOT(ISERROR(SEARCH("超过",F52)))</formula>
    </cfRule>
  </conditionalFormatting>
  <conditionalFormatting sqref="E51">
    <cfRule type="expression" dxfId="179" priority="9" stopIfTrue="1">
      <formula>$F$51="超过30%"</formula>
    </cfRule>
  </conditionalFormatting>
  <conditionalFormatting sqref="G53">
    <cfRule type="expression" dxfId="178" priority="8" stopIfTrue="1">
      <formula>$H$53="超过30%"</formula>
    </cfRule>
  </conditionalFormatting>
  <conditionalFormatting sqref="E52">
    <cfRule type="expression" dxfId="177" priority="7" stopIfTrue="1">
      <formula>$F$52="超过20%"</formula>
    </cfRule>
  </conditionalFormatting>
  <conditionalFormatting sqref="E53">
    <cfRule type="expression" dxfId="176" priority="6" stopIfTrue="1">
      <formula>$F$53="超过30%"</formula>
    </cfRule>
  </conditionalFormatting>
  <conditionalFormatting sqref="G51">
    <cfRule type="expression" dxfId="175" priority="5" stopIfTrue="1">
      <formula>$H$53+$H$51="超过30%"</formula>
    </cfRule>
  </conditionalFormatting>
  <conditionalFormatting sqref="G52">
    <cfRule type="expression" dxfId="174" priority="4" stopIfTrue="1">
      <formula>$H$52="超过20%"</formula>
    </cfRule>
  </conditionalFormatting>
  <conditionalFormatting sqref="I51">
    <cfRule type="expression" dxfId="173" priority="3" stopIfTrue="1">
      <formula>$J$51="超过30%"</formula>
    </cfRule>
  </conditionalFormatting>
  <conditionalFormatting sqref="I52">
    <cfRule type="expression" dxfId="172" priority="2" stopIfTrue="1">
      <formula>$J$52="超过20%"</formula>
    </cfRule>
  </conditionalFormatting>
  <conditionalFormatting sqref="I53">
    <cfRule type="expression" dxfId="17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3"/>
  <sheetViews>
    <sheetView topLeftCell="H1" workbookViewId="0">
      <selection activeCell="N20" sqref="N20"/>
    </sheetView>
  </sheetViews>
  <sheetFormatPr defaultColWidth="9" defaultRowHeight="13.5"/>
  <cols>
    <col min="1" max="1" width="19" style="2980" hidden="1" customWidth="1"/>
    <col min="2" max="4" width="0" style="2980" hidden="1" customWidth="1"/>
    <col min="5" max="5" width="57.25" style="2980" customWidth="1"/>
    <col min="6" max="6" width="0" style="2980" hidden="1" customWidth="1"/>
    <col min="7" max="7" width="9" style="2980"/>
    <col min="8" max="8" width="32.625" style="2980" customWidth="1"/>
    <col min="9" max="9" width="14.75" style="2980" customWidth="1"/>
    <col min="10" max="10" width="14.75" style="2980" hidden="1" customWidth="1"/>
    <col min="11" max="11" width="16.5" style="2980" customWidth="1"/>
    <col min="12" max="12" width="11.75" style="2980" customWidth="1"/>
    <col min="13" max="13" width="0" style="2980" hidden="1" customWidth="1"/>
    <col min="14" max="14" width="25.75" style="2980" customWidth="1"/>
    <col min="15" max="17" width="16.5" style="2980" customWidth="1"/>
    <col min="18" max="16384" width="9" style="2980"/>
  </cols>
  <sheetData>
    <row r="1" spans="1:20" ht="23.25" customHeight="1">
      <c r="A1" s="2981" t="s">
        <v>3164</v>
      </c>
      <c r="B1" s="2981" t="s">
        <v>3165</v>
      </c>
      <c r="C1" s="2981" t="s">
        <v>3166</v>
      </c>
      <c r="D1" s="2981" t="s">
        <v>3167</v>
      </c>
      <c r="E1" s="2981" t="s">
        <v>3168</v>
      </c>
      <c r="F1" s="2981" t="s">
        <v>3169</v>
      </c>
      <c r="G1" s="2981" t="s">
        <v>3170</v>
      </c>
      <c r="H1" s="2981" t="s">
        <v>3171</v>
      </c>
      <c r="I1" s="2981" t="s">
        <v>3172</v>
      </c>
      <c r="J1" s="2981" t="s">
        <v>3173</v>
      </c>
      <c r="K1" s="2981" t="s">
        <v>3174</v>
      </c>
      <c r="L1" s="2981" t="s">
        <v>3175</v>
      </c>
      <c r="M1" s="2981" t="s">
        <v>3176</v>
      </c>
      <c r="N1" s="2981" t="s">
        <v>3177</v>
      </c>
      <c r="O1" s="2981" t="s">
        <v>3178</v>
      </c>
      <c r="P1" s="2981" t="s">
        <v>3179</v>
      </c>
      <c r="Q1" s="2981" t="s">
        <v>3180</v>
      </c>
      <c r="R1" s="2981" t="s">
        <v>3181</v>
      </c>
      <c r="S1" s="2981" t="s">
        <v>3182</v>
      </c>
      <c r="T1" s="2981" t="s">
        <v>3183</v>
      </c>
    </row>
    <row r="2" spans="1:20" ht="19.5" customHeight="1">
      <c r="A2" s="2981" t="s">
        <v>3184</v>
      </c>
      <c r="B2" s="2981" t="s">
        <v>3185</v>
      </c>
      <c r="C2" s="2981" t="s">
        <v>3186</v>
      </c>
      <c r="D2" s="2981" t="s">
        <v>1327</v>
      </c>
      <c r="E2" s="2981" t="s">
        <v>3184</v>
      </c>
      <c r="F2" s="2981" t="s">
        <v>3187</v>
      </c>
      <c r="G2" s="2981">
        <v>19139</v>
      </c>
      <c r="H2" s="2981" t="s">
        <v>3188</v>
      </c>
      <c r="I2" s="2981">
        <v>69489.2</v>
      </c>
      <c r="J2" s="2981">
        <v>208467.6</v>
      </c>
      <c r="K2" s="2981" t="s">
        <v>3189</v>
      </c>
      <c r="L2" s="2981" t="s">
        <v>3190</v>
      </c>
      <c r="M2" s="2981" t="s">
        <v>3191</v>
      </c>
      <c r="N2" s="2981" t="s">
        <v>3192</v>
      </c>
      <c r="O2" s="2981">
        <v>148954</v>
      </c>
      <c r="P2" s="2981">
        <v>1429.04</v>
      </c>
      <c r="Q2" s="2981">
        <v>7145.18</v>
      </c>
      <c r="R2" s="2981">
        <v>0</v>
      </c>
      <c r="S2" s="2981" t="s">
        <v>3193</v>
      </c>
      <c r="T2" s="2981" t="s">
        <v>3194</v>
      </c>
    </row>
    <row r="3" spans="1:20" ht="19.5" customHeight="1">
      <c r="A3" s="2981" t="s">
        <v>3195</v>
      </c>
      <c r="B3" s="2981" t="s">
        <v>3185</v>
      </c>
      <c r="C3" s="2981" t="s">
        <v>3196</v>
      </c>
      <c r="D3" s="2981" t="s">
        <v>1327</v>
      </c>
      <c r="E3" s="2981" t="s">
        <v>3604</v>
      </c>
      <c r="F3" s="2981" t="s">
        <v>3197</v>
      </c>
      <c r="G3" s="2981">
        <v>19045</v>
      </c>
      <c r="H3" s="2981" t="s">
        <v>3198</v>
      </c>
      <c r="I3" s="2981">
        <v>48667</v>
      </c>
      <c r="J3" s="2981">
        <v>121668</v>
      </c>
      <c r="K3" s="2981" t="s">
        <v>3199</v>
      </c>
      <c r="L3" s="2981" t="s">
        <v>3200</v>
      </c>
      <c r="M3" s="2981" t="s">
        <v>3201</v>
      </c>
      <c r="N3" s="2981" t="s">
        <v>3202</v>
      </c>
      <c r="O3" s="2981">
        <v>91000</v>
      </c>
      <c r="P3" s="2981">
        <v>1246.57</v>
      </c>
      <c r="Q3" s="2981">
        <v>7479.36</v>
      </c>
      <c r="R3" s="2981">
        <v>53.21</v>
      </c>
      <c r="S3" s="2981" t="s">
        <v>3193</v>
      </c>
      <c r="T3" s="2981" t="s">
        <v>3203</v>
      </c>
    </row>
    <row r="4" spans="1:20" s="2984" customFormat="1" ht="19.5" customHeight="1">
      <c r="A4" s="2983" t="s">
        <v>3204</v>
      </c>
      <c r="B4" s="2983" t="s">
        <v>3185</v>
      </c>
      <c r="C4" s="2983" t="s">
        <v>3196</v>
      </c>
      <c r="D4" s="2983" t="s">
        <v>1327</v>
      </c>
      <c r="E4" s="2983" t="s">
        <v>3204</v>
      </c>
      <c r="F4" s="2983" t="s">
        <v>3197</v>
      </c>
      <c r="G4" s="2983">
        <v>18098</v>
      </c>
      <c r="H4" s="2983" t="s">
        <v>3198</v>
      </c>
      <c r="I4" s="2983">
        <v>10956.1</v>
      </c>
      <c r="J4" s="2983">
        <v>32868.300000000003</v>
      </c>
      <c r="K4" s="2983" t="s">
        <v>3205</v>
      </c>
      <c r="L4" s="2983" t="s">
        <v>3206</v>
      </c>
      <c r="M4" s="2983" t="s">
        <v>3207</v>
      </c>
      <c r="N4" s="2983" t="s">
        <v>3208</v>
      </c>
      <c r="O4" s="2983">
        <v>29000</v>
      </c>
      <c r="P4" s="2983">
        <v>1764.62</v>
      </c>
      <c r="Q4" s="2983">
        <v>8823.09</v>
      </c>
      <c r="R4" s="2983">
        <v>24.47</v>
      </c>
      <c r="S4" s="2983" t="s">
        <v>3209</v>
      </c>
      <c r="T4" s="2983" t="s">
        <v>3194</v>
      </c>
    </row>
    <row r="5" spans="1:20" ht="19.5" customHeight="1">
      <c r="A5" s="2981" t="s">
        <v>3210</v>
      </c>
      <c r="B5" s="2981" t="s">
        <v>3185</v>
      </c>
      <c r="C5" s="2981" t="s">
        <v>3186</v>
      </c>
      <c r="D5" s="2981" t="s">
        <v>1327</v>
      </c>
      <c r="E5" s="2981" t="s">
        <v>3210</v>
      </c>
      <c r="F5" s="2981" t="s">
        <v>3187</v>
      </c>
      <c r="G5" s="2981">
        <v>18033</v>
      </c>
      <c r="H5" s="2981" t="s">
        <v>3211</v>
      </c>
      <c r="I5" s="2981">
        <v>189552.8</v>
      </c>
      <c r="J5" s="2981">
        <v>425138.5</v>
      </c>
      <c r="K5" s="2981" t="s">
        <v>3212</v>
      </c>
      <c r="L5" s="2981" t="s">
        <v>3213</v>
      </c>
      <c r="M5" s="2981" t="s">
        <v>3214</v>
      </c>
      <c r="N5" s="2981" t="s">
        <v>3215</v>
      </c>
      <c r="O5" s="2981">
        <v>137625</v>
      </c>
      <c r="P5" s="2981">
        <v>484.03</v>
      </c>
      <c r="Q5" s="2981">
        <v>3237.17</v>
      </c>
      <c r="R5" s="2981">
        <v>0</v>
      </c>
      <c r="S5" s="2981" t="s">
        <v>3216</v>
      </c>
      <c r="T5" s="2981" t="s">
        <v>3203</v>
      </c>
    </row>
    <row r="6" spans="1:20" ht="19.5" customHeight="1">
      <c r="A6" s="2981" t="s">
        <v>3217</v>
      </c>
      <c r="B6" s="2981" t="s">
        <v>3185</v>
      </c>
      <c r="C6" s="2981" t="s">
        <v>3196</v>
      </c>
      <c r="D6" s="2981" t="s">
        <v>1327</v>
      </c>
      <c r="E6" s="2981" t="s">
        <v>3217</v>
      </c>
      <c r="F6" s="2981" t="s">
        <v>3197</v>
      </c>
      <c r="G6" s="2981">
        <v>18010</v>
      </c>
      <c r="H6" s="2981" t="s">
        <v>3198</v>
      </c>
      <c r="I6" s="2981">
        <v>4473.8</v>
      </c>
      <c r="J6" s="2981">
        <v>15658.3</v>
      </c>
      <c r="K6" s="2981" t="s">
        <v>3218</v>
      </c>
      <c r="L6" s="2981" t="s">
        <v>3219</v>
      </c>
      <c r="M6" s="2981" t="s">
        <v>3220</v>
      </c>
      <c r="N6" s="2981" t="s">
        <v>3221</v>
      </c>
      <c r="O6" s="2981">
        <v>13100</v>
      </c>
      <c r="P6" s="2981">
        <v>1952.11</v>
      </c>
      <c r="Q6" s="2981">
        <v>8366.17</v>
      </c>
      <c r="R6" s="2981">
        <v>32.85</v>
      </c>
      <c r="S6" s="2981" t="s">
        <v>3216</v>
      </c>
      <c r="T6" s="2981" t="s">
        <v>3194</v>
      </c>
    </row>
    <row r="7" spans="1:20" s="2984" customFormat="1" ht="19.5" customHeight="1">
      <c r="A7" s="2983" t="s">
        <v>3222</v>
      </c>
      <c r="B7" s="2983" t="s">
        <v>3185</v>
      </c>
      <c r="C7" s="2983" t="s">
        <v>3196</v>
      </c>
      <c r="D7" s="2983" t="s">
        <v>1327</v>
      </c>
      <c r="E7" s="2983" t="s">
        <v>3222</v>
      </c>
      <c r="F7" s="2983" t="s">
        <v>3197</v>
      </c>
      <c r="G7" s="2983">
        <v>17105</v>
      </c>
      <c r="H7" s="2983" t="s">
        <v>3198</v>
      </c>
      <c r="I7" s="2983">
        <v>23976</v>
      </c>
      <c r="J7" s="2983">
        <v>131868</v>
      </c>
      <c r="K7" s="2983" t="s">
        <v>3223</v>
      </c>
      <c r="L7" s="2983" t="s">
        <v>3224</v>
      </c>
      <c r="M7" s="2983" t="s">
        <v>3225</v>
      </c>
      <c r="N7" s="2983" t="s">
        <v>3226</v>
      </c>
      <c r="O7" s="2983">
        <v>119500</v>
      </c>
      <c r="P7" s="2983">
        <v>3322.77</v>
      </c>
      <c r="Q7" s="2983">
        <v>9062.09</v>
      </c>
      <c r="R7" s="2983">
        <v>50.79</v>
      </c>
      <c r="S7" s="2983" t="s">
        <v>3216</v>
      </c>
      <c r="T7" s="2983" t="s">
        <v>3194</v>
      </c>
    </row>
    <row r="8" spans="1:20" ht="19.5" customHeight="1">
      <c r="A8" s="2981" t="s">
        <v>3227</v>
      </c>
      <c r="B8" s="2981" t="s">
        <v>3185</v>
      </c>
      <c r="C8" s="2981" t="s">
        <v>3186</v>
      </c>
      <c r="D8" s="2981" t="s">
        <v>1327</v>
      </c>
      <c r="E8" s="2981" t="s">
        <v>3227</v>
      </c>
      <c r="F8" s="2981" t="s">
        <v>3197</v>
      </c>
      <c r="G8" s="2981">
        <v>16138</v>
      </c>
      <c r="H8" s="2981" t="s">
        <v>3188</v>
      </c>
      <c r="I8" s="2981">
        <v>27562</v>
      </c>
      <c r="J8" s="2981">
        <v>82686</v>
      </c>
      <c r="K8" s="2981" t="s">
        <v>3228</v>
      </c>
      <c r="L8" s="2981" t="s">
        <v>3229</v>
      </c>
      <c r="M8" s="2981" t="s">
        <v>3230</v>
      </c>
      <c r="N8" s="2981" t="s">
        <v>3231</v>
      </c>
      <c r="O8" s="2981">
        <v>57600</v>
      </c>
      <c r="P8" s="2981">
        <v>1393.22</v>
      </c>
      <c r="Q8" s="2981">
        <v>6966.1</v>
      </c>
      <c r="R8" s="2981">
        <v>79.989999999999995</v>
      </c>
      <c r="S8" s="2981" t="s">
        <v>3232</v>
      </c>
      <c r="T8" s="2981" t="s">
        <v>3194</v>
      </c>
    </row>
    <row r="9" spans="1:20" ht="19.5" customHeight="1">
      <c r="A9" s="2981" t="s">
        <v>3233</v>
      </c>
      <c r="B9" s="2981" t="s">
        <v>3185</v>
      </c>
      <c r="C9" s="2981" t="s">
        <v>3186</v>
      </c>
      <c r="D9" s="2981" t="s">
        <v>1327</v>
      </c>
      <c r="E9" s="2981" t="s">
        <v>3233</v>
      </c>
      <c r="F9" s="2981" t="s">
        <v>3197</v>
      </c>
      <c r="G9" s="2981">
        <v>16111</v>
      </c>
      <c r="H9" s="2981" t="s">
        <v>3234</v>
      </c>
      <c r="I9" s="2981">
        <v>8156</v>
      </c>
      <c r="J9" s="2981">
        <v>28546</v>
      </c>
      <c r="K9" s="2981" t="s">
        <v>3235</v>
      </c>
      <c r="L9" s="2981" t="s">
        <v>3236</v>
      </c>
      <c r="M9" s="2981" t="s">
        <v>3237</v>
      </c>
      <c r="N9" s="2981" t="s">
        <v>3238</v>
      </c>
      <c r="O9" s="2981">
        <v>15015</v>
      </c>
      <c r="P9" s="2981">
        <v>1227.32</v>
      </c>
      <c r="Q9" s="2981">
        <v>5259.93</v>
      </c>
      <c r="R9" s="2981">
        <v>0</v>
      </c>
      <c r="S9" s="2981" t="s">
        <v>3232</v>
      </c>
      <c r="T9" s="2981" t="s">
        <v>3194</v>
      </c>
    </row>
    <row r="10" spans="1:20" s="2982" customFormat="1" ht="19.5" customHeight="1"/>
    <row r="11" spans="1:20" s="2982" customFormat="1" ht="19.5" customHeight="1"/>
    <row r="12" spans="1:20" ht="19.5" customHeight="1">
      <c r="A12" s="2981" t="s">
        <v>3239</v>
      </c>
      <c r="B12" s="2981" t="s">
        <v>3185</v>
      </c>
      <c r="C12" s="2981" t="s">
        <v>3196</v>
      </c>
      <c r="D12" s="2981" t="s">
        <v>1327</v>
      </c>
      <c r="E12" s="2981" t="s">
        <v>3239</v>
      </c>
      <c r="F12" s="2981" t="s">
        <v>3197</v>
      </c>
      <c r="G12" s="2981">
        <v>17124</v>
      </c>
      <c r="H12" s="2981" t="s">
        <v>3198</v>
      </c>
      <c r="I12" s="2981">
        <v>37137</v>
      </c>
      <c r="J12" s="2981">
        <v>167117</v>
      </c>
      <c r="K12" s="2981" t="s">
        <v>3240</v>
      </c>
      <c r="L12" s="2981" t="s">
        <v>3241</v>
      </c>
      <c r="M12" s="2981" t="s">
        <v>3242</v>
      </c>
      <c r="N12" s="2981" t="s">
        <v>3231</v>
      </c>
      <c r="O12" s="2981">
        <v>168000</v>
      </c>
      <c r="P12" s="2981">
        <v>3015.86</v>
      </c>
      <c r="Q12" s="2981">
        <v>10052.84</v>
      </c>
      <c r="R12" s="2981">
        <v>43.61</v>
      </c>
      <c r="S12" s="2981" t="s">
        <v>3216</v>
      </c>
      <c r="T12" s="2981" t="s">
        <v>3194</v>
      </c>
    </row>
    <row r="13" spans="1:20" s="2984" customFormat="1" ht="19.5" customHeight="1">
      <c r="A13" s="2983" t="s">
        <v>3243</v>
      </c>
      <c r="B13" s="2983" t="s">
        <v>3185</v>
      </c>
      <c r="C13" s="2983" t="s">
        <v>3186</v>
      </c>
      <c r="D13" s="2983" t="s">
        <v>1327</v>
      </c>
      <c r="E13" s="2983" t="s">
        <v>3243</v>
      </c>
      <c r="F13" s="2983" t="s">
        <v>3197</v>
      </c>
      <c r="G13" s="2983">
        <v>17121</v>
      </c>
      <c r="H13" s="2983" t="s">
        <v>3188</v>
      </c>
      <c r="I13" s="2983">
        <v>10337</v>
      </c>
      <c r="J13" s="2983">
        <v>46517</v>
      </c>
      <c r="K13" s="2983" t="s">
        <v>3244</v>
      </c>
      <c r="L13" s="2983" t="s">
        <v>3245</v>
      </c>
      <c r="M13" s="2983" t="s">
        <v>3246</v>
      </c>
      <c r="N13" s="2983" t="s">
        <v>3247</v>
      </c>
      <c r="O13" s="2983">
        <v>47000</v>
      </c>
      <c r="P13" s="2983">
        <v>3031.18</v>
      </c>
      <c r="Q13" s="2983">
        <v>10103.82</v>
      </c>
      <c r="R13" s="2983">
        <v>26.3</v>
      </c>
      <c r="S13" s="2983" t="s">
        <v>3216</v>
      </c>
      <c r="T13" s="2983" t="s">
        <v>3194</v>
      </c>
    </row>
    <row r="14" spans="1:20" ht="19.5" customHeight="1">
      <c r="A14" s="2981" t="s">
        <v>3248</v>
      </c>
      <c r="B14" s="2981" t="s">
        <v>3185</v>
      </c>
      <c r="C14" s="2981" t="s">
        <v>3196</v>
      </c>
      <c r="D14" s="2981" t="s">
        <v>1327</v>
      </c>
      <c r="E14" s="2981" t="s">
        <v>3248</v>
      </c>
      <c r="F14" s="2981" t="s">
        <v>3197</v>
      </c>
      <c r="G14" s="2981">
        <v>17081</v>
      </c>
      <c r="H14" s="2981" t="s">
        <v>3198</v>
      </c>
      <c r="I14" s="2981">
        <v>14447</v>
      </c>
      <c r="J14" s="2981">
        <v>60000</v>
      </c>
      <c r="K14" s="2981" t="s">
        <v>3249</v>
      </c>
      <c r="L14" s="2981" t="s">
        <v>3250</v>
      </c>
      <c r="M14" s="2981" t="s">
        <v>3251</v>
      </c>
      <c r="N14" s="2981" t="s">
        <v>3252</v>
      </c>
      <c r="O14" s="2981">
        <v>48400</v>
      </c>
      <c r="P14" s="2981">
        <v>2233.4499999999998</v>
      </c>
      <c r="Q14" s="2981">
        <v>8066.67</v>
      </c>
      <c r="R14" s="2981">
        <v>0.83</v>
      </c>
      <c r="S14" s="2981" t="s">
        <v>3216</v>
      </c>
      <c r="T14" s="2981" t="s">
        <v>3194</v>
      </c>
    </row>
    <row r="15" spans="1:20" s="2982" customFormat="1" ht="19.5" customHeight="1"/>
    <row r="16" spans="1:20" s="2982" customFormat="1" ht="19.5" customHeight="1"/>
    <row r="17" spans="1:20" ht="19.5" customHeight="1">
      <c r="A17" s="2981" t="s">
        <v>3253</v>
      </c>
      <c r="B17" s="2981" t="s">
        <v>3185</v>
      </c>
      <c r="C17" s="2981" t="s">
        <v>3186</v>
      </c>
      <c r="D17" s="2981" t="s">
        <v>1327</v>
      </c>
      <c r="E17" s="2981" t="s">
        <v>3253</v>
      </c>
      <c r="F17" s="2981" t="s">
        <v>3197</v>
      </c>
      <c r="G17" s="2981">
        <v>19129</v>
      </c>
      <c r="H17" s="2981" t="s">
        <v>3254</v>
      </c>
      <c r="I17" s="2981">
        <v>64511</v>
      </c>
      <c r="J17" s="2981">
        <v>133067</v>
      </c>
      <c r="K17" s="2981" t="s">
        <v>3255</v>
      </c>
      <c r="L17" s="2981" t="s">
        <v>3256</v>
      </c>
      <c r="M17" s="2981" t="s">
        <v>3257</v>
      </c>
      <c r="N17" s="2981" t="s">
        <v>3258</v>
      </c>
      <c r="O17" s="2981">
        <v>125000</v>
      </c>
      <c r="P17" s="2981">
        <v>1291.77</v>
      </c>
      <c r="Q17" s="2981">
        <v>9393.76</v>
      </c>
      <c r="R17" s="2981">
        <v>15.85</v>
      </c>
      <c r="S17" s="2981" t="s">
        <v>3193</v>
      </c>
      <c r="T17" s="2981" t="s">
        <v>3259</v>
      </c>
    </row>
    <row r="18" spans="1:20" ht="19.5" customHeight="1">
      <c r="A18" s="2981" t="s">
        <v>3260</v>
      </c>
      <c r="B18" s="2981" t="s">
        <v>3185</v>
      </c>
      <c r="C18" s="2981" t="s">
        <v>3196</v>
      </c>
      <c r="D18" s="2981" t="s">
        <v>1327</v>
      </c>
      <c r="E18" s="2981" t="s">
        <v>3260</v>
      </c>
      <c r="F18" s="2981" t="s">
        <v>3187</v>
      </c>
      <c r="G18" s="2981">
        <v>19128</v>
      </c>
      <c r="H18" s="2981" t="s">
        <v>3198</v>
      </c>
      <c r="I18" s="2981">
        <v>81406</v>
      </c>
      <c r="J18" s="2981">
        <v>122109</v>
      </c>
      <c r="K18" s="2981" t="s">
        <v>3240</v>
      </c>
      <c r="L18" s="2981" t="s">
        <v>3256</v>
      </c>
      <c r="M18" s="2981" t="s">
        <v>3257</v>
      </c>
      <c r="N18" s="2981" t="s">
        <v>3261</v>
      </c>
      <c r="O18" s="2981">
        <v>105747</v>
      </c>
      <c r="P18" s="2981">
        <v>866</v>
      </c>
      <c r="Q18" s="2981">
        <v>8660.0400000000009</v>
      </c>
      <c r="R18" s="2981">
        <v>0</v>
      </c>
      <c r="S18" s="2981" t="s">
        <v>3193</v>
      </c>
      <c r="T18" s="2981" t="s">
        <v>3259</v>
      </c>
    </row>
    <row r="19" spans="1:20" ht="19.5" customHeight="1">
      <c r="A19" s="2981" t="s">
        <v>3262</v>
      </c>
      <c r="B19" s="2981" t="s">
        <v>3185</v>
      </c>
      <c r="C19" s="2981" t="s">
        <v>3186</v>
      </c>
      <c r="D19" s="2981" t="s">
        <v>1327</v>
      </c>
      <c r="E19" s="2981" t="s">
        <v>3262</v>
      </c>
      <c r="F19" s="2981" t="s">
        <v>3187</v>
      </c>
      <c r="G19" s="2981">
        <v>19115</v>
      </c>
      <c r="H19" s="2981" t="s">
        <v>3254</v>
      </c>
      <c r="I19" s="2981">
        <v>70074</v>
      </c>
      <c r="J19" s="2981">
        <v>150062.5</v>
      </c>
      <c r="K19" s="2981" t="s">
        <v>3263</v>
      </c>
      <c r="L19" s="2981" t="s">
        <v>3264</v>
      </c>
      <c r="M19" s="2981" t="s">
        <v>3265</v>
      </c>
      <c r="N19" s="2981" t="s">
        <v>3266</v>
      </c>
      <c r="O19" s="2981">
        <v>73281</v>
      </c>
      <c r="P19" s="2981">
        <v>697.18</v>
      </c>
      <c r="Q19" s="2981">
        <v>4883.3599999999997</v>
      </c>
      <c r="R19" s="2981">
        <v>0</v>
      </c>
      <c r="S19" s="2981" t="s">
        <v>3193</v>
      </c>
      <c r="T19" s="2981" t="s">
        <v>3194</v>
      </c>
    </row>
    <row r="20" spans="1:20" ht="19.5" customHeight="1">
      <c r="A20" s="2981" t="s">
        <v>3267</v>
      </c>
      <c r="B20" s="2981" t="s">
        <v>3185</v>
      </c>
      <c r="C20" s="2981" t="s">
        <v>3196</v>
      </c>
      <c r="D20" s="2981" t="s">
        <v>1327</v>
      </c>
      <c r="E20" s="2981" t="s">
        <v>3267</v>
      </c>
      <c r="F20" s="2981" t="s">
        <v>3197</v>
      </c>
      <c r="G20" s="2981">
        <v>19112</v>
      </c>
      <c r="H20" s="2981" t="s">
        <v>3198</v>
      </c>
      <c r="I20" s="2981">
        <v>63186</v>
      </c>
      <c r="J20" s="2981">
        <v>85761</v>
      </c>
      <c r="K20" s="2981" t="s">
        <v>3268</v>
      </c>
      <c r="L20" s="2981" t="s">
        <v>3269</v>
      </c>
      <c r="M20" s="2981" t="s">
        <v>3270</v>
      </c>
      <c r="N20" s="2981" t="s">
        <v>3271</v>
      </c>
      <c r="O20" s="2981">
        <v>85500</v>
      </c>
      <c r="P20" s="2981">
        <v>902.1</v>
      </c>
      <c r="Q20" s="2981">
        <v>9969.56</v>
      </c>
      <c r="R20" s="2981">
        <v>10.77</v>
      </c>
      <c r="S20" s="2981" t="s">
        <v>3193</v>
      </c>
      <c r="T20" s="2981" t="s">
        <v>3194</v>
      </c>
    </row>
    <row r="21" spans="1:20" ht="19.5" customHeight="1">
      <c r="A21" s="2981" t="s">
        <v>3272</v>
      </c>
      <c r="B21" s="2981" t="s">
        <v>3185</v>
      </c>
      <c r="C21" s="2981" t="s">
        <v>3196</v>
      </c>
      <c r="D21" s="2981" t="s">
        <v>1327</v>
      </c>
      <c r="E21" s="2981" t="s">
        <v>3272</v>
      </c>
      <c r="F21" s="2981" t="s">
        <v>3197</v>
      </c>
      <c r="G21" s="2981">
        <v>19113</v>
      </c>
      <c r="H21" s="2981" t="s">
        <v>3198</v>
      </c>
      <c r="I21" s="2981">
        <v>73941</v>
      </c>
      <c r="J21" s="2981">
        <v>105860</v>
      </c>
      <c r="K21" s="2981" t="s">
        <v>3273</v>
      </c>
      <c r="L21" s="2981" t="s">
        <v>3269</v>
      </c>
      <c r="M21" s="2981" t="s">
        <v>3270</v>
      </c>
      <c r="N21" s="2981" t="s">
        <v>3271</v>
      </c>
      <c r="O21" s="2981">
        <v>110500</v>
      </c>
      <c r="P21" s="2981">
        <v>996.29</v>
      </c>
      <c r="Q21" s="2981">
        <v>10438.299999999999</v>
      </c>
      <c r="R21" s="2981">
        <v>15.98</v>
      </c>
      <c r="S21" s="2981" t="s">
        <v>3193</v>
      </c>
      <c r="T21" s="2981" t="s">
        <v>3194</v>
      </c>
    </row>
    <row r="22" spans="1:20" ht="19.5" customHeight="1">
      <c r="A22" s="2981" t="s">
        <v>3274</v>
      </c>
      <c r="B22" s="2981" t="s">
        <v>3185</v>
      </c>
      <c r="C22" s="2981" t="s">
        <v>3196</v>
      </c>
      <c r="D22" s="2981" t="s">
        <v>1327</v>
      </c>
      <c r="E22" s="2981" t="s">
        <v>3274</v>
      </c>
      <c r="F22" s="2981" t="s">
        <v>3197</v>
      </c>
      <c r="G22" s="2981">
        <v>19109</v>
      </c>
      <c r="H22" s="2981" t="s">
        <v>3198</v>
      </c>
      <c r="I22" s="2981">
        <v>20880</v>
      </c>
      <c r="J22" s="2981">
        <v>40253.4</v>
      </c>
      <c r="K22" s="2981" t="s">
        <v>3275</v>
      </c>
      <c r="L22" s="2981" t="s">
        <v>3276</v>
      </c>
      <c r="M22" s="2981" t="s">
        <v>3277</v>
      </c>
      <c r="N22" s="2981" t="s">
        <v>3278</v>
      </c>
      <c r="O22" s="2981">
        <v>53000</v>
      </c>
      <c r="P22" s="2981">
        <v>1692.21</v>
      </c>
      <c r="Q22" s="2981">
        <v>13166.59</v>
      </c>
      <c r="R22" s="2981">
        <v>35.81</v>
      </c>
      <c r="S22" s="2981" t="s">
        <v>3193</v>
      </c>
      <c r="T22" s="2981" t="s">
        <v>3194</v>
      </c>
    </row>
    <row r="23" spans="1:20" ht="19.5" customHeight="1">
      <c r="A23" s="2981" t="s">
        <v>3279</v>
      </c>
      <c r="B23" s="2981" t="s">
        <v>3185</v>
      </c>
      <c r="C23" s="2981" t="s">
        <v>3186</v>
      </c>
      <c r="D23" s="2981" t="s">
        <v>1327</v>
      </c>
      <c r="E23" s="2981" t="s">
        <v>3279</v>
      </c>
      <c r="F23" s="2981" t="s">
        <v>3187</v>
      </c>
      <c r="G23" s="2981">
        <v>19104</v>
      </c>
      <c r="H23" s="2981" t="s">
        <v>3188</v>
      </c>
      <c r="I23" s="2981">
        <v>87856</v>
      </c>
      <c r="J23" s="2981">
        <v>195837</v>
      </c>
      <c r="K23" s="2981" t="s">
        <v>3280</v>
      </c>
      <c r="L23" s="2981" t="s">
        <v>3281</v>
      </c>
      <c r="M23" s="2981" t="s">
        <v>3282</v>
      </c>
      <c r="N23" s="2981" t="s">
        <v>3283</v>
      </c>
      <c r="O23" s="2981">
        <v>54936</v>
      </c>
      <c r="P23" s="2981">
        <v>416.86</v>
      </c>
      <c r="Q23" s="2981">
        <v>2805.19</v>
      </c>
      <c r="R23" s="2981">
        <v>0</v>
      </c>
      <c r="S23" s="2981" t="s">
        <v>3216</v>
      </c>
      <c r="T23" s="2981" t="s">
        <v>3194</v>
      </c>
    </row>
    <row r="24" spans="1:20" ht="19.5" customHeight="1">
      <c r="A24" s="2981" t="s">
        <v>3284</v>
      </c>
      <c r="B24" s="2981" t="s">
        <v>3185</v>
      </c>
      <c r="C24" s="2981" t="s">
        <v>3196</v>
      </c>
      <c r="D24" s="2981" t="s">
        <v>1327</v>
      </c>
      <c r="E24" s="2981" t="s">
        <v>3284</v>
      </c>
      <c r="F24" s="2981" t="s">
        <v>3197</v>
      </c>
      <c r="G24" s="2981">
        <v>19101</v>
      </c>
      <c r="H24" s="2981" t="s">
        <v>3198</v>
      </c>
      <c r="I24" s="2981">
        <v>65531</v>
      </c>
      <c r="J24" s="2981">
        <v>98296.5</v>
      </c>
      <c r="K24" s="2981" t="s">
        <v>3240</v>
      </c>
      <c r="L24" s="2981" t="s">
        <v>3285</v>
      </c>
      <c r="M24" s="2981" t="s">
        <v>3286</v>
      </c>
      <c r="N24" s="2981" t="s">
        <v>3287</v>
      </c>
      <c r="O24" s="2981">
        <v>61500</v>
      </c>
      <c r="P24" s="2981">
        <v>625.66</v>
      </c>
      <c r="Q24" s="2981">
        <v>6256.57</v>
      </c>
      <c r="R24" s="2981">
        <v>7.87</v>
      </c>
      <c r="S24" s="2981" t="s">
        <v>3216</v>
      </c>
      <c r="T24" s="2981" t="s">
        <v>3203</v>
      </c>
    </row>
    <row r="25" spans="1:20" ht="19.5" customHeight="1">
      <c r="A25" s="2981" t="s">
        <v>3288</v>
      </c>
      <c r="B25" s="2981" t="s">
        <v>3185</v>
      </c>
      <c r="C25" s="2981" t="s">
        <v>3186</v>
      </c>
      <c r="D25" s="2981" t="s">
        <v>1327</v>
      </c>
      <c r="E25" s="2981" t="s">
        <v>3288</v>
      </c>
      <c r="F25" s="2981" t="s">
        <v>3197</v>
      </c>
      <c r="G25" s="2981">
        <v>19099</v>
      </c>
      <c r="H25" s="2981" t="s">
        <v>3254</v>
      </c>
      <c r="I25" s="2981">
        <v>150079</v>
      </c>
      <c r="J25" s="2981">
        <v>250279.5</v>
      </c>
      <c r="K25" s="2981" t="s">
        <v>3289</v>
      </c>
      <c r="L25" s="2981" t="s">
        <v>3290</v>
      </c>
      <c r="M25" s="2981" t="s">
        <v>3291</v>
      </c>
      <c r="N25" s="2981" t="s">
        <v>3283</v>
      </c>
      <c r="O25" s="2981">
        <v>69500</v>
      </c>
      <c r="P25" s="2981">
        <v>308.73</v>
      </c>
      <c r="Q25" s="2981">
        <v>2776.9</v>
      </c>
      <c r="R25" s="2981">
        <v>0.56999999999999995</v>
      </c>
      <c r="S25" s="2981" t="s">
        <v>3216</v>
      </c>
      <c r="T25" s="2981" t="s">
        <v>3194</v>
      </c>
    </row>
    <row r="26" spans="1:20" ht="19.5" customHeight="1">
      <c r="A26" s="2981" t="s">
        <v>3292</v>
      </c>
      <c r="B26" s="2981" t="s">
        <v>3185</v>
      </c>
      <c r="C26" s="2981" t="s">
        <v>3196</v>
      </c>
      <c r="D26" s="2981" t="s">
        <v>1327</v>
      </c>
      <c r="E26" s="2981" t="s">
        <v>3292</v>
      </c>
      <c r="F26" s="2981" t="s">
        <v>3187</v>
      </c>
      <c r="G26" s="2981">
        <v>19094</v>
      </c>
      <c r="H26" s="2981" t="s">
        <v>3198</v>
      </c>
      <c r="I26" s="2981">
        <v>103485</v>
      </c>
      <c r="J26" s="2981">
        <v>155227.5</v>
      </c>
      <c r="K26" s="2981" t="s">
        <v>3240</v>
      </c>
      <c r="L26" s="2981" t="s">
        <v>3293</v>
      </c>
      <c r="M26" s="2981" t="s">
        <v>3294</v>
      </c>
      <c r="N26" s="2981" t="s">
        <v>3295</v>
      </c>
      <c r="O26" s="2981">
        <v>121078</v>
      </c>
      <c r="P26" s="2981">
        <v>780</v>
      </c>
      <c r="Q26" s="2981">
        <v>7800.03</v>
      </c>
      <c r="R26" s="2981">
        <v>0</v>
      </c>
      <c r="S26" s="2981" t="s">
        <v>3216</v>
      </c>
      <c r="T26" s="2981" t="s">
        <v>3203</v>
      </c>
    </row>
    <row r="27" spans="1:20" ht="19.5" customHeight="1">
      <c r="A27" s="2981" t="s">
        <v>3296</v>
      </c>
      <c r="B27" s="2981" t="s">
        <v>3185</v>
      </c>
      <c r="C27" s="2981" t="s">
        <v>3196</v>
      </c>
      <c r="D27" s="2981" t="s">
        <v>1327</v>
      </c>
      <c r="E27" s="2981" t="s">
        <v>3296</v>
      </c>
      <c r="F27" s="2981" t="s">
        <v>3187</v>
      </c>
      <c r="G27" s="2981">
        <v>19095</v>
      </c>
      <c r="H27" s="2981" t="s">
        <v>3198</v>
      </c>
      <c r="I27" s="2981">
        <v>84524</v>
      </c>
      <c r="J27" s="2981">
        <v>126786</v>
      </c>
      <c r="K27" s="2981" t="s">
        <v>3240</v>
      </c>
      <c r="L27" s="2981" t="s">
        <v>3293</v>
      </c>
      <c r="M27" s="2981" t="s">
        <v>3294</v>
      </c>
      <c r="N27" s="2981" t="s">
        <v>3295</v>
      </c>
      <c r="O27" s="2981">
        <v>98894</v>
      </c>
      <c r="P27" s="2981">
        <v>780.01</v>
      </c>
      <c r="Q27" s="2981">
        <v>7800.06</v>
      </c>
      <c r="R27" s="2981">
        <v>0</v>
      </c>
      <c r="S27" s="2981" t="s">
        <v>3216</v>
      </c>
      <c r="T27" s="2981" t="s">
        <v>3203</v>
      </c>
    </row>
    <row r="28" spans="1:20" ht="19.5" customHeight="1">
      <c r="A28" s="2981" t="s">
        <v>3297</v>
      </c>
      <c r="B28" s="2981" t="s">
        <v>3185</v>
      </c>
      <c r="C28" s="2981" t="s">
        <v>3196</v>
      </c>
      <c r="D28" s="2981" t="s">
        <v>1327</v>
      </c>
      <c r="E28" s="2981" t="s">
        <v>3297</v>
      </c>
      <c r="F28" s="2981" t="s">
        <v>3197</v>
      </c>
      <c r="G28" s="2981">
        <v>19091</v>
      </c>
      <c r="H28" s="2981" t="s">
        <v>3198</v>
      </c>
      <c r="I28" s="2981">
        <v>80289.5</v>
      </c>
      <c r="J28" s="2981">
        <v>120434.3</v>
      </c>
      <c r="K28" s="2981" t="s">
        <v>3240</v>
      </c>
      <c r="L28" s="2981" t="s">
        <v>3298</v>
      </c>
      <c r="M28" s="2981" t="s">
        <v>3299</v>
      </c>
      <c r="N28" s="2981" t="s">
        <v>3295</v>
      </c>
      <c r="O28" s="2981">
        <v>97500</v>
      </c>
      <c r="P28" s="2981">
        <v>809.57</v>
      </c>
      <c r="Q28" s="2981">
        <v>8095.69</v>
      </c>
      <c r="R28" s="2981">
        <v>1.2</v>
      </c>
      <c r="S28" s="2981" t="s">
        <v>3216</v>
      </c>
      <c r="T28" s="2981" t="s">
        <v>3300</v>
      </c>
    </row>
    <row r="29" spans="1:20" ht="19.5" customHeight="1">
      <c r="A29" s="2981" t="s">
        <v>3301</v>
      </c>
      <c r="B29" s="2981" t="s">
        <v>3185</v>
      </c>
      <c r="C29" s="2981" t="s">
        <v>3196</v>
      </c>
      <c r="D29" s="2981" t="s">
        <v>1327</v>
      </c>
      <c r="E29" s="2981" t="s">
        <v>3301</v>
      </c>
      <c r="F29" s="2981" t="s">
        <v>3187</v>
      </c>
      <c r="G29" s="2981">
        <v>19092</v>
      </c>
      <c r="H29" s="2981" t="s">
        <v>3198</v>
      </c>
      <c r="I29" s="2981">
        <v>60488</v>
      </c>
      <c r="J29" s="2981">
        <v>72585.600000000006</v>
      </c>
      <c r="K29" s="2981" t="s">
        <v>3302</v>
      </c>
      <c r="L29" s="2981" t="s">
        <v>3298</v>
      </c>
      <c r="M29" s="2981" t="s">
        <v>3299</v>
      </c>
      <c r="N29" s="2981" t="s">
        <v>3295</v>
      </c>
      <c r="O29" s="2981">
        <v>58069</v>
      </c>
      <c r="P29" s="2981">
        <v>640.01</v>
      </c>
      <c r="Q29" s="2981">
        <v>8000.06</v>
      </c>
      <c r="R29" s="2981">
        <v>0</v>
      </c>
      <c r="S29" s="2981" t="s">
        <v>3216</v>
      </c>
      <c r="T29" s="2981" t="s">
        <v>3203</v>
      </c>
    </row>
    <row r="30" spans="1:20" ht="19.5" customHeight="1">
      <c r="A30" s="2981" t="s">
        <v>3303</v>
      </c>
      <c r="B30" s="2981" t="s">
        <v>3185</v>
      </c>
      <c r="C30" s="2981" t="s">
        <v>3196</v>
      </c>
      <c r="D30" s="2981" t="s">
        <v>1327</v>
      </c>
      <c r="E30" s="2981" t="s">
        <v>3303</v>
      </c>
      <c r="F30" s="2981" t="s">
        <v>3197</v>
      </c>
      <c r="G30" s="2981">
        <v>19089</v>
      </c>
      <c r="H30" s="2981" t="s">
        <v>3198</v>
      </c>
      <c r="I30" s="2981">
        <v>58708.7</v>
      </c>
      <c r="J30" s="2981">
        <v>86075.11</v>
      </c>
      <c r="K30" s="2981" t="s">
        <v>3273</v>
      </c>
      <c r="L30" s="2981" t="s">
        <v>3304</v>
      </c>
      <c r="M30" s="2981" t="s">
        <v>3305</v>
      </c>
      <c r="N30" s="2981" t="s">
        <v>3306</v>
      </c>
      <c r="O30" s="2981">
        <v>70000</v>
      </c>
      <c r="P30" s="2981">
        <v>794.89</v>
      </c>
      <c r="Q30" s="2981">
        <v>8132.43</v>
      </c>
      <c r="R30" s="2981">
        <v>1.65</v>
      </c>
      <c r="S30" s="2981" t="s">
        <v>3216</v>
      </c>
      <c r="T30" s="2981" t="s">
        <v>3203</v>
      </c>
    </row>
    <row r="31" spans="1:20" ht="19.5" customHeight="1">
      <c r="A31" s="2981" t="s">
        <v>3307</v>
      </c>
      <c r="B31" s="2981" t="s">
        <v>3185</v>
      </c>
      <c r="C31" s="2981" t="s">
        <v>3196</v>
      </c>
      <c r="D31" s="2981" t="s">
        <v>1327</v>
      </c>
      <c r="E31" s="2981" t="s">
        <v>3307</v>
      </c>
      <c r="F31" s="2981" t="s">
        <v>3197</v>
      </c>
      <c r="G31" s="2981">
        <v>19082</v>
      </c>
      <c r="H31" s="2981" t="s">
        <v>3198</v>
      </c>
      <c r="I31" s="2981">
        <v>91311</v>
      </c>
      <c r="J31" s="2981">
        <v>118704.3</v>
      </c>
      <c r="K31" s="2981" t="s">
        <v>3268</v>
      </c>
      <c r="L31" s="2981" t="s">
        <v>3308</v>
      </c>
      <c r="M31" s="2981" t="s">
        <v>3309</v>
      </c>
      <c r="N31" s="2981" t="s">
        <v>3310</v>
      </c>
      <c r="O31" s="2981">
        <v>128000</v>
      </c>
      <c r="P31" s="2981">
        <v>934.54</v>
      </c>
      <c r="Q31" s="2981">
        <v>10783.1</v>
      </c>
      <c r="R31" s="2981">
        <v>12.78</v>
      </c>
      <c r="S31" s="2981" t="s">
        <v>3216</v>
      </c>
      <c r="T31" s="2981" t="s">
        <v>3259</v>
      </c>
    </row>
    <row r="32" spans="1:20" ht="19.5" customHeight="1">
      <c r="A32" s="2981" t="s">
        <v>3311</v>
      </c>
      <c r="B32" s="2981" t="s">
        <v>3185</v>
      </c>
      <c r="C32" s="2981" t="s">
        <v>3196</v>
      </c>
      <c r="D32" s="2981" t="s">
        <v>1327</v>
      </c>
      <c r="E32" s="2981" t="s">
        <v>3311</v>
      </c>
      <c r="F32" s="2981" t="s">
        <v>3197</v>
      </c>
      <c r="G32" s="2981">
        <v>19077</v>
      </c>
      <c r="H32" s="2981" t="s">
        <v>3198</v>
      </c>
      <c r="I32" s="2981">
        <v>82635</v>
      </c>
      <c r="J32" s="2981">
        <v>121845</v>
      </c>
      <c r="K32" s="2981" t="s">
        <v>3273</v>
      </c>
      <c r="L32" s="2981" t="s">
        <v>3312</v>
      </c>
      <c r="M32" s="2981" t="s">
        <v>3313</v>
      </c>
      <c r="N32" s="2981" t="s">
        <v>3310</v>
      </c>
      <c r="O32" s="2981">
        <v>133000</v>
      </c>
      <c r="P32" s="2981">
        <v>1072.99</v>
      </c>
      <c r="Q32" s="2981">
        <v>10915.51</v>
      </c>
      <c r="R32" s="2981">
        <v>14.96</v>
      </c>
      <c r="S32" s="2981" t="s">
        <v>3216</v>
      </c>
      <c r="T32" s="2981" t="s">
        <v>3259</v>
      </c>
    </row>
    <row r="33" spans="1:20" ht="19.5" customHeight="1">
      <c r="A33" s="2981" t="s">
        <v>3314</v>
      </c>
      <c r="B33" s="2981" t="s">
        <v>3185</v>
      </c>
      <c r="C33" s="2981" t="s">
        <v>3196</v>
      </c>
      <c r="D33" s="2981" t="s">
        <v>1327</v>
      </c>
      <c r="E33" s="2981" t="s">
        <v>3314</v>
      </c>
      <c r="F33" s="2981" t="s">
        <v>3197</v>
      </c>
      <c r="G33" s="2981">
        <v>19078</v>
      </c>
      <c r="H33" s="2981" t="s">
        <v>3198</v>
      </c>
      <c r="I33" s="2981">
        <v>61314</v>
      </c>
      <c r="J33" s="2981">
        <v>90529</v>
      </c>
      <c r="K33" s="2981" t="s">
        <v>3273</v>
      </c>
      <c r="L33" s="2981" t="s">
        <v>3312</v>
      </c>
      <c r="M33" s="2981" t="s">
        <v>3313</v>
      </c>
      <c r="N33" s="2981" t="s">
        <v>3310</v>
      </c>
      <c r="O33" s="2981">
        <v>99500</v>
      </c>
      <c r="P33" s="2981">
        <v>1081.8599999999999</v>
      </c>
      <c r="Q33" s="2981">
        <v>10990.95</v>
      </c>
      <c r="R33" s="2981">
        <v>18.82</v>
      </c>
      <c r="S33" s="2981" t="s">
        <v>3216</v>
      </c>
      <c r="T33" s="2981" t="s">
        <v>3259</v>
      </c>
    </row>
    <row r="34" spans="1:20" ht="19.5" customHeight="1">
      <c r="A34" s="2981" t="s">
        <v>3315</v>
      </c>
      <c r="B34" s="2981" t="s">
        <v>3185</v>
      </c>
      <c r="C34" s="2981" t="s">
        <v>3196</v>
      </c>
      <c r="D34" s="2981" t="s">
        <v>1327</v>
      </c>
      <c r="E34" s="2981" t="s">
        <v>3315</v>
      </c>
      <c r="F34" s="2981" t="s">
        <v>3197</v>
      </c>
      <c r="G34" s="2981">
        <v>19062</v>
      </c>
      <c r="H34" s="2981" t="s">
        <v>3198</v>
      </c>
      <c r="I34" s="2981">
        <v>63940</v>
      </c>
      <c r="J34" s="2981">
        <v>122460.7</v>
      </c>
      <c r="K34" s="2981" t="s">
        <v>3275</v>
      </c>
      <c r="L34" s="2981" t="s">
        <v>3316</v>
      </c>
      <c r="M34" s="2981" t="s">
        <v>3317</v>
      </c>
      <c r="N34" s="2981" t="s">
        <v>3261</v>
      </c>
      <c r="O34" s="2981">
        <v>121000</v>
      </c>
      <c r="P34" s="2981">
        <v>1261.5999999999999</v>
      </c>
      <c r="Q34" s="2981">
        <v>9880.7099999999991</v>
      </c>
      <c r="R34" s="2981">
        <v>14.33</v>
      </c>
      <c r="S34" s="2981" t="s">
        <v>3216</v>
      </c>
      <c r="T34" s="2981" t="s">
        <v>3203</v>
      </c>
    </row>
    <row r="35" spans="1:20" ht="19.5" customHeight="1">
      <c r="A35" s="2981" t="s">
        <v>3318</v>
      </c>
      <c r="B35" s="2981" t="s">
        <v>3185</v>
      </c>
      <c r="C35" s="2981" t="s">
        <v>3196</v>
      </c>
      <c r="D35" s="2981" t="s">
        <v>1327</v>
      </c>
      <c r="E35" s="2981" t="s">
        <v>3318</v>
      </c>
      <c r="F35" s="2981" t="s">
        <v>3197</v>
      </c>
      <c r="G35" s="2981">
        <v>19063</v>
      </c>
      <c r="H35" s="2981" t="s">
        <v>3198</v>
      </c>
      <c r="I35" s="2981">
        <v>60244.9</v>
      </c>
      <c r="J35" s="2981">
        <v>150612.29999999999</v>
      </c>
      <c r="K35" s="2981" t="s">
        <v>3199</v>
      </c>
      <c r="L35" s="2981" t="s">
        <v>3316</v>
      </c>
      <c r="M35" s="2981" t="s">
        <v>3317</v>
      </c>
      <c r="N35" s="2981" t="s">
        <v>3261</v>
      </c>
      <c r="O35" s="2981">
        <v>146000</v>
      </c>
      <c r="P35" s="2981">
        <v>1615.63</v>
      </c>
      <c r="Q35" s="2981">
        <v>9693.76</v>
      </c>
      <c r="R35" s="2981">
        <v>21.17</v>
      </c>
      <c r="S35" s="2981" t="s">
        <v>3216</v>
      </c>
      <c r="T35" s="2981" t="s">
        <v>3259</v>
      </c>
    </row>
    <row r="36" spans="1:20" ht="19.5" customHeight="1">
      <c r="A36" s="2981" t="s">
        <v>3319</v>
      </c>
      <c r="B36" s="2981" t="s">
        <v>3185</v>
      </c>
      <c r="C36" s="2981" t="s">
        <v>3196</v>
      </c>
      <c r="D36" s="2981" t="s">
        <v>1327</v>
      </c>
      <c r="E36" s="2981" t="s">
        <v>3319</v>
      </c>
      <c r="F36" s="2981" t="s">
        <v>3197</v>
      </c>
      <c r="G36" s="2981">
        <v>19059</v>
      </c>
      <c r="H36" s="2981" t="s">
        <v>3198</v>
      </c>
      <c r="I36" s="2981">
        <v>78043.199999999997</v>
      </c>
      <c r="J36" s="2981">
        <v>117064.8</v>
      </c>
      <c r="K36" s="2981" t="s">
        <v>3240</v>
      </c>
      <c r="L36" s="2981" t="s">
        <v>3320</v>
      </c>
      <c r="M36" s="2981" t="s">
        <v>3321</v>
      </c>
      <c r="N36" s="2981" t="s">
        <v>3295</v>
      </c>
      <c r="O36" s="2981">
        <v>113000</v>
      </c>
      <c r="P36" s="2981">
        <v>965.28</v>
      </c>
      <c r="Q36" s="2981">
        <v>9652.77</v>
      </c>
      <c r="R36" s="2981">
        <v>9.19</v>
      </c>
      <c r="S36" s="2981" t="s">
        <v>3193</v>
      </c>
      <c r="T36" s="2981" t="s">
        <v>3300</v>
      </c>
    </row>
    <row r="37" spans="1:20" ht="19.5" customHeight="1">
      <c r="A37" s="2981" t="s">
        <v>3322</v>
      </c>
      <c r="B37" s="2981" t="s">
        <v>3185</v>
      </c>
      <c r="C37" s="2981" t="s">
        <v>3196</v>
      </c>
      <c r="D37" s="2981" t="s">
        <v>1327</v>
      </c>
      <c r="E37" s="2981" t="s">
        <v>3322</v>
      </c>
      <c r="F37" s="2981" t="s">
        <v>3187</v>
      </c>
      <c r="G37" s="2981">
        <v>19058</v>
      </c>
      <c r="H37" s="2981" t="s">
        <v>3198</v>
      </c>
      <c r="I37" s="2981">
        <v>50390.8</v>
      </c>
      <c r="J37" s="2981">
        <v>70505.100000000006</v>
      </c>
      <c r="K37" s="2981" t="s">
        <v>3268</v>
      </c>
      <c r="L37" s="2981" t="s">
        <v>3320</v>
      </c>
      <c r="M37" s="2981" t="s">
        <v>3321</v>
      </c>
      <c r="N37" s="2981" t="s">
        <v>3323</v>
      </c>
      <c r="O37" s="2981">
        <v>38778</v>
      </c>
      <c r="P37" s="2981">
        <v>513.03</v>
      </c>
      <c r="Q37" s="2981">
        <v>5500.02</v>
      </c>
      <c r="R37" s="2981">
        <v>0</v>
      </c>
      <c r="S37" s="2981" t="s">
        <v>3193</v>
      </c>
      <c r="T37" s="2981" t="s">
        <v>3300</v>
      </c>
    </row>
    <row r="38" spans="1:20" ht="19.5" customHeight="1">
      <c r="A38" s="2981" t="s">
        <v>3324</v>
      </c>
      <c r="B38" s="2981" t="s">
        <v>3185</v>
      </c>
      <c r="C38" s="2981" t="s">
        <v>3196</v>
      </c>
      <c r="D38" s="2981" t="s">
        <v>1327</v>
      </c>
      <c r="E38" s="2981" t="s">
        <v>3324</v>
      </c>
      <c r="F38" s="2981" t="s">
        <v>3187</v>
      </c>
      <c r="G38" s="2981">
        <v>19049</v>
      </c>
      <c r="H38" s="2981" t="s">
        <v>3198</v>
      </c>
      <c r="I38" s="2981">
        <v>94701.6</v>
      </c>
      <c r="J38" s="2981">
        <v>134396.79999999999</v>
      </c>
      <c r="K38" s="2981" t="s">
        <v>3273</v>
      </c>
      <c r="L38" s="2981" t="s">
        <v>3325</v>
      </c>
      <c r="M38" s="2981" t="s">
        <v>3326</v>
      </c>
      <c r="N38" s="2981" t="s">
        <v>3327</v>
      </c>
      <c r="O38" s="2981">
        <v>73919</v>
      </c>
      <c r="P38" s="2981">
        <v>520.36</v>
      </c>
      <c r="Q38" s="2981">
        <v>5500.06</v>
      </c>
      <c r="R38" s="2981">
        <v>0</v>
      </c>
      <c r="S38" s="2981" t="s">
        <v>3193</v>
      </c>
      <c r="T38" s="2981" t="s">
        <v>3300</v>
      </c>
    </row>
    <row r="39" spans="1:20" ht="19.5" customHeight="1">
      <c r="A39" s="2981" t="s">
        <v>3328</v>
      </c>
      <c r="B39" s="2981" t="s">
        <v>3185</v>
      </c>
      <c r="C39" s="2981" t="s">
        <v>3196</v>
      </c>
      <c r="D39" s="2981" t="s">
        <v>1327</v>
      </c>
      <c r="E39" s="2981" t="s">
        <v>3328</v>
      </c>
      <c r="F39" s="2981" t="s">
        <v>3197</v>
      </c>
      <c r="G39" s="2981">
        <v>19048</v>
      </c>
      <c r="H39" s="2981" t="s">
        <v>3198</v>
      </c>
      <c r="I39" s="2981">
        <v>85863.9</v>
      </c>
      <c r="J39" s="2981">
        <v>117863.6</v>
      </c>
      <c r="K39" s="2981" t="s">
        <v>3268</v>
      </c>
      <c r="L39" s="2981" t="s">
        <v>3329</v>
      </c>
      <c r="M39" s="2981" t="s">
        <v>3330</v>
      </c>
      <c r="N39" s="2981" t="s">
        <v>3331</v>
      </c>
      <c r="O39" s="2981">
        <v>79500</v>
      </c>
      <c r="P39" s="2981">
        <v>617.26</v>
      </c>
      <c r="Q39" s="2981">
        <v>6745.07</v>
      </c>
      <c r="R39" s="2981">
        <v>22.64</v>
      </c>
      <c r="S39" s="2981" t="s">
        <v>3193</v>
      </c>
      <c r="T39" s="2981" t="s">
        <v>3300</v>
      </c>
    </row>
    <row r="40" spans="1:20" ht="19.5" customHeight="1">
      <c r="A40" s="2981" t="s">
        <v>3332</v>
      </c>
      <c r="B40" s="2981" t="s">
        <v>3185</v>
      </c>
      <c r="C40" s="2981" t="s">
        <v>3196</v>
      </c>
      <c r="D40" s="2981" t="s">
        <v>1327</v>
      </c>
      <c r="E40" s="2981" t="s">
        <v>3332</v>
      </c>
      <c r="F40" s="2981" t="s">
        <v>3197</v>
      </c>
      <c r="G40" s="2981">
        <v>19046</v>
      </c>
      <c r="H40" s="2981" t="s">
        <v>3198</v>
      </c>
      <c r="I40" s="2981">
        <v>84368.5</v>
      </c>
      <c r="J40" s="2981">
        <v>108280.2</v>
      </c>
      <c r="K40" s="2981" t="s">
        <v>3302</v>
      </c>
      <c r="L40" s="2981" t="s">
        <v>3200</v>
      </c>
      <c r="M40" s="2981" t="s">
        <v>3333</v>
      </c>
      <c r="N40" s="2981" t="s">
        <v>3331</v>
      </c>
      <c r="O40" s="2981">
        <v>68500</v>
      </c>
      <c r="P40" s="2981">
        <v>541.28</v>
      </c>
      <c r="Q40" s="2981">
        <v>6326.18</v>
      </c>
      <c r="R40" s="2981">
        <v>15.02</v>
      </c>
      <c r="S40" s="2981" t="s">
        <v>3193</v>
      </c>
      <c r="T40" s="2981" t="s">
        <v>3300</v>
      </c>
    </row>
    <row r="41" spans="1:20" ht="19.5" customHeight="1">
      <c r="A41" s="2981" t="s">
        <v>3334</v>
      </c>
      <c r="B41" s="2981" t="s">
        <v>3185</v>
      </c>
      <c r="C41" s="2981" t="s">
        <v>3196</v>
      </c>
      <c r="D41" s="2981" t="s">
        <v>1327</v>
      </c>
      <c r="E41" s="2981" t="s">
        <v>3334</v>
      </c>
      <c r="F41" s="2981" t="s">
        <v>3197</v>
      </c>
      <c r="G41" s="2981">
        <v>19040</v>
      </c>
      <c r="H41" s="2981" t="s">
        <v>3198</v>
      </c>
      <c r="I41" s="2981">
        <v>60151</v>
      </c>
      <c r="J41" s="2981">
        <v>90227</v>
      </c>
      <c r="K41" s="2981" t="s">
        <v>3240</v>
      </c>
      <c r="L41" s="2981" t="s">
        <v>3335</v>
      </c>
      <c r="M41" s="2981" t="s">
        <v>3336</v>
      </c>
      <c r="N41" s="2981" t="s">
        <v>3337</v>
      </c>
      <c r="O41" s="2981">
        <v>106000</v>
      </c>
      <c r="P41" s="2981">
        <v>1174.82</v>
      </c>
      <c r="Q41" s="2981">
        <v>11748.14</v>
      </c>
      <c r="R41" s="2981">
        <v>38.21</v>
      </c>
      <c r="S41" s="2981" t="s">
        <v>3193</v>
      </c>
      <c r="T41" s="2981" t="s">
        <v>3194</v>
      </c>
    </row>
    <row r="42" spans="1:20" ht="19.5" customHeight="1">
      <c r="A42" s="2981" t="s">
        <v>3338</v>
      </c>
      <c r="B42" s="2981" t="s">
        <v>3185</v>
      </c>
      <c r="C42" s="2981" t="s">
        <v>3196</v>
      </c>
      <c r="D42" s="2981" t="s">
        <v>1327</v>
      </c>
      <c r="E42" s="2981" t="s">
        <v>3338</v>
      </c>
      <c r="F42" s="2981" t="s">
        <v>3197</v>
      </c>
      <c r="G42" s="2981">
        <v>19017</v>
      </c>
      <c r="H42" s="2981" t="s">
        <v>3198</v>
      </c>
      <c r="I42" s="2981">
        <v>37791</v>
      </c>
      <c r="J42" s="2981">
        <v>56686.5</v>
      </c>
      <c r="K42" s="2981" t="s">
        <v>3240</v>
      </c>
      <c r="L42" s="2981" t="s">
        <v>3339</v>
      </c>
      <c r="M42" s="2981" t="s">
        <v>3340</v>
      </c>
      <c r="N42" s="2981" t="s">
        <v>3341</v>
      </c>
      <c r="O42" s="2981">
        <v>63200</v>
      </c>
      <c r="P42" s="2981">
        <v>1114.9000000000001</v>
      </c>
      <c r="Q42" s="2981">
        <v>11149.04</v>
      </c>
      <c r="R42" s="2981">
        <v>92.22</v>
      </c>
      <c r="S42" s="2981" t="s">
        <v>3342</v>
      </c>
      <c r="T42" s="2981" t="s">
        <v>3194</v>
      </c>
    </row>
    <row r="43" spans="1:20" ht="19.5" customHeight="1">
      <c r="A43" s="2981" t="s">
        <v>3343</v>
      </c>
      <c r="B43" s="2981" t="s">
        <v>3185</v>
      </c>
      <c r="C43" s="2981" t="s">
        <v>3196</v>
      </c>
      <c r="D43" s="2981" t="s">
        <v>1327</v>
      </c>
      <c r="E43" s="2981" t="s">
        <v>3343</v>
      </c>
      <c r="F43" s="2981" t="s">
        <v>3197</v>
      </c>
      <c r="G43" s="2981">
        <v>19033</v>
      </c>
      <c r="H43" s="2981" t="s">
        <v>3198</v>
      </c>
      <c r="I43" s="2981">
        <v>57402</v>
      </c>
      <c r="J43" s="2981">
        <v>86103</v>
      </c>
      <c r="K43" s="2981" t="s">
        <v>3240</v>
      </c>
      <c r="L43" s="2981" t="s">
        <v>3344</v>
      </c>
      <c r="M43" s="2981" t="s">
        <v>3345</v>
      </c>
      <c r="N43" s="2981" t="s">
        <v>3346</v>
      </c>
      <c r="O43" s="2981">
        <v>55400</v>
      </c>
      <c r="P43" s="2981">
        <v>643.41999999999996</v>
      </c>
      <c r="Q43" s="2981">
        <v>6434.14</v>
      </c>
      <c r="R43" s="2981">
        <v>31.31</v>
      </c>
      <c r="S43" s="2981" t="s">
        <v>3347</v>
      </c>
      <c r="T43" s="2981" t="s">
        <v>3203</v>
      </c>
    </row>
    <row r="44" spans="1:20" ht="19.5" customHeight="1">
      <c r="A44" s="2981" t="s">
        <v>3348</v>
      </c>
      <c r="B44" s="2981" t="s">
        <v>3185</v>
      </c>
      <c r="C44" s="2981" t="s">
        <v>3196</v>
      </c>
      <c r="D44" s="2981" t="s">
        <v>1327</v>
      </c>
      <c r="E44" s="2981" t="s">
        <v>3348</v>
      </c>
      <c r="F44" s="2981" t="s">
        <v>3197</v>
      </c>
      <c r="G44" s="2981">
        <v>19034</v>
      </c>
      <c r="H44" s="2981" t="s">
        <v>3198</v>
      </c>
      <c r="I44" s="2981">
        <v>69563.399999999994</v>
      </c>
      <c r="J44" s="2981">
        <v>104345.1</v>
      </c>
      <c r="K44" s="2981" t="s">
        <v>3240</v>
      </c>
      <c r="L44" s="2981" t="s">
        <v>3344</v>
      </c>
      <c r="M44" s="2981" t="s">
        <v>3345</v>
      </c>
      <c r="N44" s="2981" t="s">
        <v>3349</v>
      </c>
      <c r="O44" s="2981">
        <v>56500</v>
      </c>
      <c r="P44" s="2981">
        <v>541.47</v>
      </c>
      <c r="Q44" s="2981">
        <v>5414.72</v>
      </c>
      <c r="R44" s="2981">
        <v>10.199999999999999</v>
      </c>
      <c r="S44" s="2981" t="s">
        <v>3347</v>
      </c>
      <c r="T44" s="2981" t="s">
        <v>3203</v>
      </c>
    </row>
    <row r="45" spans="1:20" ht="19.5" customHeight="1">
      <c r="A45" s="2981" t="s">
        <v>3350</v>
      </c>
      <c r="B45" s="2981" t="s">
        <v>3185</v>
      </c>
      <c r="C45" s="2981" t="s">
        <v>3196</v>
      </c>
      <c r="D45" s="2981" t="s">
        <v>1327</v>
      </c>
      <c r="E45" s="2981" t="s">
        <v>3350</v>
      </c>
      <c r="F45" s="2981" t="s">
        <v>3197</v>
      </c>
      <c r="G45" s="2981">
        <v>19029</v>
      </c>
      <c r="H45" s="2981" t="s">
        <v>3198</v>
      </c>
      <c r="I45" s="2981">
        <v>91228</v>
      </c>
      <c r="J45" s="2981">
        <v>136842</v>
      </c>
      <c r="K45" s="2981" t="s">
        <v>3240</v>
      </c>
      <c r="L45" s="2981" t="s">
        <v>3351</v>
      </c>
      <c r="M45" s="2981" t="s">
        <v>3352</v>
      </c>
      <c r="N45" s="2981" t="s">
        <v>3353</v>
      </c>
      <c r="O45" s="2981">
        <v>145000</v>
      </c>
      <c r="P45" s="2981">
        <v>1059.6199999999999</v>
      </c>
      <c r="Q45" s="2981">
        <v>10596.15</v>
      </c>
      <c r="R45" s="2981">
        <v>49.1</v>
      </c>
      <c r="S45" s="2981" t="s">
        <v>3193</v>
      </c>
      <c r="T45" s="2981" t="s">
        <v>3259</v>
      </c>
    </row>
    <row r="46" spans="1:20" ht="19.5" customHeight="1">
      <c r="A46" s="2981" t="s">
        <v>3354</v>
      </c>
      <c r="B46" s="2981" t="s">
        <v>3185</v>
      </c>
      <c r="C46" s="2981" t="s">
        <v>3196</v>
      </c>
      <c r="D46" s="2981" t="s">
        <v>1327</v>
      </c>
      <c r="E46" s="2981" t="s">
        <v>3354</v>
      </c>
      <c r="F46" s="2981" t="s">
        <v>3197</v>
      </c>
      <c r="G46" s="2981">
        <v>19030</v>
      </c>
      <c r="H46" s="2981" t="s">
        <v>3198</v>
      </c>
      <c r="I46" s="2981">
        <v>68156</v>
      </c>
      <c r="J46" s="2981">
        <v>102234</v>
      </c>
      <c r="K46" s="2981" t="s">
        <v>3240</v>
      </c>
      <c r="L46" s="2981" t="s">
        <v>3351</v>
      </c>
      <c r="M46" s="2981" t="s">
        <v>3352</v>
      </c>
      <c r="N46" s="2981" t="s">
        <v>3355</v>
      </c>
      <c r="O46" s="2981">
        <v>109000</v>
      </c>
      <c r="P46" s="2981">
        <v>1066.18</v>
      </c>
      <c r="Q46" s="2981">
        <v>10661.81</v>
      </c>
      <c r="R46" s="2981">
        <v>47.06</v>
      </c>
      <c r="S46" s="2981" t="s">
        <v>3193</v>
      </c>
      <c r="T46" s="2981" t="s">
        <v>3259</v>
      </c>
    </row>
    <row r="47" spans="1:20" ht="19.5" customHeight="1">
      <c r="A47" s="2981" t="s">
        <v>3356</v>
      </c>
      <c r="B47" s="2981" t="s">
        <v>3185</v>
      </c>
      <c r="C47" s="2981" t="s">
        <v>3196</v>
      </c>
      <c r="D47" s="2981" t="s">
        <v>1327</v>
      </c>
      <c r="E47" s="2981" t="s">
        <v>3356</v>
      </c>
      <c r="F47" s="2981" t="s">
        <v>3197</v>
      </c>
      <c r="G47" s="2981">
        <v>19025</v>
      </c>
      <c r="H47" s="2981" t="s">
        <v>3198</v>
      </c>
      <c r="I47" s="2981">
        <v>104424</v>
      </c>
      <c r="J47" s="2981">
        <v>184334</v>
      </c>
      <c r="K47" s="2981" t="s">
        <v>3357</v>
      </c>
      <c r="L47" s="2981" t="s">
        <v>3358</v>
      </c>
      <c r="M47" s="2981" t="s">
        <v>3359</v>
      </c>
      <c r="N47" s="2981" t="s">
        <v>3360</v>
      </c>
      <c r="O47" s="2981">
        <v>175000</v>
      </c>
      <c r="P47" s="2981">
        <v>1117.24</v>
      </c>
      <c r="Q47" s="2981">
        <v>9493.6299999999992</v>
      </c>
      <c r="R47" s="2981">
        <v>34.08</v>
      </c>
      <c r="S47" s="2981" t="s">
        <v>3342</v>
      </c>
      <c r="T47" s="2981" t="s">
        <v>3194</v>
      </c>
    </row>
    <row r="48" spans="1:20" ht="19.5" customHeight="1">
      <c r="A48" s="2981" t="s">
        <v>3361</v>
      </c>
      <c r="B48" s="2981" t="s">
        <v>3185</v>
      </c>
      <c r="C48" s="2981" t="s">
        <v>3196</v>
      </c>
      <c r="D48" s="2981" t="s">
        <v>1327</v>
      </c>
      <c r="E48" s="2981" t="s">
        <v>3361</v>
      </c>
      <c r="F48" s="2981" t="s">
        <v>3197</v>
      </c>
      <c r="G48" s="2981">
        <v>18108</v>
      </c>
      <c r="H48" s="2981" t="s">
        <v>3198</v>
      </c>
      <c r="I48" s="2981">
        <v>96079</v>
      </c>
      <c r="J48" s="2981">
        <v>144118</v>
      </c>
      <c r="K48" s="2981" t="s">
        <v>3362</v>
      </c>
      <c r="L48" s="2981" t="s">
        <v>3363</v>
      </c>
      <c r="M48" s="2981" t="s">
        <v>3364</v>
      </c>
      <c r="N48" s="2981" t="s">
        <v>3365</v>
      </c>
      <c r="O48" s="2981">
        <v>132000</v>
      </c>
      <c r="P48" s="2981">
        <v>915.91</v>
      </c>
      <c r="Q48" s="2981">
        <v>9159.15</v>
      </c>
      <c r="R48" s="2981">
        <v>9.82</v>
      </c>
      <c r="S48" s="2981" t="s">
        <v>3209</v>
      </c>
      <c r="T48" s="2981" t="s">
        <v>3203</v>
      </c>
    </row>
    <row r="49" spans="1:20" ht="19.5" customHeight="1">
      <c r="A49" s="2981" t="s">
        <v>3366</v>
      </c>
      <c r="B49" s="2981" t="s">
        <v>3185</v>
      </c>
      <c r="C49" s="2981" t="s">
        <v>3196</v>
      </c>
      <c r="D49" s="2981" t="s">
        <v>1327</v>
      </c>
      <c r="E49" s="2981" t="s">
        <v>3366</v>
      </c>
      <c r="F49" s="2981" t="s">
        <v>3197</v>
      </c>
      <c r="G49" s="2981">
        <v>18109</v>
      </c>
      <c r="H49" s="2981" t="s">
        <v>3198</v>
      </c>
      <c r="I49" s="2981">
        <v>40899</v>
      </c>
      <c r="J49" s="2981">
        <v>61348</v>
      </c>
      <c r="K49" s="2981" t="s">
        <v>3362</v>
      </c>
      <c r="L49" s="2981" t="s">
        <v>3363</v>
      </c>
      <c r="M49" s="2981" t="s">
        <v>3364</v>
      </c>
      <c r="N49" s="2981" t="s">
        <v>3367</v>
      </c>
      <c r="O49" s="2981">
        <v>51500</v>
      </c>
      <c r="P49" s="2981">
        <v>839.47</v>
      </c>
      <c r="Q49" s="2981">
        <v>8394.7199999999993</v>
      </c>
      <c r="R49" s="2981">
        <v>0.65</v>
      </c>
      <c r="S49" s="2981" t="s">
        <v>3209</v>
      </c>
      <c r="T49" s="2981" t="s">
        <v>3203</v>
      </c>
    </row>
    <row r="50" spans="1:20" ht="19.5" customHeight="1">
      <c r="A50" s="2981" t="s">
        <v>3368</v>
      </c>
      <c r="B50" s="2981" t="s">
        <v>3185</v>
      </c>
      <c r="C50" s="2981" t="s">
        <v>3196</v>
      </c>
      <c r="D50" s="2981" t="s">
        <v>1327</v>
      </c>
      <c r="E50" s="2981" t="s">
        <v>3368</v>
      </c>
      <c r="F50" s="2981" t="s">
        <v>3187</v>
      </c>
      <c r="G50" s="2981">
        <v>18107</v>
      </c>
      <c r="H50" s="2981" t="s">
        <v>3198</v>
      </c>
      <c r="I50" s="2981">
        <v>83276.399999999994</v>
      </c>
      <c r="J50" s="2981">
        <v>124914.6</v>
      </c>
      <c r="K50" s="2981" t="s">
        <v>3240</v>
      </c>
      <c r="L50" s="2981" t="s">
        <v>3369</v>
      </c>
      <c r="M50" s="2981" t="s">
        <v>3370</v>
      </c>
      <c r="N50" s="2981" t="s">
        <v>3371</v>
      </c>
      <c r="O50" s="2981">
        <v>81445</v>
      </c>
      <c r="P50" s="2981">
        <v>652.01</v>
      </c>
      <c r="Q50" s="2981">
        <v>6520.05</v>
      </c>
      <c r="R50" s="2981">
        <v>0</v>
      </c>
      <c r="S50" s="2981" t="s">
        <v>3209</v>
      </c>
      <c r="T50" s="2981" t="s">
        <v>3259</v>
      </c>
    </row>
    <row r="51" spans="1:20" ht="19.5" customHeight="1">
      <c r="A51" s="2981" t="s">
        <v>3372</v>
      </c>
      <c r="B51" s="2981" t="s">
        <v>3185</v>
      </c>
      <c r="C51" s="2981" t="s">
        <v>3186</v>
      </c>
      <c r="D51" s="2981" t="s">
        <v>1327</v>
      </c>
      <c r="E51" s="2981" t="s">
        <v>3372</v>
      </c>
      <c r="F51" s="2981" t="s">
        <v>3187</v>
      </c>
      <c r="G51" s="2981">
        <v>18065</v>
      </c>
      <c r="H51" s="2981" t="s">
        <v>3373</v>
      </c>
      <c r="I51" s="2981">
        <v>161748.70000000001</v>
      </c>
      <c r="J51" s="2981">
        <v>387307.4</v>
      </c>
      <c r="K51" s="2981" t="s">
        <v>3374</v>
      </c>
      <c r="L51" s="2981" t="s">
        <v>3375</v>
      </c>
      <c r="M51" s="2981" t="s">
        <v>3376</v>
      </c>
      <c r="N51" s="2981" t="s">
        <v>3377</v>
      </c>
      <c r="O51" s="2981">
        <v>232000</v>
      </c>
      <c r="P51" s="2981">
        <v>956.22</v>
      </c>
      <c r="Q51" s="2981">
        <v>5990.06</v>
      </c>
      <c r="R51" s="2981">
        <v>0</v>
      </c>
      <c r="S51" s="2981" t="s">
        <v>3216</v>
      </c>
      <c r="T51" s="2981" t="s">
        <v>3300</v>
      </c>
    </row>
    <row r="52" spans="1:20" ht="19.5" customHeight="1">
      <c r="A52" s="2981" t="s">
        <v>3378</v>
      </c>
      <c r="B52" s="2981" t="s">
        <v>3185</v>
      </c>
      <c r="C52" s="2981" t="s">
        <v>3186</v>
      </c>
      <c r="D52" s="2981" t="s">
        <v>1327</v>
      </c>
      <c r="E52" s="2981" t="s">
        <v>3378</v>
      </c>
      <c r="F52" s="2981" t="s">
        <v>3187</v>
      </c>
      <c r="G52" s="2981">
        <v>18061</v>
      </c>
      <c r="H52" s="2981" t="s">
        <v>3379</v>
      </c>
      <c r="I52" s="2981">
        <v>161962.20000000001</v>
      </c>
      <c r="J52" s="2981">
        <v>444645.7</v>
      </c>
      <c r="K52" s="2981" t="s">
        <v>3380</v>
      </c>
      <c r="L52" s="2981" t="s">
        <v>3381</v>
      </c>
      <c r="M52" s="2981" t="s">
        <v>3382</v>
      </c>
      <c r="N52" s="2981" t="s">
        <v>3383</v>
      </c>
      <c r="O52" s="2981">
        <v>245000</v>
      </c>
      <c r="P52" s="2981">
        <v>1008.47</v>
      </c>
      <c r="Q52" s="2981">
        <v>5510</v>
      </c>
      <c r="R52" s="2981">
        <v>0</v>
      </c>
      <c r="S52" s="2981" t="s">
        <v>3216</v>
      </c>
      <c r="T52" s="2981" t="s">
        <v>3300</v>
      </c>
    </row>
    <row r="53" spans="1:20" ht="19.5" customHeight="1">
      <c r="A53" s="2981" t="s">
        <v>3384</v>
      </c>
      <c r="B53" s="2981" t="s">
        <v>3185</v>
      </c>
      <c r="C53" s="2981" t="s">
        <v>3196</v>
      </c>
      <c r="D53" s="2981" t="s">
        <v>1327</v>
      </c>
      <c r="E53" s="2981" t="s">
        <v>3384</v>
      </c>
      <c r="F53" s="2981" t="s">
        <v>3187</v>
      </c>
      <c r="G53" s="2981">
        <v>18052</v>
      </c>
      <c r="H53" s="2981" t="s">
        <v>3198</v>
      </c>
      <c r="I53" s="2981">
        <v>150048</v>
      </c>
      <c r="J53" s="2981">
        <v>268476.09999999998</v>
      </c>
      <c r="K53" s="2981" t="s">
        <v>3385</v>
      </c>
      <c r="L53" s="2981" t="s">
        <v>3386</v>
      </c>
      <c r="M53" s="2981" t="s">
        <v>3387</v>
      </c>
      <c r="N53" s="2981" t="s">
        <v>3388</v>
      </c>
      <c r="O53" s="2981">
        <v>215024</v>
      </c>
      <c r="P53" s="2981">
        <v>955.36</v>
      </c>
      <c r="Q53" s="2981">
        <v>8009.06</v>
      </c>
      <c r="R53" s="2981">
        <v>0</v>
      </c>
      <c r="S53" s="2981" t="s">
        <v>3216</v>
      </c>
      <c r="T53" s="2981" t="s">
        <v>3194</v>
      </c>
    </row>
    <row r="54" spans="1:20" ht="19.5" customHeight="1">
      <c r="A54" s="2981" t="s">
        <v>3389</v>
      </c>
      <c r="B54" s="2981" t="s">
        <v>3185</v>
      </c>
      <c r="C54" s="2981" t="s">
        <v>3196</v>
      </c>
      <c r="D54" s="2981" t="s">
        <v>1327</v>
      </c>
      <c r="E54" s="2981" t="s">
        <v>3389</v>
      </c>
      <c r="F54" s="2981" t="s">
        <v>3197</v>
      </c>
      <c r="G54" s="2981">
        <v>18042</v>
      </c>
      <c r="H54" s="2981" t="s">
        <v>3198</v>
      </c>
      <c r="I54" s="2981">
        <v>184589.8</v>
      </c>
      <c r="J54" s="2981">
        <v>346351.7</v>
      </c>
      <c r="K54" s="2981" t="s">
        <v>3390</v>
      </c>
      <c r="L54" s="2981" t="s">
        <v>3391</v>
      </c>
      <c r="M54" s="2981" t="s">
        <v>3392</v>
      </c>
      <c r="N54" s="2981" t="s">
        <v>3331</v>
      </c>
      <c r="O54" s="2981">
        <v>221000</v>
      </c>
      <c r="P54" s="2981">
        <v>798.17</v>
      </c>
      <c r="Q54" s="2981">
        <v>6380.8</v>
      </c>
      <c r="R54" s="2981">
        <v>16.010000000000002</v>
      </c>
      <c r="S54" s="2981" t="s">
        <v>3216</v>
      </c>
      <c r="T54" s="2981" t="s">
        <v>3300</v>
      </c>
    </row>
    <row r="55" spans="1:20" ht="19.5" customHeight="1">
      <c r="A55" s="2981" t="s">
        <v>3393</v>
      </c>
      <c r="B55" s="2981" t="s">
        <v>3185</v>
      </c>
      <c r="C55" s="2981" t="s">
        <v>3186</v>
      </c>
      <c r="D55" s="2981" t="s">
        <v>1327</v>
      </c>
      <c r="E55" s="2981" t="s">
        <v>3393</v>
      </c>
      <c r="F55" s="2981" t="s">
        <v>3197</v>
      </c>
      <c r="G55" s="2981">
        <v>18041</v>
      </c>
      <c r="H55" s="2981" t="s">
        <v>3188</v>
      </c>
      <c r="I55" s="2981">
        <v>187009.5</v>
      </c>
      <c r="J55" s="2981">
        <v>359160.7</v>
      </c>
      <c r="K55" s="2981" t="s">
        <v>3275</v>
      </c>
      <c r="L55" s="2981" t="s">
        <v>3391</v>
      </c>
      <c r="M55" s="2981" t="s">
        <v>3392</v>
      </c>
      <c r="N55" s="2981" t="s">
        <v>3394</v>
      </c>
      <c r="O55" s="2981">
        <v>182000</v>
      </c>
      <c r="P55" s="2981">
        <v>648.80999999999995</v>
      </c>
      <c r="Q55" s="2981">
        <v>5067.3599999999997</v>
      </c>
      <c r="R55" s="2981">
        <v>17.850000000000001</v>
      </c>
      <c r="S55" s="2981" t="s">
        <v>3216</v>
      </c>
      <c r="T55" s="2981" t="s">
        <v>3300</v>
      </c>
    </row>
    <row r="56" spans="1:20" ht="19.5" customHeight="1">
      <c r="A56" s="2981" t="s">
        <v>3395</v>
      </c>
      <c r="B56" s="2981" t="s">
        <v>3185</v>
      </c>
      <c r="C56" s="2981" t="s">
        <v>3186</v>
      </c>
      <c r="D56" s="2981" t="s">
        <v>1327</v>
      </c>
      <c r="E56" s="2981" t="s">
        <v>3395</v>
      </c>
      <c r="F56" s="2981" t="s">
        <v>3187</v>
      </c>
      <c r="G56" s="2981">
        <v>18040</v>
      </c>
      <c r="H56" s="2981" t="s">
        <v>3188</v>
      </c>
      <c r="I56" s="2981">
        <v>200567.9</v>
      </c>
      <c r="J56" s="2981">
        <v>387676.7</v>
      </c>
      <c r="K56" s="2981" t="s">
        <v>3275</v>
      </c>
      <c r="L56" s="2981" t="s">
        <v>3391</v>
      </c>
      <c r="M56" s="2981" t="s">
        <v>3392</v>
      </c>
      <c r="N56" s="2981" t="s">
        <v>3396</v>
      </c>
      <c r="O56" s="2981">
        <v>158948</v>
      </c>
      <c r="P56" s="2981">
        <v>528.33000000000004</v>
      </c>
      <c r="Q56" s="2981">
        <v>4100.01</v>
      </c>
      <c r="R56" s="2981">
        <v>0</v>
      </c>
      <c r="S56" s="2981" t="s">
        <v>3216</v>
      </c>
      <c r="T56" s="2981" t="s">
        <v>3300</v>
      </c>
    </row>
    <row r="57" spans="1:20" ht="19.5" customHeight="1">
      <c r="A57" s="2981" t="s">
        <v>3397</v>
      </c>
      <c r="B57" s="2981" t="s">
        <v>3185</v>
      </c>
      <c r="C57" s="2981" t="s">
        <v>3186</v>
      </c>
      <c r="D57" s="2981" t="s">
        <v>1327</v>
      </c>
      <c r="E57" s="2981" t="s">
        <v>3397</v>
      </c>
      <c r="F57" s="2981" t="s">
        <v>3187</v>
      </c>
      <c r="G57" s="2981">
        <v>18035</v>
      </c>
      <c r="H57" s="2981" t="s">
        <v>3398</v>
      </c>
      <c r="I57" s="2981">
        <v>169301.1</v>
      </c>
      <c r="J57" s="2981">
        <v>329346.5</v>
      </c>
      <c r="K57" s="2981" t="s">
        <v>3275</v>
      </c>
      <c r="L57" s="2981" t="s">
        <v>3399</v>
      </c>
      <c r="M57" s="2981" t="s">
        <v>3400</v>
      </c>
      <c r="N57" s="2981" t="s">
        <v>3401</v>
      </c>
      <c r="O57" s="2981">
        <v>88714</v>
      </c>
      <c r="P57" s="2981">
        <v>349.33</v>
      </c>
      <c r="Q57" s="2981">
        <v>2693.63</v>
      </c>
      <c r="R57" s="2981">
        <v>0</v>
      </c>
      <c r="S57" s="2981" t="s">
        <v>3216</v>
      </c>
      <c r="T57" s="2981" t="s">
        <v>3259</v>
      </c>
    </row>
    <row r="58" spans="1:20" ht="19.5" customHeight="1">
      <c r="A58" s="2981" t="s">
        <v>3402</v>
      </c>
      <c r="B58" s="2981" t="s">
        <v>3185</v>
      </c>
      <c r="C58" s="2981" t="s">
        <v>3186</v>
      </c>
      <c r="D58" s="2981" t="s">
        <v>1327</v>
      </c>
      <c r="E58" s="2981" t="s">
        <v>3402</v>
      </c>
      <c r="F58" s="2981" t="s">
        <v>3197</v>
      </c>
      <c r="G58" s="2981">
        <v>18028</v>
      </c>
      <c r="H58" s="2981" t="s">
        <v>3403</v>
      </c>
      <c r="I58" s="2981">
        <v>148329.5</v>
      </c>
      <c r="J58" s="2981">
        <v>384021.6</v>
      </c>
      <c r="K58" s="2981" t="s">
        <v>3404</v>
      </c>
      <c r="L58" s="2981" t="s">
        <v>3405</v>
      </c>
      <c r="M58" s="2981" t="s">
        <v>3406</v>
      </c>
      <c r="N58" s="2981" t="s">
        <v>3407</v>
      </c>
      <c r="O58" s="2981">
        <v>350000</v>
      </c>
      <c r="P58" s="2981">
        <v>1573.07</v>
      </c>
      <c r="Q58" s="2981">
        <v>9114.06</v>
      </c>
      <c r="R58" s="2981">
        <v>30.21</v>
      </c>
      <c r="S58" s="2981" t="s">
        <v>3216</v>
      </c>
      <c r="T58" s="2981" t="s">
        <v>3300</v>
      </c>
    </row>
    <row r="59" spans="1:20" ht="19.5" customHeight="1">
      <c r="A59" s="2981" t="s">
        <v>3408</v>
      </c>
      <c r="B59" s="2981" t="s">
        <v>3185</v>
      </c>
      <c r="C59" s="2981" t="s">
        <v>3186</v>
      </c>
      <c r="D59" s="2981" t="s">
        <v>1327</v>
      </c>
      <c r="E59" s="2981" t="s">
        <v>3408</v>
      </c>
      <c r="F59" s="2981" t="s">
        <v>3187</v>
      </c>
      <c r="G59" s="2981">
        <v>18026</v>
      </c>
      <c r="H59" s="2981" t="s">
        <v>3409</v>
      </c>
      <c r="I59" s="2981">
        <v>227465.5</v>
      </c>
      <c r="J59" s="2981">
        <v>237570.7</v>
      </c>
      <c r="K59" s="2981" t="s">
        <v>3410</v>
      </c>
      <c r="L59" s="2981" t="s">
        <v>3411</v>
      </c>
      <c r="M59" s="2981" t="s">
        <v>3412</v>
      </c>
      <c r="N59" s="2981" t="s">
        <v>3413</v>
      </c>
      <c r="O59" s="2981">
        <v>82234</v>
      </c>
      <c r="P59" s="2981">
        <v>241.02</v>
      </c>
      <c r="Q59" s="2981">
        <v>3461.44</v>
      </c>
      <c r="R59" s="2981">
        <v>0</v>
      </c>
      <c r="S59" s="2981" t="s">
        <v>3216</v>
      </c>
      <c r="T59" s="2981" t="s">
        <v>3259</v>
      </c>
    </row>
    <row r="60" spans="1:20" ht="19.5" customHeight="1">
      <c r="A60" s="2981" t="s">
        <v>3414</v>
      </c>
      <c r="B60" s="2981" t="s">
        <v>3185</v>
      </c>
      <c r="C60" s="2981" t="s">
        <v>3186</v>
      </c>
      <c r="D60" s="2981" t="s">
        <v>1327</v>
      </c>
      <c r="E60" s="2981" t="s">
        <v>3414</v>
      </c>
      <c r="F60" s="2981" t="s">
        <v>3187</v>
      </c>
      <c r="G60" s="2981">
        <v>18027</v>
      </c>
      <c r="H60" s="2981" t="s">
        <v>3415</v>
      </c>
      <c r="I60" s="2981">
        <v>279131.40000000002</v>
      </c>
      <c r="J60" s="2981">
        <v>267038</v>
      </c>
      <c r="K60" s="2981" t="s">
        <v>3416</v>
      </c>
      <c r="L60" s="2981" t="s">
        <v>3411</v>
      </c>
      <c r="M60" s="2981" t="s">
        <v>3412</v>
      </c>
      <c r="N60" s="2981" t="s">
        <v>3413</v>
      </c>
      <c r="O60" s="2981">
        <v>97555</v>
      </c>
      <c r="P60" s="2981">
        <v>233</v>
      </c>
      <c r="Q60" s="2981">
        <v>3653.23</v>
      </c>
      <c r="R60" s="2981">
        <v>0</v>
      </c>
      <c r="S60" s="2981" t="s">
        <v>3216</v>
      </c>
      <c r="T60" s="2981" t="s">
        <v>3259</v>
      </c>
    </row>
    <row r="61" spans="1:20" ht="19.5" customHeight="1">
      <c r="A61" s="2981" t="s">
        <v>3417</v>
      </c>
      <c r="B61" s="2981" t="s">
        <v>3185</v>
      </c>
      <c r="C61" s="2981" t="s">
        <v>3196</v>
      </c>
      <c r="D61" s="2981" t="s">
        <v>1327</v>
      </c>
      <c r="E61" s="2981" t="s">
        <v>3417</v>
      </c>
      <c r="F61" s="2981" t="s">
        <v>3197</v>
      </c>
      <c r="G61" s="2981">
        <v>18021</v>
      </c>
      <c r="H61" s="2981" t="s">
        <v>3198</v>
      </c>
      <c r="I61" s="2981">
        <v>130604</v>
      </c>
      <c r="J61" s="2981">
        <v>261208</v>
      </c>
      <c r="K61" s="2981" t="s">
        <v>3255</v>
      </c>
      <c r="L61" s="2981" t="s">
        <v>3418</v>
      </c>
      <c r="M61" s="2981" t="s">
        <v>3419</v>
      </c>
      <c r="N61" s="2981" t="s">
        <v>3420</v>
      </c>
      <c r="O61" s="2981">
        <v>225000</v>
      </c>
      <c r="P61" s="2981">
        <v>1148.51</v>
      </c>
      <c r="Q61" s="2981">
        <v>8613.81</v>
      </c>
      <c r="R61" s="2981">
        <v>7.67</v>
      </c>
      <c r="S61" s="2981" t="s">
        <v>3216</v>
      </c>
      <c r="T61" s="2981" t="s">
        <v>3194</v>
      </c>
    </row>
    <row r="62" spans="1:20" ht="19.5" customHeight="1">
      <c r="A62" s="2981" t="s">
        <v>3421</v>
      </c>
      <c r="B62" s="2981" t="s">
        <v>3185</v>
      </c>
      <c r="C62" s="2981" t="s">
        <v>3196</v>
      </c>
      <c r="D62" s="2981" t="s">
        <v>1327</v>
      </c>
      <c r="E62" s="2981" t="s">
        <v>3421</v>
      </c>
      <c r="F62" s="2981" t="s">
        <v>3197</v>
      </c>
      <c r="G62" s="2981">
        <v>18022</v>
      </c>
      <c r="H62" s="2981" t="s">
        <v>3198</v>
      </c>
      <c r="I62" s="2981">
        <v>73614</v>
      </c>
      <c r="J62" s="2981">
        <v>147228</v>
      </c>
      <c r="K62" s="2981" t="s">
        <v>3255</v>
      </c>
      <c r="L62" s="2981" t="s">
        <v>3418</v>
      </c>
      <c r="M62" s="2981" t="s">
        <v>3419</v>
      </c>
      <c r="N62" s="2981" t="s">
        <v>3420</v>
      </c>
      <c r="O62" s="2981">
        <v>129000</v>
      </c>
      <c r="P62" s="2981">
        <v>1168.26</v>
      </c>
      <c r="Q62" s="2981">
        <v>8761.92</v>
      </c>
      <c r="R62" s="2981">
        <v>9.52</v>
      </c>
      <c r="S62" s="2981" t="s">
        <v>3216</v>
      </c>
      <c r="T62" s="2981" t="s">
        <v>3194</v>
      </c>
    </row>
    <row r="63" spans="1:20" ht="19.5" customHeight="1">
      <c r="A63" s="2981" t="s">
        <v>3422</v>
      </c>
      <c r="B63" s="2981" t="s">
        <v>3185</v>
      </c>
      <c r="C63" s="2981" t="s">
        <v>3196</v>
      </c>
      <c r="D63" s="2981" t="s">
        <v>1327</v>
      </c>
      <c r="E63" s="2981" t="s">
        <v>3422</v>
      </c>
      <c r="F63" s="2981" t="s">
        <v>3197</v>
      </c>
      <c r="G63" s="2981">
        <v>18017</v>
      </c>
      <c r="H63" s="2981" t="s">
        <v>3198</v>
      </c>
      <c r="I63" s="2981">
        <v>182788.7</v>
      </c>
      <c r="J63" s="2981">
        <v>365577.4</v>
      </c>
      <c r="K63" s="2981" t="s">
        <v>3255</v>
      </c>
      <c r="L63" s="2981" t="s">
        <v>3423</v>
      </c>
      <c r="M63" s="2981" t="s">
        <v>3424</v>
      </c>
      <c r="N63" s="2981" t="s">
        <v>3208</v>
      </c>
      <c r="O63" s="2981">
        <v>231000</v>
      </c>
      <c r="P63" s="2981">
        <v>842.5</v>
      </c>
      <c r="Q63" s="2981">
        <v>6318.77</v>
      </c>
      <c r="R63" s="2981">
        <v>40.42</v>
      </c>
      <c r="S63" s="2981" t="s">
        <v>3216</v>
      </c>
      <c r="T63" s="2981" t="s">
        <v>3203</v>
      </c>
    </row>
    <row r="64" spans="1:20" ht="19.5" customHeight="1">
      <c r="A64" s="2981" t="s">
        <v>3425</v>
      </c>
      <c r="B64" s="2981" t="s">
        <v>3185</v>
      </c>
      <c r="C64" s="2981" t="s">
        <v>3186</v>
      </c>
      <c r="D64" s="2981" t="s">
        <v>1327</v>
      </c>
      <c r="E64" s="2981" t="s">
        <v>3425</v>
      </c>
      <c r="F64" s="2981" t="s">
        <v>3197</v>
      </c>
      <c r="G64" s="2981">
        <v>18012</v>
      </c>
      <c r="H64" s="2981" t="s">
        <v>3426</v>
      </c>
      <c r="I64" s="2981">
        <v>357563.2</v>
      </c>
      <c r="J64" s="2981">
        <v>529668.69999999995</v>
      </c>
      <c r="K64" s="2981" t="s">
        <v>3427</v>
      </c>
      <c r="L64" s="2981" t="s">
        <v>3219</v>
      </c>
      <c r="M64" s="2981" t="s">
        <v>3428</v>
      </c>
      <c r="N64" s="2981" t="s">
        <v>3429</v>
      </c>
      <c r="O64" s="2981">
        <v>143000</v>
      </c>
      <c r="P64" s="2981">
        <v>266.62</v>
      </c>
      <c r="Q64" s="2981">
        <v>2699.8</v>
      </c>
      <c r="R64" s="2981">
        <v>0.61</v>
      </c>
      <c r="S64" s="2981" t="s">
        <v>3216</v>
      </c>
      <c r="T64" s="2981" t="s">
        <v>3300</v>
      </c>
    </row>
    <row r="65" spans="1:20" ht="19.5" customHeight="1">
      <c r="A65" s="2981" t="s">
        <v>3430</v>
      </c>
      <c r="B65" s="2981" t="s">
        <v>3185</v>
      </c>
      <c r="C65" s="2981" t="s">
        <v>3186</v>
      </c>
      <c r="D65" s="2981" t="s">
        <v>1327</v>
      </c>
      <c r="E65" s="2981" t="s">
        <v>3430</v>
      </c>
      <c r="F65" s="2981" t="s">
        <v>3197</v>
      </c>
      <c r="G65" s="2981">
        <v>18011</v>
      </c>
      <c r="H65" s="2981" t="s">
        <v>3431</v>
      </c>
      <c r="I65" s="2981">
        <v>265302.59999999998</v>
      </c>
      <c r="J65" s="2981">
        <v>295167.8</v>
      </c>
      <c r="K65" s="2981" t="s">
        <v>3432</v>
      </c>
      <c r="L65" s="2981" t="s">
        <v>3219</v>
      </c>
      <c r="M65" s="2981" t="s">
        <v>3428</v>
      </c>
      <c r="N65" s="2981" t="s">
        <v>3429</v>
      </c>
      <c r="O65" s="2981">
        <v>90500</v>
      </c>
      <c r="P65" s="2981">
        <v>227.41</v>
      </c>
      <c r="Q65" s="2981">
        <v>3066.05</v>
      </c>
      <c r="R65" s="2981">
        <v>0.98</v>
      </c>
      <c r="S65" s="2981" t="s">
        <v>3216</v>
      </c>
      <c r="T65" s="2981" t="s">
        <v>3300</v>
      </c>
    </row>
    <row r="66" spans="1:20" ht="19.5" customHeight="1">
      <c r="A66" s="2981" t="s">
        <v>3433</v>
      </c>
      <c r="B66" s="2981" t="s">
        <v>3185</v>
      </c>
      <c r="C66" s="2981" t="s">
        <v>3196</v>
      </c>
      <c r="D66" s="2981" t="s">
        <v>1327</v>
      </c>
      <c r="E66" s="2981" t="s">
        <v>3433</v>
      </c>
      <c r="F66" s="2981" t="s">
        <v>3197</v>
      </c>
      <c r="G66" s="2981">
        <v>17155</v>
      </c>
      <c r="H66" s="2981" t="s">
        <v>3198</v>
      </c>
      <c r="I66" s="2981">
        <v>35110</v>
      </c>
      <c r="J66" s="2981">
        <v>70220</v>
      </c>
      <c r="K66" s="2981" t="s">
        <v>3255</v>
      </c>
      <c r="L66" s="2981" t="s">
        <v>3434</v>
      </c>
      <c r="M66" s="2981" t="s">
        <v>3435</v>
      </c>
      <c r="N66" s="2981" t="s">
        <v>3436</v>
      </c>
      <c r="O66" s="2981">
        <v>80000</v>
      </c>
      <c r="P66" s="2981">
        <v>1519.04</v>
      </c>
      <c r="Q66" s="2981">
        <v>11392.77</v>
      </c>
      <c r="R66" s="2981">
        <v>42.41</v>
      </c>
      <c r="S66" s="2981" t="s">
        <v>3193</v>
      </c>
      <c r="T66" s="2981" t="s">
        <v>3259</v>
      </c>
    </row>
    <row r="67" spans="1:20" ht="19.5" customHeight="1">
      <c r="A67" s="2981" t="s">
        <v>3437</v>
      </c>
      <c r="B67" s="2981" t="s">
        <v>3185</v>
      </c>
      <c r="C67" s="2981" t="s">
        <v>3196</v>
      </c>
      <c r="D67" s="2981" t="s">
        <v>1327</v>
      </c>
      <c r="E67" s="2981" t="s">
        <v>3438</v>
      </c>
      <c r="F67" s="2981" t="s">
        <v>3187</v>
      </c>
      <c r="G67" s="2981">
        <v>17148</v>
      </c>
      <c r="H67" s="2981" t="s">
        <v>3198</v>
      </c>
      <c r="I67" s="2981">
        <v>19222.2</v>
      </c>
      <c r="J67" s="2981">
        <v>21144.42</v>
      </c>
      <c r="K67" s="2981" t="s">
        <v>3432</v>
      </c>
      <c r="L67" s="2981" t="s">
        <v>3439</v>
      </c>
      <c r="M67" s="2981" t="s">
        <v>3440</v>
      </c>
      <c r="N67" s="2981" t="s">
        <v>3441</v>
      </c>
      <c r="O67" s="2981">
        <v>17942</v>
      </c>
      <c r="P67" s="2981">
        <v>622.27</v>
      </c>
      <c r="Q67" s="2981">
        <v>8485.4500000000007</v>
      </c>
      <c r="R67" s="2981">
        <v>0</v>
      </c>
      <c r="S67" s="2981" t="s">
        <v>3193</v>
      </c>
      <c r="T67" s="2981" t="s">
        <v>3300</v>
      </c>
    </row>
    <row r="68" spans="1:20" ht="19.5" customHeight="1">
      <c r="A68" s="2981" t="s">
        <v>3442</v>
      </c>
      <c r="B68" s="2981" t="s">
        <v>3185</v>
      </c>
      <c r="C68" s="2981" t="s">
        <v>3186</v>
      </c>
      <c r="D68" s="2981" t="s">
        <v>1327</v>
      </c>
      <c r="E68" s="2981" t="s">
        <v>3442</v>
      </c>
      <c r="F68" s="2981" t="s">
        <v>3187</v>
      </c>
      <c r="G68" s="2981">
        <v>17140</v>
      </c>
      <c r="H68" s="2981" t="s">
        <v>3398</v>
      </c>
      <c r="I68" s="2981">
        <v>78686.399999999994</v>
      </c>
      <c r="J68" s="2981">
        <v>309047.8</v>
      </c>
      <c r="K68" s="2981" t="s">
        <v>3443</v>
      </c>
      <c r="L68" s="2981" t="s">
        <v>3444</v>
      </c>
      <c r="M68" s="2981" t="s">
        <v>3445</v>
      </c>
      <c r="N68" s="2981" t="s">
        <v>3446</v>
      </c>
      <c r="O68" s="2981">
        <v>138505</v>
      </c>
      <c r="P68" s="2981">
        <v>1173.48</v>
      </c>
      <c r="Q68" s="2981">
        <v>4481.67</v>
      </c>
      <c r="R68" s="2981">
        <v>0</v>
      </c>
      <c r="S68" s="2981" t="s">
        <v>3216</v>
      </c>
      <c r="T68" s="2981" t="s">
        <v>3194</v>
      </c>
    </row>
    <row r="69" spans="1:20" ht="19.5" customHeight="1">
      <c r="A69" s="2981" t="s">
        <v>3447</v>
      </c>
      <c r="B69" s="2981" t="s">
        <v>3185</v>
      </c>
      <c r="C69" s="2981" t="s">
        <v>3186</v>
      </c>
      <c r="D69" s="2981" t="s">
        <v>1327</v>
      </c>
      <c r="E69" s="2981" t="s">
        <v>3447</v>
      </c>
      <c r="F69" s="2981" t="s">
        <v>3187</v>
      </c>
      <c r="G69" s="2981">
        <v>17136</v>
      </c>
      <c r="H69" s="2981" t="s">
        <v>3254</v>
      </c>
      <c r="I69" s="2981">
        <v>218505.2</v>
      </c>
      <c r="J69" s="2981">
        <v>742152.3</v>
      </c>
      <c r="K69" s="2981" t="s">
        <v>3448</v>
      </c>
      <c r="L69" s="2981" t="s">
        <v>3449</v>
      </c>
      <c r="M69" s="2981" t="s">
        <v>3450</v>
      </c>
      <c r="N69" s="2981" t="s">
        <v>3451</v>
      </c>
      <c r="O69" s="2981">
        <v>313926</v>
      </c>
      <c r="P69" s="2981">
        <v>957.8</v>
      </c>
      <c r="Q69" s="2981">
        <v>4229.93</v>
      </c>
      <c r="R69" s="2981">
        <v>0</v>
      </c>
      <c r="S69" s="2981" t="s">
        <v>3216</v>
      </c>
      <c r="T69" s="2981" t="s">
        <v>3194</v>
      </c>
    </row>
    <row r="70" spans="1:20" ht="19.5" customHeight="1">
      <c r="A70" s="2981" t="s">
        <v>3452</v>
      </c>
      <c r="B70" s="2981" t="s">
        <v>3185</v>
      </c>
      <c r="C70" s="2981" t="s">
        <v>3186</v>
      </c>
      <c r="D70" s="2981" t="s">
        <v>1327</v>
      </c>
      <c r="E70" s="2981" t="s">
        <v>3452</v>
      </c>
      <c r="F70" s="2981" t="s">
        <v>3187</v>
      </c>
      <c r="G70" s="2981">
        <v>17133</v>
      </c>
      <c r="H70" s="2981" t="s">
        <v>3453</v>
      </c>
      <c r="I70" s="2981">
        <v>219700</v>
      </c>
      <c r="J70" s="2981">
        <v>263640</v>
      </c>
      <c r="K70" s="2981" t="s">
        <v>3302</v>
      </c>
      <c r="L70" s="2981" t="s">
        <v>3454</v>
      </c>
      <c r="M70" s="2981" t="s">
        <v>3455</v>
      </c>
      <c r="N70" s="2981" t="s">
        <v>3456</v>
      </c>
      <c r="O70" s="2981">
        <v>54595</v>
      </c>
      <c r="P70" s="2981">
        <v>165.67</v>
      </c>
      <c r="Q70" s="2981">
        <v>2070.8200000000002</v>
      </c>
      <c r="R70" s="2981">
        <v>0</v>
      </c>
      <c r="S70" s="2981" t="s">
        <v>3216</v>
      </c>
      <c r="T70" s="2981" t="s">
        <v>3203</v>
      </c>
    </row>
    <row r="71" spans="1:20" ht="19.5" customHeight="1">
      <c r="A71" s="2981" t="s">
        <v>3457</v>
      </c>
      <c r="B71" s="2981" t="s">
        <v>3185</v>
      </c>
      <c r="C71" s="2981" t="s">
        <v>3186</v>
      </c>
      <c r="D71" s="2981" t="s">
        <v>1327</v>
      </c>
      <c r="E71" s="2981" t="s">
        <v>3457</v>
      </c>
      <c r="F71" s="2981" t="s">
        <v>3197</v>
      </c>
      <c r="G71" s="2981">
        <v>17130</v>
      </c>
      <c r="H71" s="2981" t="s">
        <v>3254</v>
      </c>
      <c r="I71" s="2981">
        <v>107434.1</v>
      </c>
      <c r="J71" s="2981">
        <v>391250.6</v>
      </c>
      <c r="K71" s="2981" t="s">
        <v>3458</v>
      </c>
      <c r="L71" s="2981" t="s">
        <v>3459</v>
      </c>
      <c r="M71" s="2981" t="s">
        <v>3460</v>
      </c>
      <c r="N71" s="2981" t="s">
        <v>3247</v>
      </c>
      <c r="O71" s="2981">
        <v>176000</v>
      </c>
      <c r="P71" s="2981">
        <v>1092.1400000000001</v>
      </c>
      <c r="Q71" s="2981">
        <v>4498.3900000000003</v>
      </c>
      <c r="R71" s="2981">
        <v>0.63</v>
      </c>
      <c r="S71" s="2981" t="s">
        <v>3216</v>
      </c>
      <c r="T71" s="2981" t="s">
        <v>3194</v>
      </c>
    </row>
    <row r="72" spans="1:20" ht="19.5" customHeight="1">
      <c r="A72" s="2981" t="s">
        <v>3461</v>
      </c>
      <c r="B72" s="2981" t="s">
        <v>3185</v>
      </c>
      <c r="C72" s="2981" t="s">
        <v>3196</v>
      </c>
      <c r="D72" s="2981" t="s">
        <v>1327</v>
      </c>
      <c r="E72" s="2981" t="s">
        <v>3461</v>
      </c>
      <c r="F72" s="2981" t="s">
        <v>3197</v>
      </c>
      <c r="G72" s="2981">
        <v>17125</v>
      </c>
      <c r="H72" s="2981" t="s">
        <v>3198</v>
      </c>
      <c r="I72" s="2981">
        <v>64683.1</v>
      </c>
      <c r="J72" s="2981">
        <v>112489.5</v>
      </c>
      <c r="K72" s="2981" t="s">
        <v>3357</v>
      </c>
      <c r="L72" s="2981" t="s">
        <v>3462</v>
      </c>
      <c r="M72" s="2981" t="s">
        <v>3463</v>
      </c>
      <c r="N72" s="2981" t="s">
        <v>3464</v>
      </c>
      <c r="O72" s="2981">
        <v>90000</v>
      </c>
      <c r="P72" s="2981">
        <v>927.6</v>
      </c>
      <c r="Q72" s="2981">
        <v>8000.75</v>
      </c>
      <c r="R72" s="2981">
        <v>8.1199999999999992</v>
      </c>
      <c r="S72" s="2981" t="s">
        <v>3216</v>
      </c>
      <c r="T72" s="2981" t="s">
        <v>3259</v>
      </c>
    </row>
    <row r="73" spans="1:20" ht="19.5" customHeight="1">
      <c r="A73" s="2981" t="s">
        <v>3465</v>
      </c>
      <c r="B73" s="2981" t="s">
        <v>3185</v>
      </c>
      <c r="C73" s="2981" t="s">
        <v>3186</v>
      </c>
      <c r="D73" s="2981" t="s">
        <v>1327</v>
      </c>
      <c r="E73" s="2981" t="s">
        <v>3465</v>
      </c>
      <c r="F73" s="2981" t="s">
        <v>3197</v>
      </c>
      <c r="G73" s="2981">
        <v>17127</v>
      </c>
      <c r="H73" s="2981" t="s">
        <v>3254</v>
      </c>
      <c r="I73" s="2981">
        <v>116702</v>
      </c>
      <c r="J73" s="2981">
        <v>402143.4</v>
      </c>
      <c r="K73" s="2981" t="s">
        <v>3448</v>
      </c>
      <c r="L73" s="2981" t="s">
        <v>3462</v>
      </c>
      <c r="M73" s="2981" t="s">
        <v>3463</v>
      </c>
      <c r="N73" s="2981" t="s">
        <v>3466</v>
      </c>
      <c r="O73" s="2981">
        <v>178000</v>
      </c>
      <c r="P73" s="2981">
        <v>1016.83</v>
      </c>
      <c r="Q73" s="2981">
        <v>4426.2700000000004</v>
      </c>
      <c r="R73" s="2981">
        <v>0.77</v>
      </c>
      <c r="S73" s="2981" t="s">
        <v>3216</v>
      </c>
      <c r="T73" s="2981" t="s">
        <v>3194</v>
      </c>
    </row>
    <row r="74" spans="1:20" ht="19.5" customHeight="1">
      <c r="A74" s="2981" t="s">
        <v>3467</v>
      </c>
      <c r="B74" s="2981" t="s">
        <v>3185</v>
      </c>
      <c r="C74" s="2981" t="s">
        <v>3186</v>
      </c>
      <c r="D74" s="2981" t="s">
        <v>1327</v>
      </c>
      <c r="E74" s="2981" t="s">
        <v>3467</v>
      </c>
      <c r="F74" s="2981" t="s">
        <v>3197</v>
      </c>
      <c r="G74" s="2981">
        <v>17128</v>
      </c>
      <c r="H74" s="2981" t="s">
        <v>3254</v>
      </c>
      <c r="I74" s="2981">
        <v>152536.4</v>
      </c>
      <c r="J74" s="2981">
        <v>513066.3</v>
      </c>
      <c r="K74" s="2981" t="s">
        <v>3448</v>
      </c>
      <c r="L74" s="2981" t="s">
        <v>3462</v>
      </c>
      <c r="M74" s="2981" t="s">
        <v>3463</v>
      </c>
      <c r="N74" s="2981" t="s">
        <v>3468</v>
      </c>
      <c r="O74" s="2981">
        <v>229000</v>
      </c>
      <c r="P74" s="2981">
        <v>1000.85</v>
      </c>
      <c r="Q74" s="2981">
        <v>4463.3500000000004</v>
      </c>
      <c r="R74" s="2981">
        <v>0.6</v>
      </c>
      <c r="S74" s="2981" t="s">
        <v>3216</v>
      </c>
      <c r="T74" s="2981" t="s">
        <v>3194</v>
      </c>
    </row>
    <row r="75" spans="1:20" ht="19.5" customHeight="1">
      <c r="A75" s="2981" t="s">
        <v>3469</v>
      </c>
      <c r="B75" s="2981" t="s">
        <v>3185</v>
      </c>
      <c r="C75" s="2981" t="s">
        <v>3196</v>
      </c>
      <c r="D75" s="2981" t="s">
        <v>1327</v>
      </c>
      <c r="E75" s="2981" t="s">
        <v>3469</v>
      </c>
      <c r="F75" s="2981" t="s">
        <v>3187</v>
      </c>
      <c r="G75" s="2981">
        <v>17126</v>
      </c>
      <c r="H75" s="2981" t="s">
        <v>3198</v>
      </c>
      <c r="I75" s="2981">
        <v>173473.6</v>
      </c>
      <c r="J75" s="2981">
        <v>312252.5</v>
      </c>
      <c r="K75" s="2981" t="s">
        <v>3470</v>
      </c>
      <c r="L75" s="2981" t="s">
        <v>3462</v>
      </c>
      <c r="M75" s="2981" t="s">
        <v>3463</v>
      </c>
      <c r="N75" s="2981" t="s">
        <v>3420</v>
      </c>
      <c r="O75" s="2981">
        <v>234190</v>
      </c>
      <c r="P75" s="2981">
        <v>900</v>
      </c>
      <c r="Q75" s="2981">
        <v>7500.02</v>
      </c>
      <c r="R75" s="2981">
        <v>0</v>
      </c>
      <c r="S75" s="2981" t="s">
        <v>3216</v>
      </c>
      <c r="T75" s="2981" t="s">
        <v>3194</v>
      </c>
    </row>
    <row r="76" spans="1:20" ht="19.5" customHeight="1">
      <c r="A76" s="2981" t="s">
        <v>3471</v>
      </c>
      <c r="B76" s="2981" t="s">
        <v>3185</v>
      </c>
      <c r="C76" s="2981" t="s">
        <v>3186</v>
      </c>
      <c r="D76" s="2981" t="s">
        <v>1327</v>
      </c>
      <c r="E76" s="2981" t="s">
        <v>3471</v>
      </c>
      <c r="F76" s="2981" t="s">
        <v>3197</v>
      </c>
      <c r="G76" s="2981">
        <v>17119</v>
      </c>
      <c r="H76" s="2981" t="s">
        <v>3472</v>
      </c>
      <c r="I76" s="2981">
        <v>29709</v>
      </c>
      <c r="J76" s="2981">
        <v>128006</v>
      </c>
      <c r="K76" s="2981" t="s">
        <v>3473</v>
      </c>
      <c r="L76" s="2981" t="s">
        <v>3474</v>
      </c>
      <c r="M76" s="2981" t="s">
        <v>3475</v>
      </c>
      <c r="N76" s="2981" t="s">
        <v>3476</v>
      </c>
      <c r="O76" s="2981">
        <v>122000</v>
      </c>
      <c r="P76" s="2981">
        <v>2737.67</v>
      </c>
      <c r="Q76" s="2981">
        <v>9530.7900000000009</v>
      </c>
      <c r="R76" s="2981">
        <v>19.13</v>
      </c>
      <c r="S76" s="2981" t="s">
        <v>3216</v>
      </c>
      <c r="T76" s="2981" t="s">
        <v>3194</v>
      </c>
    </row>
    <row r="77" spans="1:20" ht="19.5" customHeight="1">
      <c r="A77" s="2981" t="s">
        <v>3477</v>
      </c>
      <c r="B77" s="2981" t="s">
        <v>3185</v>
      </c>
      <c r="C77" s="2981" t="s">
        <v>3196</v>
      </c>
      <c r="D77" s="2981" t="s">
        <v>1327</v>
      </c>
      <c r="E77" s="2981" t="s">
        <v>3477</v>
      </c>
      <c r="F77" s="2981" t="s">
        <v>3187</v>
      </c>
      <c r="G77" s="2981">
        <v>17116</v>
      </c>
      <c r="H77" s="2981" t="s">
        <v>3198</v>
      </c>
      <c r="I77" s="2981">
        <v>107414.8</v>
      </c>
      <c r="J77" s="2981">
        <v>268537</v>
      </c>
      <c r="K77" s="2981" t="s">
        <v>3478</v>
      </c>
      <c r="L77" s="2981" t="s">
        <v>3479</v>
      </c>
      <c r="M77" s="2981" t="s">
        <v>3480</v>
      </c>
      <c r="N77" s="2981" t="s">
        <v>3481</v>
      </c>
      <c r="O77" s="2981">
        <v>67242</v>
      </c>
      <c r="P77" s="2981">
        <v>417.34</v>
      </c>
      <c r="Q77" s="2981">
        <v>2504.0100000000002</v>
      </c>
      <c r="R77" s="2981">
        <v>0</v>
      </c>
      <c r="S77" s="2981" t="s">
        <v>3216</v>
      </c>
      <c r="T77" s="2981" t="s">
        <v>3203</v>
      </c>
    </row>
    <row r="78" spans="1:20" ht="19.5" customHeight="1">
      <c r="A78" s="2981" t="s">
        <v>3482</v>
      </c>
      <c r="B78" s="2981" t="s">
        <v>3185</v>
      </c>
      <c r="C78" s="2981" t="s">
        <v>3186</v>
      </c>
      <c r="D78" s="2981" t="s">
        <v>1327</v>
      </c>
      <c r="E78" s="2981" t="s">
        <v>3482</v>
      </c>
      <c r="F78" s="2981" t="s">
        <v>3187</v>
      </c>
      <c r="G78" s="2981">
        <v>17117</v>
      </c>
      <c r="H78" s="2981" t="s">
        <v>3483</v>
      </c>
      <c r="I78" s="2981">
        <v>181147.5</v>
      </c>
      <c r="J78" s="2981">
        <v>299772.7</v>
      </c>
      <c r="K78" s="2981" t="s">
        <v>3484</v>
      </c>
      <c r="L78" s="2981" t="s">
        <v>3479</v>
      </c>
      <c r="M78" s="2981" t="s">
        <v>3480</v>
      </c>
      <c r="N78" s="2981" t="s">
        <v>3481</v>
      </c>
      <c r="O78" s="2981">
        <v>79457</v>
      </c>
      <c r="P78" s="2981">
        <v>292.42</v>
      </c>
      <c r="Q78" s="2981">
        <v>2650.57</v>
      </c>
      <c r="R78" s="2981">
        <v>0</v>
      </c>
      <c r="S78" s="2981" t="s">
        <v>3216</v>
      </c>
      <c r="T78" s="2981" t="s">
        <v>3203</v>
      </c>
    </row>
    <row r="79" spans="1:20" ht="19.5" customHeight="1">
      <c r="A79" s="2981" t="s">
        <v>3485</v>
      </c>
      <c r="B79" s="2981" t="s">
        <v>3185</v>
      </c>
      <c r="C79" s="2981" t="s">
        <v>3196</v>
      </c>
      <c r="D79" s="2981" t="s">
        <v>1327</v>
      </c>
      <c r="E79" s="2981" t="s">
        <v>3485</v>
      </c>
      <c r="F79" s="2981" t="s">
        <v>3187</v>
      </c>
      <c r="G79" s="2981">
        <v>17114</v>
      </c>
      <c r="H79" s="2981" t="s">
        <v>3198</v>
      </c>
      <c r="I79" s="2981">
        <v>200517.8</v>
      </c>
      <c r="J79" s="2981">
        <v>543829.6</v>
      </c>
      <c r="K79" s="2981" t="s">
        <v>3486</v>
      </c>
      <c r="L79" s="2981" t="s">
        <v>3479</v>
      </c>
      <c r="M79" s="2981" t="s">
        <v>3480</v>
      </c>
      <c r="N79" s="2981" t="s">
        <v>3481</v>
      </c>
      <c r="O79" s="2981">
        <v>136064</v>
      </c>
      <c r="P79" s="2981">
        <v>452.38</v>
      </c>
      <c r="Q79" s="2981">
        <v>2501.96</v>
      </c>
      <c r="R79" s="2981">
        <v>0</v>
      </c>
      <c r="S79" s="2981" t="s">
        <v>3216</v>
      </c>
      <c r="T79" s="2981" t="s">
        <v>3300</v>
      </c>
    </row>
    <row r="80" spans="1:20" ht="19.5" customHeight="1">
      <c r="A80" s="2981" t="s">
        <v>3487</v>
      </c>
      <c r="B80" s="2981" t="s">
        <v>3185</v>
      </c>
      <c r="C80" s="2981" t="s">
        <v>3196</v>
      </c>
      <c r="D80" s="2981" t="s">
        <v>1327</v>
      </c>
      <c r="E80" s="2981" t="s">
        <v>3487</v>
      </c>
      <c r="F80" s="2981" t="s">
        <v>3187</v>
      </c>
      <c r="G80" s="2981">
        <v>17115</v>
      </c>
      <c r="H80" s="2981" t="s">
        <v>3198</v>
      </c>
      <c r="I80" s="2981">
        <v>170369.8</v>
      </c>
      <c r="J80" s="2981">
        <v>425924.5</v>
      </c>
      <c r="K80" s="2981" t="s">
        <v>3478</v>
      </c>
      <c r="L80" s="2981" t="s">
        <v>3479</v>
      </c>
      <c r="M80" s="2981" t="s">
        <v>3480</v>
      </c>
      <c r="N80" s="2981" t="s">
        <v>3481</v>
      </c>
      <c r="O80" s="2981">
        <v>106311</v>
      </c>
      <c r="P80" s="2981">
        <v>416</v>
      </c>
      <c r="Q80" s="2981">
        <v>2496.0100000000002</v>
      </c>
      <c r="R80" s="2981">
        <v>0</v>
      </c>
      <c r="S80" s="2981" t="s">
        <v>3216</v>
      </c>
      <c r="T80" s="2981" t="s">
        <v>3203</v>
      </c>
    </row>
    <row r="81" spans="1:20" ht="19.5" customHeight="1">
      <c r="A81" s="2981" t="s">
        <v>3488</v>
      </c>
      <c r="B81" s="2981" t="s">
        <v>3185</v>
      </c>
      <c r="C81" s="2981" t="s">
        <v>3186</v>
      </c>
      <c r="D81" s="2981" t="s">
        <v>1327</v>
      </c>
      <c r="E81" s="2981" t="s">
        <v>3488</v>
      </c>
      <c r="F81" s="2981" t="s">
        <v>3197</v>
      </c>
      <c r="G81" s="2981">
        <v>17118</v>
      </c>
      <c r="H81" s="2981" t="s">
        <v>3489</v>
      </c>
      <c r="I81" s="2981">
        <v>142177.4</v>
      </c>
      <c r="J81" s="2981">
        <v>160827.29999999999</v>
      </c>
      <c r="K81" s="2981" t="s">
        <v>3490</v>
      </c>
      <c r="L81" s="2981" t="s">
        <v>3479</v>
      </c>
      <c r="M81" s="2981" t="s">
        <v>3480</v>
      </c>
      <c r="N81" s="2981" t="s">
        <v>3491</v>
      </c>
      <c r="O81" s="2981">
        <v>184952</v>
      </c>
      <c r="P81" s="2981">
        <v>867.24</v>
      </c>
      <c r="Q81" s="2981">
        <v>11500.04</v>
      </c>
      <c r="R81" s="2981">
        <v>35.29</v>
      </c>
      <c r="S81" s="2981" t="s">
        <v>3216</v>
      </c>
      <c r="T81" s="2981" t="s">
        <v>3203</v>
      </c>
    </row>
    <row r="82" spans="1:20" ht="19.5" customHeight="1">
      <c r="A82" s="2981" t="s">
        <v>3492</v>
      </c>
      <c r="B82" s="2981" t="s">
        <v>3185</v>
      </c>
      <c r="C82" s="2981" t="s">
        <v>3186</v>
      </c>
      <c r="D82" s="2981" t="s">
        <v>1327</v>
      </c>
      <c r="E82" s="2981" t="s">
        <v>3492</v>
      </c>
      <c r="F82" s="2981" t="s">
        <v>3197</v>
      </c>
      <c r="G82" s="2981">
        <v>17111</v>
      </c>
      <c r="H82" s="2981" t="s">
        <v>3493</v>
      </c>
      <c r="I82" s="2981">
        <v>178221.8</v>
      </c>
      <c r="J82" s="2981">
        <v>195297.4</v>
      </c>
      <c r="K82" s="2981" t="s">
        <v>3494</v>
      </c>
      <c r="L82" s="2981" t="s">
        <v>3495</v>
      </c>
      <c r="M82" s="2981" t="s">
        <v>3496</v>
      </c>
      <c r="N82" s="2981" t="s">
        <v>3497</v>
      </c>
      <c r="O82" s="2981">
        <v>224593</v>
      </c>
      <c r="P82" s="2981">
        <v>840.13</v>
      </c>
      <c r="Q82" s="2981">
        <v>11500.04</v>
      </c>
      <c r="R82" s="2981">
        <v>35.29</v>
      </c>
      <c r="S82" s="2981" t="s">
        <v>3216</v>
      </c>
      <c r="T82" s="2981" t="s">
        <v>3300</v>
      </c>
    </row>
    <row r="83" spans="1:20" ht="19.5" customHeight="1">
      <c r="A83" s="2981" t="s">
        <v>3498</v>
      </c>
      <c r="B83" s="2981" t="s">
        <v>3185</v>
      </c>
      <c r="C83" s="2981" t="s">
        <v>3196</v>
      </c>
      <c r="D83" s="2981" t="s">
        <v>1327</v>
      </c>
      <c r="E83" s="2981" t="s">
        <v>3498</v>
      </c>
      <c r="F83" s="2981" t="s">
        <v>3197</v>
      </c>
      <c r="G83" s="2981">
        <v>17110</v>
      </c>
      <c r="H83" s="2981" t="s">
        <v>3198</v>
      </c>
      <c r="I83" s="2981">
        <v>138393.9</v>
      </c>
      <c r="J83" s="2981">
        <v>187009.1</v>
      </c>
      <c r="K83" s="2981" t="s">
        <v>3499</v>
      </c>
      <c r="L83" s="2981" t="s">
        <v>3495</v>
      </c>
      <c r="M83" s="2981" t="s">
        <v>3496</v>
      </c>
      <c r="N83" s="2981" t="s">
        <v>3500</v>
      </c>
      <c r="O83" s="2981">
        <v>205000</v>
      </c>
      <c r="P83" s="2981">
        <v>987.52</v>
      </c>
      <c r="Q83" s="2981">
        <v>10962.03</v>
      </c>
      <c r="R83" s="2981">
        <v>40.54</v>
      </c>
      <c r="S83" s="2981" t="s">
        <v>3216</v>
      </c>
      <c r="T83" s="2981" t="s">
        <v>3203</v>
      </c>
    </row>
    <row r="84" spans="1:20" ht="19.5" customHeight="1">
      <c r="A84" s="2981" t="s">
        <v>3501</v>
      </c>
      <c r="B84" s="2981" t="s">
        <v>3185</v>
      </c>
      <c r="C84" s="2981" t="s">
        <v>3196</v>
      </c>
      <c r="D84" s="2981" t="s">
        <v>1327</v>
      </c>
      <c r="E84" s="2981" t="s">
        <v>3501</v>
      </c>
      <c r="F84" s="2981" t="s">
        <v>3197</v>
      </c>
      <c r="G84" s="2981">
        <v>17112</v>
      </c>
      <c r="H84" s="2981" t="s">
        <v>3198</v>
      </c>
      <c r="I84" s="2981">
        <v>94631.2</v>
      </c>
      <c r="J84" s="2981">
        <v>113557.4</v>
      </c>
      <c r="K84" s="2981" t="s">
        <v>3502</v>
      </c>
      <c r="L84" s="2981" t="s">
        <v>3495</v>
      </c>
      <c r="M84" s="2981" t="s">
        <v>3496</v>
      </c>
      <c r="N84" s="2981" t="s">
        <v>3503</v>
      </c>
      <c r="O84" s="2981">
        <v>130592</v>
      </c>
      <c r="P84" s="2981">
        <v>920.01</v>
      </c>
      <c r="Q84" s="2981">
        <v>11500.09</v>
      </c>
      <c r="R84" s="2981">
        <v>35.29</v>
      </c>
      <c r="S84" s="2981" t="s">
        <v>3216</v>
      </c>
      <c r="T84" s="2981" t="s">
        <v>3300</v>
      </c>
    </row>
    <row r="85" spans="1:20" ht="19.5" customHeight="1">
      <c r="A85" s="2981" t="s">
        <v>3504</v>
      </c>
      <c r="B85" s="2981" t="s">
        <v>3185</v>
      </c>
      <c r="C85" s="2981" t="s">
        <v>3196</v>
      </c>
      <c r="D85" s="2981" t="s">
        <v>1327</v>
      </c>
      <c r="E85" s="2981" t="s">
        <v>3504</v>
      </c>
      <c r="F85" s="2981" t="s">
        <v>3197</v>
      </c>
      <c r="G85" s="2981">
        <v>17108</v>
      </c>
      <c r="H85" s="2981" t="s">
        <v>3198</v>
      </c>
      <c r="I85" s="2981">
        <v>61919.199999999997</v>
      </c>
      <c r="J85" s="2981">
        <v>111454.6</v>
      </c>
      <c r="K85" s="2981" t="s">
        <v>3505</v>
      </c>
      <c r="L85" s="2981" t="s">
        <v>3506</v>
      </c>
      <c r="M85" s="2981" t="s">
        <v>3507</v>
      </c>
      <c r="N85" s="2981" t="s">
        <v>3508</v>
      </c>
      <c r="O85" s="2981">
        <v>81000</v>
      </c>
      <c r="P85" s="2981">
        <v>872.1</v>
      </c>
      <c r="Q85" s="2981">
        <v>7267.52</v>
      </c>
      <c r="R85" s="2981">
        <v>0.94</v>
      </c>
      <c r="S85" s="2981" t="s">
        <v>3216</v>
      </c>
      <c r="T85" s="2981" t="s">
        <v>3203</v>
      </c>
    </row>
    <row r="86" spans="1:20" ht="19.5" customHeight="1">
      <c r="A86" s="2981" t="s">
        <v>3509</v>
      </c>
      <c r="B86" s="2981" t="s">
        <v>3185</v>
      </c>
      <c r="C86" s="2981" t="s">
        <v>3196</v>
      </c>
      <c r="D86" s="2981" t="s">
        <v>1327</v>
      </c>
      <c r="E86" s="2981" t="s">
        <v>3509</v>
      </c>
      <c r="F86" s="2981" t="s">
        <v>3197</v>
      </c>
      <c r="G86" s="2981">
        <v>17109</v>
      </c>
      <c r="H86" s="2981" t="s">
        <v>3198</v>
      </c>
      <c r="I86" s="2981">
        <v>95788.9</v>
      </c>
      <c r="J86" s="2981">
        <v>191577.8</v>
      </c>
      <c r="K86" s="2981" t="s">
        <v>3510</v>
      </c>
      <c r="L86" s="2981" t="s">
        <v>3506</v>
      </c>
      <c r="M86" s="2981" t="s">
        <v>3507</v>
      </c>
      <c r="N86" s="2981" t="s">
        <v>3511</v>
      </c>
      <c r="O86" s="2981">
        <v>206000</v>
      </c>
      <c r="P86" s="2981">
        <v>1433.71</v>
      </c>
      <c r="Q86" s="2981">
        <v>10752.8</v>
      </c>
      <c r="R86" s="2981">
        <v>43.37</v>
      </c>
      <c r="S86" s="2981" t="s">
        <v>3216</v>
      </c>
      <c r="T86" s="2981" t="s">
        <v>3203</v>
      </c>
    </row>
    <row r="87" spans="1:20" ht="19.5" customHeight="1">
      <c r="A87" s="2981" t="s">
        <v>3512</v>
      </c>
      <c r="B87" s="2981" t="s">
        <v>3185</v>
      </c>
      <c r="C87" s="2981" t="s">
        <v>3196</v>
      </c>
      <c r="D87" s="2981" t="s">
        <v>1327</v>
      </c>
      <c r="E87" s="2981" t="s">
        <v>3512</v>
      </c>
      <c r="F87" s="2981" t="s">
        <v>3197</v>
      </c>
      <c r="G87" s="2981">
        <v>17099</v>
      </c>
      <c r="H87" s="2981" t="s">
        <v>3198</v>
      </c>
      <c r="I87" s="2981">
        <v>167963</v>
      </c>
      <c r="J87" s="2981">
        <v>167968.5</v>
      </c>
      <c r="K87" s="2981">
        <v>1</v>
      </c>
      <c r="L87" s="2981" t="s">
        <v>3513</v>
      </c>
      <c r="M87" s="2981" t="s">
        <v>3514</v>
      </c>
      <c r="N87" s="2981" t="s">
        <v>3515</v>
      </c>
      <c r="O87" s="2981">
        <v>67900</v>
      </c>
      <c r="P87" s="2981">
        <v>269.5</v>
      </c>
      <c r="Q87" s="2981">
        <v>4042.42</v>
      </c>
      <c r="R87" s="2981">
        <v>0.87</v>
      </c>
      <c r="S87" s="2981" t="s">
        <v>3216</v>
      </c>
      <c r="T87" s="2981" t="s">
        <v>3259</v>
      </c>
    </row>
    <row r="88" spans="1:20" ht="19.5" customHeight="1">
      <c r="A88" s="2981" t="s">
        <v>3516</v>
      </c>
      <c r="B88" s="2981" t="s">
        <v>3185</v>
      </c>
      <c r="C88" s="2981" t="s">
        <v>3186</v>
      </c>
      <c r="D88" s="2981" t="s">
        <v>1327</v>
      </c>
      <c r="E88" s="2981" t="s">
        <v>3516</v>
      </c>
      <c r="F88" s="2981" t="s">
        <v>3197</v>
      </c>
      <c r="G88" s="2981">
        <v>17098</v>
      </c>
      <c r="H88" s="2981" t="s">
        <v>3188</v>
      </c>
      <c r="I88" s="2981">
        <v>163484</v>
      </c>
      <c r="J88" s="2981">
        <v>182665.2</v>
      </c>
      <c r="K88" s="2981" t="s">
        <v>3494</v>
      </c>
      <c r="L88" s="2981" t="s">
        <v>3513</v>
      </c>
      <c r="M88" s="2981" t="s">
        <v>3514</v>
      </c>
      <c r="N88" s="2981" t="s">
        <v>3517</v>
      </c>
      <c r="O88" s="2981">
        <v>73800</v>
      </c>
      <c r="P88" s="2981">
        <v>300.95</v>
      </c>
      <c r="Q88" s="2981">
        <v>4040.17</v>
      </c>
      <c r="R88" s="2981">
        <v>0.8</v>
      </c>
      <c r="S88" s="2981" t="s">
        <v>3216</v>
      </c>
      <c r="T88" s="2981" t="s">
        <v>3259</v>
      </c>
    </row>
    <row r="89" spans="1:20" ht="19.5" customHeight="1">
      <c r="A89" s="2981" t="s">
        <v>3518</v>
      </c>
      <c r="B89" s="2981" t="s">
        <v>3185</v>
      </c>
      <c r="C89" s="2981" t="s">
        <v>3186</v>
      </c>
      <c r="D89" s="2981" t="s">
        <v>1327</v>
      </c>
      <c r="E89" s="2981" t="s">
        <v>3518</v>
      </c>
      <c r="F89" s="2981" t="s">
        <v>3197</v>
      </c>
      <c r="G89" s="2981">
        <v>17080</v>
      </c>
      <c r="H89" s="2981" t="s">
        <v>3519</v>
      </c>
      <c r="I89" s="2981">
        <v>315345</v>
      </c>
      <c r="J89" s="2981">
        <v>222052.9</v>
      </c>
      <c r="K89" s="2981" t="s">
        <v>3520</v>
      </c>
      <c r="L89" s="2981" t="s">
        <v>3250</v>
      </c>
      <c r="M89" s="2981" t="s">
        <v>3521</v>
      </c>
      <c r="N89" s="2981" t="s">
        <v>3522</v>
      </c>
      <c r="O89" s="2981">
        <v>101500</v>
      </c>
      <c r="P89" s="2981">
        <v>214.58</v>
      </c>
      <c r="Q89" s="2981">
        <v>4570.97</v>
      </c>
      <c r="R89" s="2981">
        <v>30.11</v>
      </c>
      <c r="S89" s="2981" t="s">
        <v>3216</v>
      </c>
      <c r="T89" s="2981" t="s">
        <v>3259</v>
      </c>
    </row>
    <row r="90" spans="1:20" ht="19.5" customHeight="1">
      <c r="A90" s="2981" t="s">
        <v>3523</v>
      </c>
      <c r="B90" s="2981" t="s">
        <v>3185</v>
      </c>
      <c r="C90" s="2981" t="s">
        <v>3196</v>
      </c>
      <c r="D90" s="2981" t="s">
        <v>1327</v>
      </c>
      <c r="E90" s="2981" t="s">
        <v>3523</v>
      </c>
      <c r="F90" s="2981" t="s">
        <v>3197</v>
      </c>
      <c r="G90" s="2981">
        <v>17075</v>
      </c>
      <c r="H90" s="2981" t="s">
        <v>3198</v>
      </c>
      <c r="I90" s="2981">
        <v>30332</v>
      </c>
      <c r="J90" s="2981">
        <v>75830</v>
      </c>
      <c r="K90" s="2981" t="s">
        <v>3478</v>
      </c>
      <c r="L90" s="2981" t="s">
        <v>3524</v>
      </c>
      <c r="M90" s="2981" t="s">
        <v>3525</v>
      </c>
      <c r="N90" s="2981" t="s">
        <v>3365</v>
      </c>
      <c r="O90" s="2981">
        <v>87205</v>
      </c>
      <c r="P90" s="2981">
        <v>1916.68</v>
      </c>
      <c r="Q90" s="2981">
        <v>11500.06</v>
      </c>
      <c r="R90" s="2981">
        <v>47.44</v>
      </c>
      <c r="S90" s="2981" t="s">
        <v>3216</v>
      </c>
      <c r="T90" s="2981" t="s">
        <v>3194</v>
      </c>
    </row>
    <row r="91" spans="1:20" ht="19.5" customHeight="1">
      <c r="A91" s="2981" t="s">
        <v>3526</v>
      </c>
      <c r="B91" s="2981" t="s">
        <v>3185</v>
      </c>
      <c r="C91" s="2981" t="s">
        <v>3196</v>
      </c>
      <c r="D91" s="2981" t="s">
        <v>1327</v>
      </c>
      <c r="E91" s="2981" t="s">
        <v>3526</v>
      </c>
      <c r="F91" s="2981" t="s">
        <v>3197</v>
      </c>
      <c r="G91" s="2981">
        <v>17038</v>
      </c>
      <c r="H91" s="2981" t="s">
        <v>3527</v>
      </c>
      <c r="I91" s="2981">
        <v>188505.5</v>
      </c>
      <c r="J91" s="2981">
        <v>207356</v>
      </c>
      <c r="K91" s="2981" t="s">
        <v>3528</v>
      </c>
      <c r="L91" s="2981" t="s">
        <v>3529</v>
      </c>
      <c r="M91" s="2981" t="s">
        <v>3530</v>
      </c>
      <c r="N91" s="2981" t="s">
        <v>3531</v>
      </c>
      <c r="O91" s="2981">
        <v>71800</v>
      </c>
      <c r="P91" s="2981">
        <v>253.93</v>
      </c>
      <c r="Q91" s="2981">
        <v>3462.63</v>
      </c>
      <c r="R91" s="2981">
        <v>63.59</v>
      </c>
      <c r="S91" s="2981" t="s">
        <v>3216</v>
      </c>
      <c r="T91" s="2981" t="s">
        <v>3259</v>
      </c>
    </row>
    <row r="92" spans="1:20" ht="19.5" customHeight="1">
      <c r="A92" s="2981" t="s">
        <v>3532</v>
      </c>
      <c r="B92" s="2981" t="s">
        <v>3185</v>
      </c>
      <c r="C92" s="2981" t="s">
        <v>3196</v>
      </c>
      <c r="D92" s="2981" t="s">
        <v>1327</v>
      </c>
      <c r="E92" s="2981" t="s">
        <v>3532</v>
      </c>
      <c r="F92" s="2981" t="s">
        <v>3197</v>
      </c>
      <c r="G92" s="2981">
        <v>17032</v>
      </c>
      <c r="H92" s="2981" t="s">
        <v>3533</v>
      </c>
      <c r="I92" s="2981">
        <v>66604</v>
      </c>
      <c r="J92" s="2981">
        <v>66605</v>
      </c>
      <c r="K92" s="2981" t="s">
        <v>3534</v>
      </c>
      <c r="L92" s="2981" t="s">
        <v>3535</v>
      </c>
      <c r="M92" s="2981" t="s">
        <v>3536</v>
      </c>
      <c r="N92" s="2981" t="s">
        <v>3331</v>
      </c>
      <c r="O92" s="2981">
        <v>78000</v>
      </c>
      <c r="P92" s="2981">
        <v>780.73</v>
      </c>
      <c r="Q92" s="2981">
        <v>11710.82</v>
      </c>
      <c r="R92" s="2981">
        <v>67.3</v>
      </c>
      <c r="S92" s="2981" t="s">
        <v>3216</v>
      </c>
      <c r="T92" s="2981" t="s">
        <v>3203</v>
      </c>
    </row>
    <row r="93" spans="1:20" ht="19.5" customHeight="1">
      <c r="A93" s="2981" t="s">
        <v>3537</v>
      </c>
      <c r="B93" s="2981" t="s">
        <v>3185</v>
      </c>
      <c r="C93" s="2981" t="s">
        <v>3196</v>
      </c>
      <c r="D93" s="2981" t="s">
        <v>1327</v>
      </c>
      <c r="E93" s="2981" t="s">
        <v>3537</v>
      </c>
      <c r="F93" s="2981" t="s">
        <v>3197</v>
      </c>
      <c r="G93" s="2981">
        <v>17030</v>
      </c>
      <c r="H93" s="2981" t="s">
        <v>3527</v>
      </c>
      <c r="I93" s="2981">
        <v>45575</v>
      </c>
      <c r="J93" s="2981">
        <v>156000</v>
      </c>
      <c r="K93" s="2981" t="s">
        <v>3538</v>
      </c>
      <c r="L93" s="2981" t="s">
        <v>3535</v>
      </c>
      <c r="M93" s="2981" t="s">
        <v>3539</v>
      </c>
      <c r="N93" s="2981" t="s">
        <v>3468</v>
      </c>
      <c r="O93" s="2981">
        <v>84400</v>
      </c>
      <c r="P93" s="2981">
        <v>1234.5899999999999</v>
      </c>
      <c r="Q93" s="2981">
        <v>5410.26</v>
      </c>
      <c r="R93" s="2981">
        <v>116.41</v>
      </c>
      <c r="S93" s="2981" t="s">
        <v>3216</v>
      </c>
      <c r="T93" s="2981" t="s">
        <v>3203</v>
      </c>
    </row>
    <row r="94" spans="1:20" ht="19.5" customHeight="1">
      <c r="A94" s="2981" t="s">
        <v>3540</v>
      </c>
      <c r="B94" s="2981" t="s">
        <v>3185</v>
      </c>
      <c r="C94" s="2981" t="s">
        <v>3196</v>
      </c>
      <c r="D94" s="2981" t="s">
        <v>1327</v>
      </c>
      <c r="E94" s="2981" t="s">
        <v>3540</v>
      </c>
      <c r="F94" s="2981" t="s">
        <v>3197</v>
      </c>
      <c r="G94" s="2981">
        <v>17028</v>
      </c>
      <c r="H94" s="2981" t="s">
        <v>3527</v>
      </c>
      <c r="I94" s="2981">
        <v>203112</v>
      </c>
      <c r="J94" s="2981">
        <v>362486</v>
      </c>
      <c r="K94" s="2981" t="s">
        <v>3541</v>
      </c>
      <c r="L94" s="2981" t="s">
        <v>3542</v>
      </c>
      <c r="M94" s="2981" t="s">
        <v>3543</v>
      </c>
      <c r="N94" s="2981" t="s">
        <v>3500</v>
      </c>
      <c r="O94" s="2981">
        <v>339000</v>
      </c>
      <c r="P94" s="2981">
        <v>1112.69</v>
      </c>
      <c r="Q94" s="2981">
        <v>9352.09</v>
      </c>
      <c r="R94" s="2981">
        <v>87.04</v>
      </c>
      <c r="S94" s="2981" t="s">
        <v>3216</v>
      </c>
      <c r="T94" s="2981" t="s">
        <v>3259</v>
      </c>
    </row>
    <row r="95" spans="1:20" ht="19.5" customHeight="1">
      <c r="A95" s="2981" t="s">
        <v>3544</v>
      </c>
      <c r="B95" s="2981" t="s">
        <v>3185</v>
      </c>
      <c r="C95" s="2981" t="s">
        <v>3186</v>
      </c>
      <c r="D95" s="2981" t="s">
        <v>1327</v>
      </c>
      <c r="E95" s="2981" t="s">
        <v>3544</v>
      </c>
      <c r="F95" s="2981" t="s">
        <v>3197</v>
      </c>
      <c r="G95" s="2981">
        <v>17015</v>
      </c>
      <c r="H95" s="2981" t="s">
        <v>3254</v>
      </c>
      <c r="I95" s="2981">
        <v>54232</v>
      </c>
      <c r="J95" s="2981">
        <v>162696</v>
      </c>
      <c r="K95" s="2981" t="s">
        <v>3228</v>
      </c>
      <c r="L95" s="2981" t="s">
        <v>3545</v>
      </c>
      <c r="M95" s="2981" t="s">
        <v>3546</v>
      </c>
      <c r="N95" s="2981" t="s">
        <v>3547</v>
      </c>
      <c r="O95" s="2981">
        <v>25400</v>
      </c>
      <c r="P95" s="2981">
        <v>312.24</v>
      </c>
      <c r="Q95" s="2981">
        <v>1561.19</v>
      </c>
      <c r="R95" s="2981">
        <v>1.1499999999999999</v>
      </c>
      <c r="S95" s="2981" t="s">
        <v>3548</v>
      </c>
      <c r="T95" s="2981" t="s">
        <v>3259</v>
      </c>
    </row>
    <row r="96" spans="1:20" ht="19.5" customHeight="1">
      <c r="A96" s="2981" t="s">
        <v>3549</v>
      </c>
      <c r="B96" s="2981" t="s">
        <v>3185</v>
      </c>
      <c r="C96" s="2981" t="s">
        <v>3196</v>
      </c>
      <c r="D96" s="2981" t="s">
        <v>1327</v>
      </c>
      <c r="E96" s="2981" t="s">
        <v>3549</v>
      </c>
      <c r="F96" s="2981" t="s">
        <v>3197</v>
      </c>
      <c r="G96" s="2981">
        <v>17013</v>
      </c>
      <c r="H96" s="2981" t="s">
        <v>3198</v>
      </c>
      <c r="I96" s="2981">
        <v>88012</v>
      </c>
      <c r="J96" s="2981">
        <v>88013</v>
      </c>
      <c r="K96" s="2981" t="s">
        <v>3550</v>
      </c>
      <c r="L96" s="2981" t="s">
        <v>3551</v>
      </c>
      <c r="M96" s="2981" t="s">
        <v>3552</v>
      </c>
      <c r="N96" s="2981" t="s">
        <v>3553</v>
      </c>
      <c r="O96" s="2981">
        <v>19803</v>
      </c>
      <c r="P96" s="2981">
        <v>150</v>
      </c>
      <c r="Q96" s="2981">
        <v>2250.0100000000002</v>
      </c>
      <c r="R96" s="2981">
        <v>0</v>
      </c>
      <c r="S96" s="2981" t="s">
        <v>3554</v>
      </c>
      <c r="T96" s="2981" t="s">
        <v>3259</v>
      </c>
    </row>
    <row r="97" spans="1:20" ht="19.5" customHeight="1">
      <c r="A97" s="2981" t="s">
        <v>3555</v>
      </c>
      <c r="B97" s="2981" t="s">
        <v>3185</v>
      </c>
      <c r="C97" s="2981" t="s">
        <v>3196</v>
      </c>
      <c r="D97" s="2981" t="s">
        <v>1327</v>
      </c>
      <c r="E97" s="2981" t="s">
        <v>3555</v>
      </c>
      <c r="F97" s="2981" t="s">
        <v>3197</v>
      </c>
      <c r="G97" s="2981">
        <v>17001</v>
      </c>
      <c r="H97" s="2981" t="s">
        <v>3198</v>
      </c>
      <c r="I97" s="2981">
        <v>206303</v>
      </c>
      <c r="J97" s="2981">
        <v>434854</v>
      </c>
      <c r="K97" s="2981" t="s">
        <v>3556</v>
      </c>
      <c r="L97" s="2981" t="s">
        <v>3557</v>
      </c>
      <c r="M97" s="2981" t="s">
        <v>3558</v>
      </c>
      <c r="N97" s="2981" t="s">
        <v>3559</v>
      </c>
      <c r="O97" s="2981">
        <v>262000</v>
      </c>
      <c r="P97" s="2981">
        <v>846.65</v>
      </c>
      <c r="Q97" s="2981">
        <v>6025.01</v>
      </c>
      <c r="R97" s="2981">
        <v>54.49</v>
      </c>
      <c r="S97" s="2981" t="s">
        <v>3554</v>
      </c>
      <c r="T97" s="2981" t="s">
        <v>3259</v>
      </c>
    </row>
    <row r="98" spans="1:20" ht="19.5" customHeight="1">
      <c r="A98" s="2981" t="s">
        <v>3560</v>
      </c>
      <c r="B98" s="2981" t="s">
        <v>3185</v>
      </c>
      <c r="C98" s="2981" t="s">
        <v>3186</v>
      </c>
      <c r="D98" s="2981" t="s">
        <v>1327</v>
      </c>
      <c r="E98" s="2981" t="s">
        <v>3560</v>
      </c>
      <c r="F98" s="2981" t="s">
        <v>3187</v>
      </c>
      <c r="G98" s="2981">
        <v>16129</v>
      </c>
      <c r="H98" s="2981" t="s">
        <v>3254</v>
      </c>
      <c r="I98" s="2981">
        <v>172870</v>
      </c>
      <c r="J98" s="2981">
        <v>259304</v>
      </c>
      <c r="K98" s="2981" t="s">
        <v>3561</v>
      </c>
      <c r="L98" s="2981" t="s">
        <v>3562</v>
      </c>
      <c r="M98" s="2981" t="s">
        <v>3563</v>
      </c>
      <c r="N98" s="2981" t="s">
        <v>3564</v>
      </c>
      <c r="O98" s="2981">
        <v>34907</v>
      </c>
      <c r="P98" s="2981">
        <v>134.62</v>
      </c>
      <c r="Q98" s="2981">
        <v>1346.18</v>
      </c>
      <c r="R98" s="2981">
        <v>0</v>
      </c>
      <c r="S98" s="2981" t="s">
        <v>3232</v>
      </c>
      <c r="T98" s="2981" t="s">
        <v>3203</v>
      </c>
    </row>
    <row r="99" spans="1:20" ht="19.5" customHeight="1">
      <c r="A99" s="2981" t="s">
        <v>3565</v>
      </c>
      <c r="B99" s="2981" t="s">
        <v>3185</v>
      </c>
      <c r="C99" s="2981" t="s">
        <v>3196</v>
      </c>
      <c r="D99" s="2981" t="s">
        <v>1327</v>
      </c>
      <c r="E99" s="2981" t="s">
        <v>3565</v>
      </c>
      <c r="F99" s="2981" t="s">
        <v>3197</v>
      </c>
      <c r="G99" s="2981">
        <v>16114</v>
      </c>
      <c r="H99" s="2981" t="s">
        <v>3198</v>
      </c>
      <c r="I99" s="2981">
        <v>150945</v>
      </c>
      <c r="J99" s="2981">
        <v>150949</v>
      </c>
      <c r="K99" s="2981" t="s">
        <v>3550</v>
      </c>
      <c r="L99" s="2981" t="s">
        <v>3236</v>
      </c>
      <c r="M99" s="2981" t="s">
        <v>3566</v>
      </c>
      <c r="N99" s="2981" t="s">
        <v>3553</v>
      </c>
      <c r="O99" s="2981">
        <v>36000</v>
      </c>
      <c r="P99" s="2981">
        <v>159</v>
      </c>
      <c r="Q99" s="2981">
        <v>2384.9</v>
      </c>
      <c r="R99" s="2981">
        <v>35.369999999999997</v>
      </c>
      <c r="S99" s="2981" t="s">
        <v>3554</v>
      </c>
      <c r="T99" s="2981" t="s">
        <v>3259</v>
      </c>
    </row>
    <row r="100" spans="1:20" ht="19.5" customHeight="1">
      <c r="A100" s="2981" t="s">
        <v>3567</v>
      </c>
      <c r="B100" s="2981" t="s">
        <v>3185</v>
      </c>
      <c r="C100" s="2981" t="s">
        <v>3196</v>
      </c>
      <c r="D100" s="2981" t="s">
        <v>1327</v>
      </c>
      <c r="E100" s="2981" t="s">
        <v>3567</v>
      </c>
      <c r="F100" s="2981" t="s">
        <v>3197</v>
      </c>
      <c r="G100" s="2981">
        <v>16115</v>
      </c>
      <c r="H100" s="2981" t="s">
        <v>3198</v>
      </c>
      <c r="I100" s="2981">
        <v>85877</v>
      </c>
      <c r="J100" s="2981">
        <v>85881</v>
      </c>
      <c r="K100" s="2981" t="s">
        <v>3550</v>
      </c>
      <c r="L100" s="2981" t="s">
        <v>3236</v>
      </c>
      <c r="M100" s="2981" t="s">
        <v>3568</v>
      </c>
      <c r="N100" s="2981" t="s">
        <v>3553</v>
      </c>
      <c r="O100" s="2981">
        <v>20200</v>
      </c>
      <c r="P100" s="2981">
        <v>156.81</v>
      </c>
      <c r="Q100" s="2981">
        <v>2352.09</v>
      </c>
      <c r="R100" s="2981">
        <v>33.64</v>
      </c>
      <c r="S100" s="2981" t="s">
        <v>3554</v>
      </c>
      <c r="T100" s="2981" t="s">
        <v>3203</v>
      </c>
    </row>
    <row r="101" spans="1:20" ht="19.5" customHeight="1">
      <c r="A101" s="2981" t="s">
        <v>3569</v>
      </c>
      <c r="B101" s="2981" t="s">
        <v>3185</v>
      </c>
      <c r="C101" s="2981" t="s">
        <v>3196</v>
      </c>
      <c r="D101" s="2981" t="s">
        <v>1327</v>
      </c>
      <c r="E101" s="2981" t="s">
        <v>3569</v>
      </c>
      <c r="F101" s="2981" t="s">
        <v>3197</v>
      </c>
      <c r="G101" s="2981">
        <v>16113</v>
      </c>
      <c r="H101" s="2981" t="s">
        <v>3198</v>
      </c>
      <c r="I101" s="2981">
        <v>139607</v>
      </c>
      <c r="J101" s="2981">
        <v>139612</v>
      </c>
      <c r="K101" s="2981" t="s">
        <v>3550</v>
      </c>
      <c r="L101" s="2981" t="s">
        <v>3236</v>
      </c>
      <c r="M101" s="2981" t="s">
        <v>3570</v>
      </c>
      <c r="N101" s="2981" t="s">
        <v>3553</v>
      </c>
      <c r="O101" s="2981">
        <v>32500</v>
      </c>
      <c r="P101" s="2981">
        <v>155.19999999999999</v>
      </c>
      <c r="Q101" s="2981">
        <v>2327.88</v>
      </c>
      <c r="R101" s="2981">
        <v>33.020000000000003</v>
      </c>
      <c r="S101" s="2981" t="s">
        <v>3554</v>
      </c>
      <c r="T101" s="2981" t="s">
        <v>3259</v>
      </c>
    </row>
    <row r="102" spans="1:20" ht="19.5" customHeight="1">
      <c r="A102" s="2981" t="s">
        <v>3571</v>
      </c>
      <c r="B102" s="2981" t="s">
        <v>3185</v>
      </c>
      <c r="C102" s="2981" t="s">
        <v>3186</v>
      </c>
      <c r="D102" s="2981" t="s">
        <v>1327</v>
      </c>
      <c r="E102" s="2981" t="s">
        <v>3571</v>
      </c>
      <c r="F102" s="2981" t="s">
        <v>3197</v>
      </c>
      <c r="G102" s="2981">
        <v>16110</v>
      </c>
      <c r="H102" s="2981" t="s">
        <v>3188</v>
      </c>
      <c r="I102" s="2981">
        <v>157925</v>
      </c>
      <c r="J102" s="2981">
        <v>437910</v>
      </c>
      <c r="K102" s="2981" t="s">
        <v>3572</v>
      </c>
      <c r="L102" s="2981" t="s">
        <v>3573</v>
      </c>
      <c r="M102" s="2981" t="s">
        <v>3574</v>
      </c>
      <c r="N102" s="2981" t="s">
        <v>3575</v>
      </c>
      <c r="O102" s="2981">
        <v>284000</v>
      </c>
      <c r="P102" s="2981">
        <v>1198.8800000000001</v>
      </c>
      <c r="Q102" s="2981">
        <v>6485.35</v>
      </c>
      <c r="R102" s="2981">
        <v>83.97</v>
      </c>
      <c r="S102" s="2981" t="s">
        <v>3232</v>
      </c>
      <c r="T102" s="2981" t="s">
        <v>3259</v>
      </c>
    </row>
    <row r="103" spans="1:20" ht="19.5" customHeight="1">
      <c r="A103" s="2981" t="s">
        <v>3576</v>
      </c>
      <c r="B103" s="2981" t="s">
        <v>3185</v>
      </c>
      <c r="C103" s="2981" t="s">
        <v>3186</v>
      </c>
      <c r="D103" s="2981" t="s">
        <v>1327</v>
      </c>
      <c r="E103" s="2981" t="s">
        <v>3576</v>
      </c>
      <c r="F103" s="2981" t="s">
        <v>3197</v>
      </c>
      <c r="G103" s="2981">
        <v>16109</v>
      </c>
      <c r="H103" s="2981" t="s">
        <v>3188</v>
      </c>
      <c r="I103" s="2981">
        <v>200112</v>
      </c>
      <c r="J103" s="2981">
        <v>540233</v>
      </c>
      <c r="K103" s="2981" t="s">
        <v>3577</v>
      </c>
      <c r="L103" s="2981" t="s">
        <v>3573</v>
      </c>
      <c r="M103" s="2981" t="s">
        <v>3578</v>
      </c>
      <c r="N103" s="2981" t="s">
        <v>3579</v>
      </c>
      <c r="O103" s="2981">
        <v>333000</v>
      </c>
      <c r="P103" s="2981">
        <v>1109.3800000000001</v>
      </c>
      <c r="Q103" s="2981">
        <v>6164.01</v>
      </c>
      <c r="R103" s="2981">
        <v>71.430000000000007</v>
      </c>
      <c r="S103" s="2981" t="s">
        <v>3232</v>
      </c>
      <c r="T103" s="2981" t="s">
        <v>3259</v>
      </c>
    </row>
    <row r="104" spans="1:20" ht="19.5" customHeight="1">
      <c r="A104" s="2981" t="s">
        <v>3580</v>
      </c>
      <c r="B104" s="2981" t="s">
        <v>3185</v>
      </c>
      <c r="C104" s="2981" t="s">
        <v>3186</v>
      </c>
      <c r="D104" s="2981" t="s">
        <v>1327</v>
      </c>
      <c r="E104" s="2981" t="s">
        <v>3580</v>
      </c>
      <c r="F104" s="2981" t="s">
        <v>3197</v>
      </c>
      <c r="G104" s="2981">
        <v>16106</v>
      </c>
      <c r="H104" s="2981" t="s">
        <v>3581</v>
      </c>
      <c r="I104" s="2981">
        <v>221522</v>
      </c>
      <c r="J104" s="2981">
        <v>567430</v>
      </c>
      <c r="K104" s="2981" t="s">
        <v>3582</v>
      </c>
      <c r="L104" s="2981" t="s">
        <v>3583</v>
      </c>
      <c r="M104" s="2981" t="s">
        <v>3584</v>
      </c>
      <c r="N104" s="2981" t="s">
        <v>3585</v>
      </c>
      <c r="O104" s="2981">
        <v>422000</v>
      </c>
      <c r="P104" s="2981">
        <v>1270</v>
      </c>
      <c r="Q104" s="2981">
        <v>7437.03</v>
      </c>
      <c r="R104" s="2981">
        <v>103.89</v>
      </c>
      <c r="S104" s="2981" t="s">
        <v>3232</v>
      </c>
      <c r="T104" s="2981" t="s">
        <v>3259</v>
      </c>
    </row>
    <row r="105" spans="1:20" ht="19.5" customHeight="1">
      <c r="A105" s="2981" t="s">
        <v>3586</v>
      </c>
      <c r="B105" s="2981" t="s">
        <v>3185</v>
      </c>
      <c r="C105" s="2981" t="s">
        <v>3186</v>
      </c>
      <c r="D105" s="2981" t="s">
        <v>1327</v>
      </c>
      <c r="E105" s="2981" t="s">
        <v>3586</v>
      </c>
      <c r="F105" s="2981" t="s">
        <v>3197</v>
      </c>
      <c r="G105" s="2981">
        <v>16107</v>
      </c>
      <c r="H105" s="2981" t="s">
        <v>3581</v>
      </c>
      <c r="I105" s="2981">
        <v>221130</v>
      </c>
      <c r="J105" s="2981">
        <v>601589</v>
      </c>
      <c r="K105" s="2981" t="s">
        <v>3587</v>
      </c>
      <c r="L105" s="2981" t="s">
        <v>3583</v>
      </c>
      <c r="M105" s="2981" t="s">
        <v>3588</v>
      </c>
      <c r="N105" s="2981" t="s">
        <v>3589</v>
      </c>
      <c r="O105" s="2981">
        <v>444000</v>
      </c>
      <c r="P105" s="2981">
        <v>1338.58</v>
      </c>
      <c r="Q105" s="2981">
        <v>7380.44</v>
      </c>
      <c r="R105" s="2981">
        <v>116.4</v>
      </c>
      <c r="S105" s="2981" t="s">
        <v>3232</v>
      </c>
      <c r="T105" s="2981" t="s">
        <v>3259</v>
      </c>
    </row>
    <row r="106" spans="1:20" ht="19.5" customHeight="1">
      <c r="A106" s="2981" t="s">
        <v>3590</v>
      </c>
      <c r="B106" s="2981" t="s">
        <v>3185</v>
      </c>
      <c r="C106" s="2981" t="s">
        <v>3186</v>
      </c>
      <c r="D106" s="2981" t="s">
        <v>1327</v>
      </c>
      <c r="E106" s="2981" t="s">
        <v>3590</v>
      </c>
      <c r="F106" s="2981" t="s">
        <v>3197</v>
      </c>
      <c r="G106" s="2981">
        <v>16105</v>
      </c>
      <c r="H106" s="2981" t="s">
        <v>3591</v>
      </c>
      <c r="I106" s="2981">
        <v>207435</v>
      </c>
      <c r="J106" s="2981">
        <v>318249</v>
      </c>
      <c r="K106" s="2981" t="s">
        <v>3561</v>
      </c>
      <c r="L106" s="2981" t="s">
        <v>3592</v>
      </c>
      <c r="M106" s="2981" t="s">
        <v>3593</v>
      </c>
      <c r="N106" s="2981" t="s">
        <v>3594</v>
      </c>
      <c r="O106" s="2981">
        <v>182000</v>
      </c>
      <c r="P106" s="2981">
        <v>584.91999999999996</v>
      </c>
      <c r="Q106" s="2981">
        <v>5718.78</v>
      </c>
      <c r="R106" s="2981">
        <v>22.71</v>
      </c>
      <c r="S106" s="2981" t="s">
        <v>3595</v>
      </c>
      <c r="T106" s="2981" t="s">
        <v>3300</v>
      </c>
    </row>
    <row r="107" spans="1:20" ht="19.5" customHeight="1">
      <c r="A107" s="2981" t="s">
        <v>3596</v>
      </c>
      <c r="B107" s="2981" t="s">
        <v>3185</v>
      </c>
      <c r="C107" s="2981" t="s">
        <v>3186</v>
      </c>
      <c r="D107" s="2981" t="s">
        <v>1327</v>
      </c>
      <c r="E107" s="2981" t="s">
        <v>3596</v>
      </c>
      <c r="F107" s="2981" t="s">
        <v>3197</v>
      </c>
      <c r="G107" s="2981">
        <v>16104</v>
      </c>
      <c r="H107" s="2981" t="s">
        <v>3597</v>
      </c>
      <c r="I107" s="2981">
        <v>224265</v>
      </c>
      <c r="J107" s="2981">
        <v>553604</v>
      </c>
      <c r="K107" s="2981" t="s">
        <v>3598</v>
      </c>
      <c r="L107" s="2981" t="s">
        <v>3592</v>
      </c>
      <c r="M107" s="2981" t="s">
        <v>3599</v>
      </c>
      <c r="N107" s="2981" t="s">
        <v>3600</v>
      </c>
      <c r="O107" s="2981">
        <v>298000</v>
      </c>
      <c r="P107" s="2981">
        <v>885.86</v>
      </c>
      <c r="Q107" s="2981">
        <v>5382.9</v>
      </c>
      <c r="R107" s="2981">
        <v>62.77</v>
      </c>
      <c r="S107" s="2981" t="s">
        <v>3595</v>
      </c>
      <c r="T107" s="2981" t="s">
        <v>3300</v>
      </c>
    </row>
    <row r="108" spans="1:20" ht="19.5" customHeight="1">
      <c r="A108" s="2981" t="s">
        <v>3601</v>
      </c>
      <c r="B108" s="2981" t="s">
        <v>3185</v>
      </c>
      <c r="C108" s="2981" t="s">
        <v>3196</v>
      </c>
      <c r="D108" s="2981" t="s">
        <v>1327</v>
      </c>
      <c r="E108" s="2981" t="s">
        <v>3601</v>
      </c>
      <c r="F108" s="2981" t="s">
        <v>3197</v>
      </c>
      <c r="G108" s="2981">
        <v>16097</v>
      </c>
      <c r="H108" s="2981" t="s">
        <v>3198</v>
      </c>
      <c r="I108" s="2981">
        <v>63835</v>
      </c>
      <c r="J108" s="2981">
        <v>95753</v>
      </c>
      <c r="K108" s="2981" t="s">
        <v>3561</v>
      </c>
      <c r="L108" s="2981" t="s">
        <v>3602</v>
      </c>
      <c r="M108" s="2981" t="s">
        <v>3603</v>
      </c>
      <c r="N108" s="2981" t="s">
        <v>3420</v>
      </c>
      <c r="O108" s="2981">
        <v>67500</v>
      </c>
      <c r="P108" s="2981">
        <v>704.94</v>
      </c>
      <c r="Q108" s="2981">
        <v>7049.39</v>
      </c>
      <c r="R108" s="2981">
        <v>46.87</v>
      </c>
      <c r="S108" s="2981" t="s">
        <v>3554</v>
      </c>
      <c r="T108" s="2981" t="s">
        <v>3194</v>
      </c>
    </row>
    <row r="109" spans="1:20" ht="19.5" customHeight="1"/>
    <row r="110" spans="1:20" ht="19.5" customHeight="1"/>
    <row r="111" spans="1:20" ht="19.5" customHeight="1"/>
    <row r="112" spans="1:20"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32" zoomScale="80" zoomScaleNormal="80" workbookViewId="0">
      <selection activeCell="N68" sqref="A64:N6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3"/>
      <c r="E1" s="753"/>
      <c r="F1" s="752" t="s">
        <v>2524</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1389</v>
      </c>
      <c r="B2" s="670" t="e">
        <f>F66</f>
        <v>#N/A</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7"/>
    </row>
    <row r="3" spans="1:30" s="398" customFormat="1" ht="28.5" customHeight="1" thickBot="1">
      <c r="A3" s="247" t="s">
        <v>1390</v>
      </c>
      <c r="B3" s="609" t="e">
        <f>ROUND(IF(D3="",B2*10000/'数据-汇总表'!E3,B2*10000/D3),0)</f>
        <v>#N/A</v>
      </c>
      <c r="C3" s="247" t="s">
        <v>2738</v>
      </c>
      <c r="D3" s="1578"/>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30" ht="15">
      <c r="A4" s="401" t="s">
        <v>2527</v>
      </c>
      <c r="B4" s="402"/>
      <c r="C4" s="3292" t="s">
        <v>2528</v>
      </c>
      <c r="D4" s="3293"/>
      <c r="E4" s="3294" t="s">
        <v>2529</v>
      </c>
      <c r="F4" s="3295"/>
      <c r="G4" s="3292" t="s">
        <v>2530</v>
      </c>
      <c r="H4" s="3293"/>
      <c r="I4" s="3292" t="s">
        <v>2531</v>
      </c>
      <c r="J4" s="3293"/>
      <c r="K4" s="610" t="s">
        <v>2532</v>
      </c>
      <c r="L4" s="1126"/>
      <c r="M4" s="1127"/>
      <c r="N4" s="1127"/>
      <c r="O4" s="1127"/>
      <c r="P4" s="3296" t="s">
        <v>2533</v>
      </c>
      <c r="Q4" s="3297"/>
      <c r="R4" s="3279" t="s">
        <v>2529</v>
      </c>
      <c r="S4" s="3280"/>
      <c r="T4" s="3279" t="s">
        <v>2530</v>
      </c>
      <c r="U4" s="3280"/>
      <c r="V4" s="3304" t="s">
        <v>2531</v>
      </c>
      <c r="W4" s="3304"/>
      <c r="X4" s="2957"/>
      <c r="Y4" s="3279" t="s">
        <v>2533</v>
      </c>
      <c r="Z4" s="3280"/>
      <c r="AA4" s="3274" t="s">
        <v>2529</v>
      </c>
      <c r="AB4" s="3275" t="s">
        <v>2530</v>
      </c>
      <c r="AC4" s="3274" t="s">
        <v>2531</v>
      </c>
    </row>
    <row r="5" spans="1:30" ht="15">
      <c r="A5" s="404"/>
      <c r="B5" s="405"/>
      <c r="C5" s="3285" t="s">
        <v>2534</v>
      </c>
      <c r="D5" s="3286"/>
      <c r="E5" s="3283" t="str">
        <f>商业土地案例!E6</f>
        <v>江北区大石坝组团L分区L10-12/02(部分)号宗地</v>
      </c>
      <c r="F5" s="3284"/>
      <c r="G5" s="3285" t="str">
        <f>商业土地案例!E19</f>
        <v>两江新区人和组团M分区M9-2/02号宗地</v>
      </c>
      <c r="H5" s="3286"/>
      <c r="I5" s="3285" t="str">
        <f>商业土地案例!E39</f>
        <v>九龙坡区大杨石组团H分区H10-2/03号宗地</v>
      </c>
      <c r="J5" s="3286"/>
      <c r="K5" s="610"/>
      <c r="L5" s="1126"/>
      <c r="M5" s="1127"/>
      <c r="N5" s="1127"/>
      <c r="O5" s="1127"/>
      <c r="P5" s="3298"/>
      <c r="Q5" s="3299"/>
      <c r="R5" s="3281"/>
      <c r="S5" s="3282"/>
      <c r="T5" s="3281"/>
      <c r="U5" s="3282"/>
      <c r="V5" s="3304"/>
      <c r="W5" s="3304"/>
      <c r="X5" s="2957"/>
      <c r="Y5" s="3281"/>
      <c r="Z5" s="3282"/>
      <c r="AA5" s="3275"/>
      <c r="AB5" s="3275"/>
      <c r="AC5" s="3275"/>
    </row>
    <row r="6" spans="1:30" ht="15.75" thickBot="1">
      <c r="A6" s="406"/>
      <c r="B6" s="407"/>
      <c r="C6" s="3287" t="s">
        <v>2538</v>
      </c>
      <c r="D6" s="3288"/>
      <c r="E6" s="3289">
        <f>商业土地案例!G6</f>
        <v>17042</v>
      </c>
      <c r="F6" s="3290"/>
      <c r="G6" s="3287">
        <f>商业土地案例!G19</f>
        <v>17101</v>
      </c>
      <c r="H6" s="3288"/>
      <c r="I6" s="3287">
        <f>商业土地案例!G39</f>
        <v>17147</v>
      </c>
      <c r="J6" s="3288"/>
      <c r="K6" s="610" t="s">
        <v>2539</v>
      </c>
      <c r="L6" s="1126"/>
      <c r="M6" s="1127"/>
      <c r="N6" s="1127"/>
      <c r="O6" s="1127"/>
      <c r="P6" s="3300"/>
      <c r="Q6" s="3301"/>
      <c r="R6" s="3281"/>
      <c r="S6" s="3282"/>
      <c r="T6" s="3302"/>
      <c r="U6" s="3303"/>
      <c r="V6" s="3304"/>
      <c r="W6" s="3304"/>
      <c r="X6" s="2957"/>
      <c r="Y6" s="3302"/>
      <c r="Z6" s="3303"/>
      <c r="AA6" s="3276"/>
      <c r="AB6" s="3276"/>
      <c r="AC6" s="3276"/>
    </row>
    <row r="7" spans="1:30" s="117" customFormat="1" ht="15.75" thickBot="1">
      <c r="A7" s="408" t="s">
        <v>2540</v>
      </c>
      <c r="B7" s="409"/>
      <c r="C7" s="410">
        <f>'数据-取费表'!B2</f>
        <v>43796</v>
      </c>
      <c r="D7" s="411">
        <v>100</v>
      </c>
      <c r="E7" s="412" t="str">
        <f>商业土地案例!L6</f>
        <v>2017-05-05</v>
      </c>
      <c r="F7" s="413">
        <f>SUMIF(70:70,YEAR(E7)&amp;"-"&amp;INT((MONTH(E7)+2)/3),71:71)</f>
        <v>95</v>
      </c>
      <c r="G7" s="2687" t="str">
        <f>商业土地案例!L19</f>
        <v>2017-08-17</v>
      </c>
      <c r="H7" s="411">
        <f>SUMIF(70:70,YEAR(G7)&amp;"-"&amp;INT((MONTH(G7)+2)/3),71:71)</f>
        <v>95.5</v>
      </c>
      <c r="I7" s="2687" t="str">
        <f>商业土地案例!L39</f>
        <v>2017-12-11</v>
      </c>
      <c r="J7" s="411">
        <f>SUMIF(70:70,YEAR(I7)&amp;"-"&amp;INT((MONTH(I7)+2)/3),71:71)</f>
        <v>96</v>
      </c>
      <c r="K7" s="611"/>
      <c r="L7" s="1128"/>
      <c r="M7" s="1129"/>
      <c r="N7" s="1129"/>
      <c r="O7" s="1129"/>
      <c r="P7" s="3277" t="s">
        <v>2541</v>
      </c>
      <c r="Q7" s="3305"/>
      <c r="R7" s="768" t="s">
        <v>17</v>
      </c>
      <c r="S7" s="769">
        <f t="shared" ref="S7:S15" si="0">F7</f>
        <v>95</v>
      </c>
      <c r="T7" s="768" t="s">
        <v>17</v>
      </c>
      <c r="U7" s="769">
        <f t="shared" ref="U7:U15" si="1">H7</f>
        <v>95.5</v>
      </c>
      <c r="V7" s="768" t="s">
        <v>17</v>
      </c>
      <c r="W7" s="769">
        <f t="shared" ref="W7:W15" si="2">J7</f>
        <v>96</v>
      </c>
      <c r="X7" s="770"/>
      <c r="Y7" s="3277" t="s">
        <v>2541</v>
      </c>
      <c r="Z7" s="3278"/>
      <c r="AA7" s="771">
        <f>D7/F7</f>
        <v>1.0526315789473684</v>
      </c>
      <c r="AB7" s="771">
        <f>D7/H7</f>
        <v>1.0471204188481675</v>
      </c>
      <c r="AC7" s="771">
        <f>D7/J7</f>
        <v>1.0416666666666667</v>
      </c>
    </row>
    <row r="8" spans="1:30" s="117" customFormat="1" ht="15.75" thickBot="1">
      <c r="A8" s="408" t="s">
        <v>2542</v>
      </c>
      <c r="B8" s="409"/>
      <c r="C8" s="414" t="s">
        <v>2543</v>
      </c>
      <c r="D8" s="411">
        <v>100</v>
      </c>
      <c r="E8" s="414" t="s">
        <v>3605</v>
      </c>
      <c r="F8" s="413">
        <f>SUMIF(73:73,E8,74:74)-SUMIF(73:73,C8,74:74)+100</f>
        <v>100</v>
      </c>
      <c r="G8" s="414" t="s">
        <v>3605</v>
      </c>
      <c r="H8" s="411">
        <f>SUMIF(73:73,G8,74:74)-SUMIF(73:73,C8,74:74)+100</f>
        <v>100</v>
      </c>
      <c r="I8" s="414" t="s">
        <v>3605</v>
      </c>
      <c r="J8" s="411">
        <f>SUMIF(73:73,I8,74:74)-SUMIF(73:73,C8,74:74)+100</f>
        <v>100</v>
      </c>
      <c r="K8" s="611"/>
      <c r="L8" s="1128"/>
      <c r="M8" s="1129"/>
      <c r="N8" s="1129"/>
      <c r="O8" s="1129"/>
      <c r="P8" s="3277" t="s">
        <v>2544</v>
      </c>
      <c r="Q8" s="3278"/>
      <c r="R8" s="768" t="s">
        <v>17</v>
      </c>
      <c r="S8" s="769">
        <f t="shared" si="0"/>
        <v>100</v>
      </c>
      <c r="T8" s="768" t="s">
        <v>17</v>
      </c>
      <c r="U8" s="769">
        <f t="shared" si="1"/>
        <v>100</v>
      </c>
      <c r="V8" s="768" t="s">
        <v>17</v>
      </c>
      <c r="W8" s="769">
        <f t="shared" si="2"/>
        <v>100</v>
      </c>
      <c r="X8" s="770"/>
      <c r="Y8" s="3277" t="s">
        <v>2544</v>
      </c>
      <c r="Z8" s="3278"/>
      <c r="AA8" s="771">
        <f t="shared" ref="AA8:AA45" si="3">D8/F8</f>
        <v>1</v>
      </c>
      <c r="AB8" s="771">
        <f t="shared" ref="AB8:AB45" si="4">D8/H8</f>
        <v>1</v>
      </c>
      <c r="AC8" s="771">
        <f t="shared" ref="AC8:AC45" si="5">D8/J8</f>
        <v>1</v>
      </c>
    </row>
    <row r="9" spans="1:30" s="117" customFormat="1" ht="28.5">
      <c r="A9" s="415" t="s">
        <v>2545</v>
      </c>
      <c r="B9" s="71" t="s">
        <v>2546</v>
      </c>
      <c r="C9" s="2690" t="s">
        <v>3803</v>
      </c>
      <c r="D9" s="135">
        <v>100</v>
      </c>
      <c r="E9" s="2690" t="s">
        <v>3633</v>
      </c>
      <c r="F9" s="135">
        <f>SUMIF(75:75,E9,76:76)-SUMIF(75:75,C9,76:76)+100</f>
        <v>100</v>
      </c>
      <c r="G9" s="2690" t="s">
        <v>3679</v>
      </c>
      <c r="H9" s="135">
        <f>SUMIF(75:75,G9,76:76)-SUMIF(75:75,C9,76:76)+100</f>
        <v>100</v>
      </c>
      <c r="I9" s="2690" t="s">
        <v>3633</v>
      </c>
      <c r="J9" s="135">
        <f>SUMIF(75:75,I9,76:76)-SUMIF(75:75,C9,76:76)+100</f>
        <v>100</v>
      </c>
      <c r="K9" s="611"/>
      <c r="L9" s="1128"/>
      <c r="M9" s="1129"/>
      <c r="N9" s="1129"/>
      <c r="O9" s="1130"/>
      <c r="P9" s="3291" t="s">
        <v>2547</v>
      </c>
      <c r="Q9" s="2943" t="str">
        <f t="shared" ref="Q9:Q15" si="6">B9</f>
        <v>用途</v>
      </c>
      <c r="R9" s="768" t="s">
        <v>17</v>
      </c>
      <c r="S9" s="769">
        <f t="shared" si="0"/>
        <v>100</v>
      </c>
      <c r="T9" s="768" t="s">
        <v>17</v>
      </c>
      <c r="U9" s="769">
        <f t="shared" si="1"/>
        <v>100</v>
      </c>
      <c r="V9" s="768" t="s">
        <v>17</v>
      </c>
      <c r="W9" s="769">
        <f t="shared" si="2"/>
        <v>100</v>
      </c>
      <c r="X9" s="770"/>
      <c r="Y9" s="3136" t="s">
        <v>2548</v>
      </c>
      <c r="Z9" s="2944" t="str">
        <f t="shared" ref="Z9:Z15" si="7">Q9</f>
        <v>用途</v>
      </c>
      <c r="AA9" s="771">
        <f t="shared" si="3"/>
        <v>1</v>
      </c>
      <c r="AB9" s="771">
        <f t="shared" si="4"/>
        <v>1</v>
      </c>
      <c r="AC9" s="771">
        <f t="shared" si="5"/>
        <v>1</v>
      </c>
    </row>
    <row r="10" spans="1:30" s="427" customFormat="1" ht="27">
      <c r="A10" s="421"/>
      <c r="B10" s="2949" t="s">
        <v>2549</v>
      </c>
      <c r="C10" s="432"/>
      <c r="D10" s="136">
        <v>100</v>
      </c>
      <c r="E10" s="465"/>
      <c r="F10" s="136">
        <f>ROUND(100/'数据-取费表'!G16,0)</f>
        <v>109</v>
      </c>
      <c r="G10" s="463"/>
      <c r="H10" s="136">
        <f>ROUND(100/'数据-取费表'!G16,0)</f>
        <v>109</v>
      </c>
      <c r="I10" s="463"/>
      <c r="J10" s="136">
        <f>ROUND(100/'数据-取费表'!G16,0)</f>
        <v>109</v>
      </c>
      <c r="K10" s="671"/>
      <c r="L10" s="1131"/>
      <c r="M10" s="1132"/>
      <c r="N10" s="1132"/>
      <c r="O10" s="1133"/>
      <c r="P10" s="3291"/>
      <c r="Q10" s="2943" t="str">
        <f t="shared" si="6"/>
        <v>土地使用年限（年）</v>
      </c>
      <c r="R10" s="768" t="s">
        <v>17</v>
      </c>
      <c r="S10" s="769">
        <f t="shared" si="0"/>
        <v>109</v>
      </c>
      <c r="T10" s="768" t="s">
        <v>17</v>
      </c>
      <c r="U10" s="769">
        <f t="shared" si="1"/>
        <v>109</v>
      </c>
      <c r="V10" s="768" t="s">
        <v>17</v>
      </c>
      <c r="W10" s="769">
        <f t="shared" si="2"/>
        <v>109</v>
      </c>
      <c r="X10" s="770"/>
      <c r="Y10" s="3136"/>
      <c r="Z10" s="2944" t="str">
        <f t="shared" si="7"/>
        <v>土地使用年限（年）</v>
      </c>
      <c r="AA10" s="771">
        <f t="shared" si="3"/>
        <v>0.91743119266055051</v>
      </c>
      <c r="AB10" s="771">
        <f t="shared" si="4"/>
        <v>0.91743119266055051</v>
      </c>
      <c r="AC10" s="771">
        <f t="shared" si="5"/>
        <v>0.91743119266055051</v>
      </c>
    </row>
    <row r="11" spans="1:30" ht="15">
      <c r="A11" s="428"/>
      <c r="B11" s="2949" t="s">
        <v>2550</v>
      </c>
      <c r="C11" s="429">
        <f>'数据-汇总表'!I7</f>
        <v>0</v>
      </c>
      <c r="D11" s="136">
        <v>100</v>
      </c>
      <c r="E11" s="429">
        <v>4.5</v>
      </c>
      <c r="F11" s="136" t="e">
        <f>LOOKUP(E11,80:80,81:81)-LOOKUP(C11,80:80,81:81)+100</f>
        <v>#N/A</v>
      </c>
      <c r="G11" s="430">
        <v>4.5</v>
      </c>
      <c r="H11" s="136" t="e">
        <f>LOOKUP(G11,80:80,81:81)-LOOKUP(C11,80:80,81:81)+100</f>
        <v>#N/A</v>
      </c>
      <c r="I11" s="429">
        <v>6</v>
      </c>
      <c r="J11" s="136" t="e">
        <f>LOOKUP(I11,80:80,81:81)-LOOKUP(C11,80:80,81:81)+100</f>
        <v>#N/A</v>
      </c>
      <c r="K11" s="672">
        <v>3</v>
      </c>
      <c r="L11" s="1134"/>
      <c r="M11" s="1127"/>
      <c r="N11" s="1127"/>
      <c r="O11" s="1135"/>
      <c r="P11" s="3291"/>
      <c r="Q11" s="2943" t="str">
        <f t="shared" si="6"/>
        <v>容积率</v>
      </c>
      <c r="R11" s="768" t="s">
        <v>17</v>
      </c>
      <c r="S11" s="769" t="e">
        <f t="shared" si="0"/>
        <v>#N/A</v>
      </c>
      <c r="T11" s="768" t="s">
        <v>17</v>
      </c>
      <c r="U11" s="769" t="e">
        <f t="shared" si="1"/>
        <v>#N/A</v>
      </c>
      <c r="V11" s="768" t="s">
        <v>17</v>
      </c>
      <c r="W11" s="769" t="e">
        <f t="shared" si="2"/>
        <v>#N/A</v>
      </c>
      <c r="X11" s="770"/>
      <c r="Y11" s="3136"/>
      <c r="Z11" s="2944" t="str">
        <f t="shared" si="7"/>
        <v>容积率</v>
      </c>
      <c r="AA11" s="771" t="e">
        <f t="shared" si="3"/>
        <v>#N/A</v>
      </c>
      <c r="AB11" s="771" t="e">
        <f t="shared" si="4"/>
        <v>#N/A</v>
      </c>
      <c r="AC11" s="771" t="e">
        <f t="shared" si="5"/>
        <v>#N/A</v>
      </c>
    </row>
    <row r="12" spans="1:30" s="117" customFormat="1" ht="15">
      <c r="A12" s="431"/>
      <c r="B12" s="2593" t="s">
        <v>2739</v>
      </c>
      <c r="C12" s="432"/>
      <c r="D12" s="433">
        <v>100</v>
      </c>
      <c r="E12" s="465"/>
      <c r="F12" s="136">
        <f>SUMIF(82:82,E12,83:83)-SUMIF(82:82,C12,83:83)+100</f>
        <v>100</v>
      </c>
      <c r="G12" s="463"/>
      <c r="H12" s="136">
        <f>SUMIF(82:82,G12,83:83)-SUMIF(82:82,C12,83:83)+100</f>
        <v>100</v>
      </c>
      <c r="I12" s="465"/>
      <c r="J12" s="136">
        <f>SUMIF(82:82,I12,83:83)-SUMIF(82:82,C12,83:83)+100</f>
        <v>100</v>
      </c>
      <c r="K12" s="671"/>
      <c r="L12" s="1128"/>
      <c r="M12" s="1129"/>
      <c r="N12" s="1129"/>
      <c r="O12" s="1130"/>
      <c r="P12" s="3291"/>
      <c r="Q12" s="2943" t="str">
        <f t="shared" si="6"/>
        <v>配建</v>
      </c>
      <c r="R12" s="768" t="s">
        <v>17</v>
      </c>
      <c r="S12" s="769">
        <f t="shared" si="0"/>
        <v>100</v>
      </c>
      <c r="T12" s="768" t="s">
        <v>17</v>
      </c>
      <c r="U12" s="769">
        <f t="shared" si="1"/>
        <v>100</v>
      </c>
      <c r="V12" s="768" t="s">
        <v>17</v>
      </c>
      <c r="W12" s="769">
        <f t="shared" si="2"/>
        <v>100</v>
      </c>
      <c r="X12" s="770"/>
      <c r="Y12" s="3136"/>
      <c r="Z12" s="2944" t="str">
        <f t="shared" si="7"/>
        <v>配建</v>
      </c>
      <c r="AA12" s="771">
        <f>D12/F12</f>
        <v>1</v>
      </c>
      <c r="AB12" s="771">
        <f>D12/H12</f>
        <v>1</v>
      </c>
      <c r="AC12" s="771">
        <f>D12/J12</f>
        <v>1</v>
      </c>
    </row>
    <row r="13" spans="1:30" ht="15">
      <c r="A13" s="428"/>
      <c r="B13" s="2593"/>
      <c r="C13" s="434"/>
      <c r="D13" s="435">
        <v>100</v>
      </c>
      <c r="E13" s="549"/>
      <c r="F13" s="136">
        <f>SUMIF(84:84,E13,85:85)-SUMIF(84:84,C13,85:85)+100</f>
        <v>100</v>
      </c>
      <c r="G13" s="673"/>
      <c r="H13" s="435">
        <f>SUMIF(84:84,G13,85:85)-SUMIF(84:84,C13,85:85)+100</f>
        <v>100</v>
      </c>
      <c r="I13" s="673"/>
      <c r="J13" s="435">
        <f>SUMIF(84:84,I13,85:85)-SUMIF(84:84,C13,85:85)+100</f>
        <v>100</v>
      </c>
      <c r="K13" s="671"/>
      <c r="L13" s="1136"/>
      <c r="M13" s="1127"/>
      <c r="N13" s="1127"/>
      <c r="O13" s="1135"/>
      <c r="P13" s="3291"/>
      <c r="Q13" s="2943">
        <f t="shared" si="6"/>
        <v>0</v>
      </c>
      <c r="R13" s="768" t="s">
        <v>17</v>
      </c>
      <c r="S13" s="769">
        <f t="shared" si="0"/>
        <v>100</v>
      </c>
      <c r="T13" s="768" t="s">
        <v>17</v>
      </c>
      <c r="U13" s="769">
        <f t="shared" si="1"/>
        <v>100</v>
      </c>
      <c r="V13" s="768" t="s">
        <v>17</v>
      </c>
      <c r="W13" s="769">
        <f t="shared" si="2"/>
        <v>100</v>
      </c>
      <c r="X13" s="770"/>
      <c r="Y13" s="3136"/>
      <c r="Z13" s="2944">
        <f t="shared" si="7"/>
        <v>0</v>
      </c>
      <c r="AA13" s="771">
        <f>D13/F13</f>
        <v>1</v>
      </c>
      <c r="AB13" s="771">
        <f>D13/H13</f>
        <v>1</v>
      </c>
      <c r="AC13" s="771">
        <f>D13/J13</f>
        <v>1</v>
      </c>
    </row>
    <row r="14" spans="1:30" ht="15.75" thickBot="1">
      <c r="A14" s="436"/>
      <c r="B14" s="2595"/>
      <c r="C14" s="437"/>
      <c r="D14" s="438">
        <v>100</v>
      </c>
      <c r="E14" s="549"/>
      <c r="F14" s="438">
        <f>SUMIF(86:86,E14,87:87)-SUMIF(86:86,C14,87:87)+100</f>
        <v>100</v>
      </c>
      <c r="G14" s="673"/>
      <c r="H14" s="438">
        <f>SUMIF(86:86,G14,87:87)-SUMIF(86:86,C14,87:87)+100</f>
        <v>100</v>
      </c>
      <c r="I14" s="673"/>
      <c r="J14" s="438">
        <f>SUMIF(86:86,I14,87:87)-SUMIF(86:86,C14,87:87)+100</f>
        <v>100</v>
      </c>
      <c r="K14" s="671"/>
      <c r="L14" s="1136"/>
      <c r="M14" s="1127"/>
      <c r="N14" s="1127"/>
      <c r="O14" s="1135"/>
      <c r="P14" s="3291"/>
      <c r="Q14" s="2943">
        <f t="shared" si="6"/>
        <v>0</v>
      </c>
      <c r="R14" s="768" t="s">
        <v>17</v>
      </c>
      <c r="S14" s="769">
        <f t="shared" si="0"/>
        <v>100</v>
      </c>
      <c r="T14" s="768" t="s">
        <v>17</v>
      </c>
      <c r="U14" s="769">
        <f t="shared" si="1"/>
        <v>100</v>
      </c>
      <c r="V14" s="768" t="s">
        <v>17</v>
      </c>
      <c r="W14" s="769">
        <f t="shared" si="2"/>
        <v>100</v>
      </c>
      <c r="X14" s="770"/>
      <c r="Y14" s="3136"/>
      <c r="Z14" s="2944">
        <f t="shared" si="7"/>
        <v>0</v>
      </c>
      <c r="AA14" s="771">
        <f>D14/F14</f>
        <v>1</v>
      </c>
      <c r="AB14" s="771">
        <f>D14/H14</f>
        <v>1</v>
      </c>
      <c r="AC14" s="771">
        <f>D14/J14</f>
        <v>1</v>
      </c>
    </row>
    <row r="15" spans="1:30" ht="99.75">
      <c r="A15" s="440" t="s">
        <v>2551</v>
      </c>
      <c r="B15" s="69" t="s">
        <v>2080</v>
      </c>
      <c r="C15" s="259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36"/>
      <c r="M15" s="1127"/>
      <c r="N15" s="1127"/>
      <c r="O15" s="1135"/>
      <c r="P15" s="3306" t="s">
        <v>2552</v>
      </c>
      <c r="Q15" s="2955" t="str">
        <f t="shared" si="6"/>
        <v>居住社区成熟度</v>
      </c>
      <c r="R15" s="772" t="s">
        <v>17</v>
      </c>
      <c r="S15" s="773">
        <f t="shared" si="0"/>
        <v>100</v>
      </c>
      <c r="T15" s="772" t="s">
        <v>17</v>
      </c>
      <c r="U15" s="773">
        <f t="shared" si="1"/>
        <v>100</v>
      </c>
      <c r="V15" s="772" t="s">
        <v>17</v>
      </c>
      <c r="W15" s="773">
        <f t="shared" si="2"/>
        <v>100</v>
      </c>
      <c r="X15" s="2957"/>
      <c r="Y15" s="3306" t="s">
        <v>2552</v>
      </c>
      <c r="Z15" s="2958" t="str">
        <f t="shared" si="7"/>
        <v>居住社区成熟度</v>
      </c>
      <c r="AA15" s="2956">
        <f t="shared" si="3"/>
        <v>1</v>
      </c>
      <c r="AB15" s="2956">
        <f t="shared" si="4"/>
        <v>1</v>
      </c>
      <c r="AC15" s="2956">
        <f t="shared" si="5"/>
        <v>1</v>
      </c>
    </row>
    <row r="16" spans="1:30" ht="15">
      <c r="A16" s="428"/>
      <c r="B16" s="446"/>
      <c r="C16" s="447"/>
      <c r="D16" s="448"/>
      <c r="E16" s="2598"/>
      <c r="F16" s="448"/>
      <c r="G16" s="2598"/>
      <c r="H16" s="450"/>
      <c r="I16" s="2597"/>
      <c r="J16" s="448"/>
      <c r="K16" s="671"/>
      <c r="L16" s="1136"/>
      <c r="M16" s="1127"/>
      <c r="N16" s="1127"/>
      <c r="O16" s="1135"/>
      <c r="P16" s="3307"/>
      <c r="Q16" s="2955"/>
      <c r="R16" s="772"/>
      <c r="S16" s="773"/>
      <c r="T16" s="772"/>
      <c r="U16" s="773"/>
      <c r="V16" s="772"/>
      <c r="W16" s="773"/>
      <c r="X16" s="2957"/>
      <c r="Y16" s="3307"/>
      <c r="Z16" s="2958"/>
      <c r="AA16" s="2956">
        <v>1</v>
      </c>
      <c r="AB16" s="2956">
        <v>1</v>
      </c>
      <c r="AC16" s="2956">
        <v>1</v>
      </c>
    </row>
    <row r="17" spans="1:29" ht="71.25">
      <c r="A17" s="428"/>
      <c r="B17" s="451" t="s">
        <v>2645</v>
      </c>
      <c r="C17" s="2655" t="str">
        <f>估价对象房地状况!C16</f>
        <v>估价对象位于XX商圈，周边商业氛围成熟，人流量大，商业繁华度好</v>
      </c>
      <c r="D17" s="450">
        <v>100</v>
      </c>
      <c r="E17" s="452"/>
      <c r="F17" s="450">
        <f>SUMIF(90:90,E18,91:91)-SUMIF(90:90,C18,91:91)+100</f>
        <v>95</v>
      </c>
      <c r="G17" s="452"/>
      <c r="H17" s="455">
        <f>SUMIF(90:90,G18,91:91)-SUMIF(90:90,C18,91:91)+100</f>
        <v>95</v>
      </c>
      <c r="I17" s="454"/>
      <c r="J17" s="455">
        <f>SUMIF(90:90,I18,91:91)-SUMIF(90:90,C18,91:91)+100</f>
        <v>95</v>
      </c>
      <c r="K17" s="672">
        <v>5</v>
      </c>
      <c r="L17" s="1136"/>
      <c r="M17" s="1127"/>
      <c r="N17" s="1127"/>
      <c r="O17" s="1135"/>
      <c r="P17" s="3307"/>
      <c r="Q17" s="2955" t="str">
        <f>B17</f>
        <v>商业繁华度</v>
      </c>
      <c r="R17" s="772" t="s">
        <v>17</v>
      </c>
      <c r="S17" s="773">
        <f>F17</f>
        <v>95</v>
      </c>
      <c r="T17" s="772" t="s">
        <v>17</v>
      </c>
      <c r="U17" s="773">
        <f>H17</f>
        <v>95</v>
      </c>
      <c r="V17" s="772" t="s">
        <v>17</v>
      </c>
      <c r="W17" s="773">
        <f>J17</f>
        <v>95</v>
      </c>
      <c r="X17" s="2957"/>
      <c r="Y17" s="3307"/>
      <c r="Z17" s="2958" t="str">
        <f>Q17</f>
        <v>商业繁华度</v>
      </c>
      <c r="AA17" s="2956">
        <f t="shared" si="3"/>
        <v>1.0526315789473684</v>
      </c>
      <c r="AB17" s="2956">
        <f t="shared" si="4"/>
        <v>1.0526315789473684</v>
      </c>
      <c r="AC17" s="2956">
        <f t="shared" si="5"/>
        <v>1.0526315789473684</v>
      </c>
    </row>
    <row r="18" spans="1:29" ht="15">
      <c r="A18" s="428"/>
      <c r="B18" s="456"/>
      <c r="C18" s="2601" t="s">
        <v>3609</v>
      </c>
      <c r="D18" s="450"/>
      <c r="E18" s="2603" t="s">
        <v>3610</v>
      </c>
      <c r="F18" s="450"/>
      <c r="G18" s="2603" t="s">
        <v>3610</v>
      </c>
      <c r="H18" s="448"/>
      <c r="I18" s="2602" t="s">
        <v>3610</v>
      </c>
      <c r="J18" s="448"/>
      <c r="K18" s="671"/>
      <c r="L18" s="1136"/>
      <c r="M18" s="1127"/>
      <c r="N18" s="1127"/>
      <c r="O18" s="1135"/>
      <c r="P18" s="3307"/>
      <c r="Q18" s="2955"/>
      <c r="R18" s="772"/>
      <c r="S18" s="773"/>
      <c r="T18" s="772"/>
      <c r="U18" s="773"/>
      <c r="V18" s="772"/>
      <c r="W18" s="773"/>
      <c r="X18" s="2957"/>
      <c r="Y18" s="3307"/>
      <c r="Z18" s="2958"/>
      <c r="AA18" s="2956">
        <v>1</v>
      </c>
      <c r="AB18" s="2956">
        <v>1</v>
      </c>
      <c r="AC18" s="2956">
        <v>1</v>
      </c>
    </row>
    <row r="19" spans="1:29" ht="71.25">
      <c r="A19" s="428"/>
      <c r="B19" s="451" t="s">
        <v>2679</v>
      </c>
      <c r="C19" s="2655" t="str">
        <f>估价对象房地状况!C17</f>
        <v>估价对象位于XX商圈，周边办公楼项目较多，入驻率高，办公集聚程度较好</v>
      </c>
      <c r="D19" s="455">
        <v>100</v>
      </c>
      <c r="E19" s="457"/>
      <c r="F19" s="455">
        <f>SUMIF(92:92,E20,93:93)-SUMIF(92:92,C20,93:93)+100</f>
        <v>97</v>
      </c>
      <c r="G19" s="457"/>
      <c r="H19" s="450">
        <f>SUMIF(92:92,G20,93:93)-SUMIF(92:92,C20,93:93)+100</f>
        <v>97</v>
      </c>
      <c r="I19" s="459"/>
      <c r="J19" s="450">
        <f>SUMIF(92:92,I20,93:93)-SUMIF(92:92,C20,93:93)+100</f>
        <v>97</v>
      </c>
      <c r="K19" s="672">
        <v>3</v>
      </c>
      <c r="L19" s="1136"/>
      <c r="M19" s="1127"/>
      <c r="N19" s="1127"/>
      <c r="O19" s="1135"/>
      <c r="P19" s="3307"/>
      <c r="Q19" s="2955" t="str">
        <f>B19</f>
        <v>办公集聚程度</v>
      </c>
      <c r="R19" s="772" t="s">
        <v>17</v>
      </c>
      <c r="S19" s="773">
        <f>F19</f>
        <v>97</v>
      </c>
      <c r="T19" s="772" t="s">
        <v>17</v>
      </c>
      <c r="U19" s="773">
        <f>H19</f>
        <v>97</v>
      </c>
      <c r="V19" s="772" t="s">
        <v>17</v>
      </c>
      <c r="W19" s="773">
        <f>J19</f>
        <v>97</v>
      </c>
      <c r="X19" s="2957"/>
      <c r="Y19" s="3307"/>
      <c r="Z19" s="2958" t="str">
        <f>Q19</f>
        <v>办公集聚程度</v>
      </c>
      <c r="AA19" s="2956">
        <f t="shared" si="3"/>
        <v>1.0309278350515463</v>
      </c>
      <c r="AB19" s="2956">
        <f t="shared" si="4"/>
        <v>1.0309278350515463</v>
      </c>
      <c r="AC19" s="2956">
        <f t="shared" si="5"/>
        <v>1.0309278350515463</v>
      </c>
    </row>
    <row r="20" spans="1:29" ht="15">
      <c r="A20" s="428"/>
      <c r="B20" s="456"/>
      <c r="C20" s="447" t="s">
        <v>3610</v>
      </c>
      <c r="D20" s="448"/>
      <c r="E20" s="2598" t="s">
        <v>3611</v>
      </c>
      <c r="F20" s="448"/>
      <c r="G20" s="2598" t="s">
        <v>3611</v>
      </c>
      <c r="H20" s="448"/>
      <c r="I20" s="2597" t="s">
        <v>3611</v>
      </c>
      <c r="J20" s="448"/>
      <c r="K20" s="671"/>
      <c r="L20" s="1136"/>
      <c r="M20" s="1127"/>
      <c r="N20" s="1127"/>
      <c r="O20" s="1135"/>
      <c r="P20" s="3307"/>
      <c r="Q20" s="2955"/>
      <c r="R20" s="772"/>
      <c r="S20" s="773"/>
      <c r="T20" s="772"/>
      <c r="U20" s="773"/>
      <c r="V20" s="772"/>
      <c r="W20" s="773"/>
      <c r="X20" s="2957"/>
      <c r="Y20" s="3307"/>
      <c r="Z20" s="2958"/>
      <c r="AA20" s="2956">
        <v>1</v>
      </c>
      <c r="AB20" s="2956">
        <v>1</v>
      </c>
      <c r="AC20" s="2956">
        <v>1</v>
      </c>
    </row>
    <row r="21" spans="1:29" ht="85.5">
      <c r="A21" s="428"/>
      <c r="B21" s="451" t="s">
        <v>2701</v>
      </c>
      <c r="C21" s="2600" t="str">
        <f>估价对象房地状况!C18</f>
        <v>估价对象周边道路状况、公共交通通达情况、停车便捷程度，综合评价交通便捷度较好</v>
      </c>
      <c r="D21" s="450">
        <v>100</v>
      </c>
      <c r="E21" s="452"/>
      <c r="F21" s="455">
        <f>SUMIF(94:94,E22,95:95)-SUMIF(94:94,C22,95:95)+100</f>
        <v>97</v>
      </c>
      <c r="G21" s="452"/>
      <c r="H21" s="450">
        <f>SUMIF(94:94,G22,95:95)-SUMIF(94:94,C22,95:95)+100</f>
        <v>97</v>
      </c>
      <c r="I21" s="454"/>
      <c r="J21" s="450">
        <f>SUMIF(94:94,I22,95:95)-SUMIF(94:94,C22,95:95)+100</f>
        <v>97</v>
      </c>
      <c r="K21" s="672">
        <v>3</v>
      </c>
      <c r="L21" s="1136"/>
      <c r="M21" s="1127"/>
      <c r="N21" s="1127"/>
      <c r="O21" s="1135"/>
      <c r="P21" s="3307"/>
      <c r="Q21" s="2955" t="str">
        <f>B21</f>
        <v>交通便捷度</v>
      </c>
      <c r="R21" s="772" t="s">
        <v>17</v>
      </c>
      <c r="S21" s="773">
        <f>F21</f>
        <v>97</v>
      </c>
      <c r="T21" s="772" t="s">
        <v>17</v>
      </c>
      <c r="U21" s="773">
        <f>H21</f>
        <v>97</v>
      </c>
      <c r="V21" s="772" t="s">
        <v>17</v>
      </c>
      <c r="W21" s="773">
        <f>J21</f>
        <v>97</v>
      </c>
      <c r="X21" s="2957"/>
      <c r="Y21" s="3307"/>
      <c r="Z21" s="2958" t="str">
        <f>Q21</f>
        <v>交通便捷度</v>
      </c>
      <c r="AA21" s="2956">
        <f t="shared" si="3"/>
        <v>1.0309278350515463</v>
      </c>
      <c r="AB21" s="2956">
        <f t="shared" si="4"/>
        <v>1.0309278350515463</v>
      </c>
      <c r="AC21" s="2956">
        <f t="shared" si="5"/>
        <v>1.0309278350515463</v>
      </c>
    </row>
    <row r="22" spans="1:29" ht="15">
      <c r="A22" s="428"/>
      <c r="B22" s="1380"/>
      <c r="C22" s="447" t="s">
        <v>3610</v>
      </c>
      <c r="D22" s="450"/>
      <c r="E22" s="2598" t="s">
        <v>3611</v>
      </c>
      <c r="F22" s="448"/>
      <c r="G22" s="2598" t="s">
        <v>3611</v>
      </c>
      <c r="H22" s="448"/>
      <c r="I22" s="2598" t="s">
        <v>3611</v>
      </c>
      <c r="J22" s="448"/>
      <c r="K22" s="671"/>
      <c r="L22" s="1136"/>
      <c r="M22" s="1127"/>
      <c r="N22" s="1127"/>
      <c r="O22" s="1135"/>
      <c r="P22" s="3307"/>
      <c r="Q22" s="2955"/>
      <c r="R22" s="772"/>
      <c r="S22" s="773"/>
      <c r="T22" s="772"/>
      <c r="U22" s="773"/>
      <c r="V22" s="772"/>
      <c r="W22" s="773"/>
      <c r="X22" s="2957"/>
      <c r="Y22" s="3307"/>
      <c r="Z22" s="2958"/>
      <c r="AA22" s="2956">
        <v>1</v>
      </c>
      <c r="AB22" s="2956">
        <v>1</v>
      </c>
      <c r="AC22" s="2956">
        <v>1</v>
      </c>
    </row>
    <row r="23" spans="1:29" ht="15">
      <c r="A23" s="404"/>
      <c r="B23" s="451" t="s">
        <v>2740</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36"/>
      <c r="M23" s="1127"/>
      <c r="N23" s="1127"/>
      <c r="O23" s="1135"/>
      <c r="P23" s="3307"/>
      <c r="Q23" s="2955" t="str">
        <f t="shared" ref="Q23:Q37" si="8">B23</f>
        <v>区域土地利用方向</v>
      </c>
      <c r="R23" s="772" t="s">
        <v>17</v>
      </c>
      <c r="S23" s="773">
        <f>F23</f>
        <v>100</v>
      </c>
      <c r="T23" s="772" t="s">
        <v>17</v>
      </c>
      <c r="U23" s="773">
        <f>H23</f>
        <v>100</v>
      </c>
      <c r="V23" s="772" t="s">
        <v>17</v>
      </c>
      <c r="W23" s="773">
        <f>J23</f>
        <v>100</v>
      </c>
      <c r="X23" s="2957"/>
      <c r="Y23" s="3307"/>
      <c r="Z23" s="2958" t="str">
        <f>Q23</f>
        <v>区域土地利用方向</v>
      </c>
      <c r="AA23" s="2956">
        <f t="shared" si="3"/>
        <v>1</v>
      </c>
      <c r="AB23" s="2956">
        <f t="shared" si="4"/>
        <v>1</v>
      </c>
      <c r="AC23" s="2956">
        <f t="shared" si="5"/>
        <v>1</v>
      </c>
    </row>
    <row r="24" spans="1:29" ht="15">
      <c r="A24" s="404"/>
      <c r="B24" s="456"/>
      <c r="C24" s="616"/>
      <c r="D24" s="448"/>
      <c r="E24" s="2598"/>
      <c r="F24" s="448"/>
      <c r="G24" s="2597"/>
      <c r="H24" s="448"/>
      <c r="I24" s="2597"/>
      <c r="J24" s="448"/>
      <c r="K24" s="808"/>
      <c r="L24" s="1136"/>
      <c r="M24" s="1127"/>
      <c r="N24" s="1127"/>
      <c r="O24" s="1135"/>
      <c r="P24" s="3307"/>
      <c r="Q24" s="2955"/>
      <c r="R24" s="772"/>
      <c r="S24" s="773"/>
      <c r="T24" s="772"/>
      <c r="U24" s="773"/>
      <c r="V24" s="772"/>
      <c r="W24" s="773"/>
      <c r="X24" s="2957"/>
      <c r="Y24" s="3307"/>
      <c r="Z24" s="2958"/>
      <c r="AA24" s="2956"/>
      <c r="AB24" s="2956"/>
      <c r="AC24" s="2956"/>
    </row>
    <row r="25" spans="1:29" ht="57">
      <c r="A25" s="404"/>
      <c r="B25" s="1380" t="s">
        <v>2741</v>
      </c>
      <c r="C25" s="265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36"/>
      <c r="M25" s="1127"/>
      <c r="N25" s="1127"/>
      <c r="O25" s="1135"/>
      <c r="P25" s="3307"/>
      <c r="Q25" s="2955" t="str">
        <f t="shared" si="8"/>
        <v>自然及人文环境状况</v>
      </c>
      <c r="R25" s="772" t="s">
        <v>17</v>
      </c>
      <c r="S25" s="773">
        <f>F25</f>
        <v>100</v>
      </c>
      <c r="T25" s="772" t="s">
        <v>17</v>
      </c>
      <c r="U25" s="773">
        <f>H25</f>
        <v>100</v>
      </c>
      <c r="V25" s="772" t="s">
        <v>17</v>
      </c>
      <c r="W25" s="773">
        <f>J25</f>
        <v>100</v>
      </c>
      <c r="X25" s="2957"/>
      <c r="Y25" s="3307"/>
      <c r="Z25" s="2958" t="str">
        <f>Q25</f>
        <v>自然及人文环境状况</v>
      </c>
      <c r="AA25" s="2956">
        <f t="shared" si="3"/>
        <v>1</v>
      </c>
      <c r="AB25" s="2956">
        <f t="shared" si="4"/>
        <v>1</v>
      </c>
      <c r="AC25" s="2956">
        <f t="shared" si="5"/>
        <v>1</v>
      </c>
    </row>
    <row r="26" spans="1:29" ht="15">
      <c r="A26" s="404"/>
      <c r="B26" s="456"/>
      <c r="C26" s="447" t="s">
        <v>3610</v>
      </c>
      <c r="D26" s="448"/>
      <c r="E26" s="447" t="s">
        <v>3610</v>
      </c>
      <c r="F26" s="448"/>
      <c r="G26" s="447" t="s">
        <v>3610</v>
      </c>
      <c r="H26" s="448"/>
      <c r="I26" s="447" t="s">
        <v>3610</v>
      </c>
      <c r="J26" s="448"/>
      <c r="K26" s="671"/>
      <c r="L26" s="1136"/>
      <c r="M26" s="1127"/>
      <c r="N26" s="1127"/>
      <c r="O26" s="1135"/>
      <c r="P26" s="3307"/>
      <c r="Q26" s="2955"/>
      <c r="R26" s="772"/>
      <c r="S26" s="773"/>
      <c r="T26" s="772"/>
      <c r="U26" s="773"/>
      <c r="V26" s="772"/>
      <c r="W26" s="773"/>
      <c r="X26" s="2957"/>
      <c r="Y26" s="3307"/>
      <c r="Z26" s="2958"/>
      <c r="AA26" s="2956">
        <v>1</v>
      </c>
      <c r="AB26" s="2956">
        <v>1</v>
      </c>
      <c r="AC26" s="2956">
        <v>1</v>
      </c>
    </row>
    <row r="27" spans="1:29" s="117" customFormat="1" ht="42.75">
      <c r="A27" s="648"/>
      <c r="B27" s="1380" t="s">
        <v>2646</v>
      </c>
      <c r="C27" s="2600" t="str">
        <f>估价对象房地状况!C21</f>
        <v>估价对象所在区域公共配套设施齐备情况</v>
      </c>
      <c r="D27" s="450">
        <v>100</v>
      </c>
      <c r="E27" s="452"/>
      <c r="F27" s="450">
        <f>SUMIF(100:100,E28,101:101)-SUMIF(100:100,C28,101:101)+100</f>
        <v>95</v>
      </c>
      <c r="G27" s="452"/>
      <c r="H27" s="450">
        <f>SUMIF(100:100,G28,101:101)-SUMIF(100:100,C28,101:101)+100</f>
        <v>95</v>
      </c>
      <c r="I27" s="454"/>
      <c r="J27" s="450">
        <f>SUMIF(100:100,I28,101:101)-SUMIF(100:100,C28,101:101)+100</f>
        <v>95</v>
      </c>
      <c r="K27" s="672">
        <v>5</v>
      </c>
      <c r="L27" s="1128"/>
      <c r="M27" s="1129"/>
      <c r="N27" s="1129"/>
      <c r="O27" s="1130"/>
      <c r="P27" s="3307"/>
      <c r="Q27" s="2943" t="str">
        <f t="shared" si="8"/>
        <v>公共配套设施</v>
      </c>
      <c r="R27" s="768" t="s">
        <v>17</v>
      </c>
      <c r="S27" s="769">
        <f>F27</f>
        <v>95</v>
      </c>
      <c r="T27" s="768" t="s">
        <v>17</v>
      </c>
      <c r="U27" s="769">
        <f>H27</f>
        <v>95</v>
      </c>
      <c r="V27" s="768" t="s">
        <v>17</v>
      </c>
      <c r="W27" s="769">
        <f>J27</f>
        <v>95</v>
      </c>
      <c r="X27" s="770"/>
      <c r="Y27" s="3307"/>
      <c r="Z27" s="2944" t="str">
        <f>Q27</f>
        <v>公共配套设施</v>
      </c>
      <c r="AA27" s="2956">
        <f>D27/F27</f>
        <v>1.0526315789473684</v>
      </c>
      <c r="AB27" s="2956">
        <f>D27/H27</f>
        <v>1.0526315789473684</v>
      </c>
      <c r="AC27" s="2956">
        <f>D27/J27</f>
        <v>1.0526315789473684</v>
      </c>
    </row>
    <row r="28" spans="1:29" s="117" customFormat="1" ht="15">
      <c r="A28" s="648"/>
      <c r="B28" s="456"/>
      <c r="C28" s="2691" t="s">
        <v>3610</v>
      </c>
      <c r="D28" s="448"/>
      <c r="E28" s="2598" t="s">
        <v>3611</v>
      </c>
      <c r="F28" s="448"/>
      <c r="G28" s="2598" t="s">
        <v>3611</v>
      </c>
      <c r="H28" s="448"/>
      <c r="I28" s="2598" t="s">
        <v>3611</v>
      </c>
      <c r="J28" s="448"/>
      <c r="K28" s="671"/>
      <c r="L28" s="1128"/>
      <c r="M28" s="1129"/>
      <c r="N28" s="1129"/>
      <c r="O28" s="1130"/>
      <c r="P28" s="3307"/>
      <c r="Q28" s="2943"/>
      <c r="R28" s="768"/>
      <c r="S28" s="769"/>
      <c r="T28" s="768"/>
      <c r="U28" s="769"/>
      <c r="V28" s="768"/>
      <c r="W28" s="769"/>
      <c r="X28" s="770"/>
      <c r="Y28" s="3307"/>
      <c r="Z28" s="2944"/>
      <c r="AA28" s="2956">
        <v>1</v>
      </c>
      <c r="AB28" s="2956">
        <v>1</v>
      </c>
      <c r="AC28" s="2956">
        <v>1</v>
      </c>
    </row>
    <row r="29" spans="1:29" s="117" customFormat="1" ht="28.5">
      <c r="A29" s="648"/>
      <c r="B29" s="1380" t="s">
        <v>2647</v>
      </c>
      <c r="C29" s="260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28"/>
      <c r="M29" s="1129"/>
      <c r="N29" s="1129"/>
      <c r="O29" s="1130"/>
      <c r="P29" s="3307"/>
      <c r="Q29" s="2943" t="str">
        <f t="shared" ref="Q29" si="9">B29</f>
        <v>基础设施水平</v>
      </c>
      <c r="R29" s="768" t="s">
        <v>17</v>
      </c>
      <c r="S29" s="769">
        <f>F29</f>
        <v>100</v>
      </c>
      <c r="T29" s="768" t="s">
        <v>17</v>
      </c>
      <c r="U29" s="769">
        <f>H29</f>
        <v>100</v>
      </c>
      <c r="V29" s="768" t="s">
        <v>17</v>
      </c>
      <c r="W29" s="769">
        <f>J29</f>
        <v>100</v>
      </c>
      <c r="X29" s="770"/>
      <c r="Y29" s="3307"/>
      <c r="Z29" s="2944" t="str">
        <f>Q29</f>
        <v>基础设施水平</v>
      </c>
      <c r="AA29" s="2956">
        <f>D29/F29</f>
        <v>1</v>
      </c>
      <c r="AB29" s="2956">
        <f>D29/H29</f>
        <v>1</v>
      </c>
      <c r="AC29" s="2956">
        <f>D29/J29</f>
        <v>1</v>
      </c>
    </row>
    <row r="30" spans="1:29" s="117" customFormat="1" ht="15">
      <c r="A30" s="648"/>
      <c r="B30" s="456"/>
      <c r="C30" s="2691"/>
      <c r="D30" s="448"/>
      <c r="E30" s="2692"/>
      <c r="F30" s="448"/>
      <c r="G30" s="2692"/>
      <c r="H30" s="448"/>
      <c r="I30" s="2692"/>
      <c r="J30" s="448"/>
      <c r="K30" s="671"/>
      <c r="L30" s="1128"/>
      <c r="M30" s="1129"/>
      <c r="N30" s="1129"/>
      <c r="O30" s="1130"/>
      <c r="P30" s="3307"/>
      <c r="Q30" s="2943"/>
      <c r="R30" s="768"/>
      <c r="S30" s="769"/>
      <c r="T30" s="768"/>
      <c r="U30" s="769"/>
      <c r="V30" s="768"/>
      <c r="W30" s="769"/>
      <c r="X30" s="770"/>
      <c r="Y30" s="3307"/>
      <c r="Z30" s="2944"/>
      <c r="AA30" s="2956">
        <v>1</v>
      </c>
      <c r="AB30" s="2956">
        <v>1</v>
      </c>
      <c r="AC30" s="2956">
        <v>1</v>
      </c>
    </row>
    <row r="31" spans="1:29" ht="15">
      <c r="A31" s="428"/>
      <c r="B31" s="456" t="s">
        <v>2648</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6"/>
      <c r="M31" s="1127"/>
      <c r="N31" s="1127"/>
      <c r="O31" s="1135"/>
      <c r="P31" s="3307"/>
      <c r="Q31" s="2955" t="str">
        <f t="shared" si="8"/>
        <v>临街状况</v>
      </c>
      <c r="R31" s="772" t="s">
        <v>17</v>
      </c>
      <c r="S31" s="773">
        <f t="shared" ref="S31:S45" si="10">F31</f>
        <v>100</v>
      </c>
      <c r="T31" s="772" t="s">
        <v>17</v>
      </c>
      <c r="U31" s="773">
        <f t="shared" ref="U31:U45" si="11">H31</f>
        <v>100</v>
      </c>
      <c r="V31" s="772" t="s">
        <v>17</v>
      </c>
      <c r="W31" s="773">
        <f t="shared" ref="W31:W45" si="12">J31</f>
        <v>100</v>
      </c>
      <c r="X31" s="2957"/>
      <c r="Y31" s="3307"/>
      <c r="Z31" s="2958" t="str">
        <f t="shared" ref="Z31:Z45" si="13">Q31</f>
        <v>临街状况</v>
      </c>
      <c r="AA31" s="2956">
        <f t="shared" si="3"/>
        <v>1</v>
      </c>
      <c r="AB31" s="2956">
        <f t="shared" si="4"/>
        <v>1</v>
      </c>
      <c r="AC31" s="2956">
        <f t="shared" si="5"/>
        <v>1</v>
      </c>
    </row>
    <row r="32" spans="1:29" ht="27">
      <c r="A32" s="428"/>
      <c r="B32" s="1380"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6"/>
      <c r="M32" s="1127"/>
      <c r="N32" s="1127"/>
      <c r="O32" s="1135"/>
      <c r="P32" s="3307"/>
      <c r="Q32" s="2955" t="str">
        <f t="shared" si="8"/>
        <v>毗邻道路的类型与等级</v>
      </c>
      <c r="R32" s="772" t="s">
        <v>17</v>
      </c>
      <c r="S32" s="773">
        <f t="shared" si="10"/>
        <v>100</v>
      </c>
      <c r="T32" s="772" t="s">
        <v>17</v>
      </c>
      <c r="U32" s="773">
        <f t="shared" si="11"/>
        <v>100</v>
      </c>
      <c r="V32" s="772" t="s">
        <v>17</v>
      </c>
      <c r="W32" s="773">
        <f t="shared" si="12"/>
        <v>100</v>
      </c>
      <c r="X32" s="2957"/>
      <c r="Y32" s="3307"/>
      <c r="Z32" s="2958" t="str">
        <f t="shared" si="13"/>
        <v>毗邻道路的类型与等级</v>
      </c>
      <c r="AA32" s="2956">
        <f t="shared" si="3"/>
        <v>1</v>
      </c>
      <c r="AB32" s="2956">
        <f t="shared" si="4"/>
        <v>1</v>
      </c>
      <c r="AC32" s="2956">
        <f t="shared" si="5"/>
        <v>1</v>
      </c>
    </row>
    <row r="33" spans="1:29" ht="15">
      <c r="A33" s="428"/>
      <c r="B33" s="456"/>
      <c r="C33" s="447"/>
      <c r="D33" s="448"/>
      <c r="E33" s="2604"/>
      <c r="F33" s="448"/>
      <c r="G33" s="2604"/>
      <c r="H33" s="448"/>
      <c r="I33" s="447"/>
      <c r="J33" s="448"/>
      <c r="K33" s="613"/>
      <c r="L33" s="1136"/>
      <c r="M33" s="1127"/>
      <c r="N33" s="1127"/>
      <c r="O33" s="1135"/>
      <c r="P33" s="3307"/>
      <c r="Q33" s="2955"/>
      <c r="R33" s="772"/>
      <c r="S33" s="773"/>
      <c r="T33" s="772"/>
      <c r="U33" s="773"/>
      <c r="V33" s="772"/>
      <c r="W33" s="773"/>
      <c r="X33" s="2957"/>
      <c r="Y33" s="3307"/>
      <c r="Z33" s="2958"/>
      <c r="AA33" s="2956">
        <v>1</v>
      </c>
      <c r="AB33" s="2956">
        <v>1</v>
      </c>
      <c r="AC33" s="2956">
        <v>1</v>
      </c>
    </row>
    <row r="34" spans="1:29" ht="15">
      <c r="A34" s="428"/>
      <c r="B34" s="2949" t="s">
        <v>2742</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6"/>
      <c r="M34" s="1127"/>
      <c r="N34" s="1127"/>
      <c r="O34" s="1135"/>
      <c r="P34" s="3307"/>
      <c r="Q34" s="2955" t="str">
        <f t="shared" si="8"/>
        <v>土地级别</v>
      </c>
      <c r="R34" s="772" t="s">
        <v>17</v>
      </c>
      <c r="S34" s="773">
        <f t="shared" si="10"/>
        <v>100</v>
      </c>
      <c r="T34" s="772" t="s">
        <v>17</v>
      </c>
      <c r="U34" s="773">
        <f t="shared" si="11"/>
        <v>100</v>
      </c>
      <c r="V34" s="772" t="s">
        <v>17</v>
      </c>
      <c r="W34" s="773">
        <f t="shared" si="12"/>
        <v>100</v>
      </c>
      <c r="X34" s="2957"/>
      <c r="Y34" s="3307"/>
      <c r="Z34" s="2958" t="str">
        <f t="shared" si="13"/>
        <v>土地级别</v>
      </c>
      <c r="AA34" s="2956">
        <f t="shared" si="3"/>
        <v>1</v>
      </c>
      <c r="AB34" s="2956">
        <f t="shared" si="4"/>
        <v>1</v>
      </c>
      <c r="AC34" s="2956">
        <f t="shared" si="5"/>
        <v>1</v>
      </c>
    </row>
    <row r="35" spans="1:29" ht="15">
      <c r="A35" s="404"/>
      <c r="B35" s="1382"/>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6"/>
      <c r="M35" s="1127"/>
      <c r="N35" s="1127"/>
      <c r="O35" s="1135"/>
      <c r="P35" s="3307"/>
      <c r="Q35" s="2955">
        <f t="shared" si="8"/>
        <v>0</v>
      </c>
      <c r="R35" s="772" t="s">
        <v>17</v>
      </c>
      <c r="S35" s="773">
        <f t="shared" si="10"/>
        <v>100</v>
      </c>
      <c r="T35" s="772" t="s">
        <v>17</v>
      </c>
      <c r="U35" s="773">
        <f t="shared" si="11"/>
        <v>100</v>
      </c>
      <c r="V35" s="772" t="s">
        <v>17</v>
      </c>
      <c r="W35" s="773">
        <f t="shared" si="12"/>
        <v>100</v>
      </c>
      <c r="X35" s="2957"/>
      <c r="Y35" s="3307"/>
      <c r="Z35" s="2958">
        <f t="shared" si="13"/>
        <v>0</v>
      </c>
      <c r="AA35" s="2956">
        <f t="shared" si="3"/>
        <v>1</v>
      </c>
      <c r="AB35" s="2956">
        <f t="shared" si="4"/>
        <v>1</v>
      </c>
      <c r="AC35" s="2956">
        <f t="shared" si="5"/>
        <v>1</v>
      </c>
    </row>
    <row r="36" spans="1:29" ht="15">
      <c r="A36" s="674"/>
      <c r="B36" s="1383"/>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6"/>
      <c r="M36" s="1127"/>
      <c r="N36" s="1127"/>
      <c r="O36" s="1135"/>
      <c r="P36" s="3308" t="s">
        <v>2557</v>
      </c>
      <c r="Q36" s="2955">
        <f t="shared" si="8"/>
        <v>0</v>
      </c>
      <c r="R36" s="772" t="s">
        <v>17</v>
      </c>
      <c r="S36" s="773">
        <f t="shared" si="10"/>
        <v>100</v>
      </c>
      <c r="T36" s="772" t="s">
        <v>17</v>
      </c>
      <c r="U36" s="773">
        <f t="shared" si="11"/>
        <v>100</v>
      </c>
      <c r="V36" s="772" t="s">
        <v>17</v>
      </c>
      <c r="W36" s="773">
        <f t="shared" si="12"/>
        <v>100</v>
      </c>
      <c r="X36" s="2957"/>
      <c r="Y36" s="3309" t="s">
        <v>2557</v>
      </c>
      <c r="Z36" s="2958">
        <f t="shared" si="13"/>
        <v>0</v>
      </c>
      <c r="AA36" s="2956">
        <f t="shared" si="3"/>
        <v>1</v>
      </c>
      <c r="AB36" s="2956">
        <f t="shared" si="4"/>
        <v>1</v>
      </c>
      <c r="AC36" s="2956">
        <f t="shared" si="5"/>
        <v>1</v>
      </c>
    </row>
    <row r="37" spans="1:29" s="471" customFormat="1" ht="15.75" thickBot="1">
      <c r="A37" s="675"/>
      <c r="B37" s="1384"/>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4"/>
      <c r="M37" s="1137"/>
      <c r="N37" s="1137"/>
      <c r="O37" s="1138"/>
      <c r="P37" s="3309"/>
      <c r="Q37" s="2955">
        <f t="shared" si="8"/>
        <v>0</v>
      </c>
      <c r="R37" s="775" t="s">
        <v>17</v>
      </c>
      <c r="S37" s="776">
        <f t="shared" si="10"/>
        <v>100</v>
      </c>
      <c r="T37" s="775" t="s">
        <v>17</v>
      </c>
      <c r="U37" s="776">
        <f t="shared" si="11"/>
        <v>100</v>
      </c>
      <c r="V37" s="775" t="s">
        <v>17</v>
      </c>
      <c r="W37" s="776">
        <f t="shared" si="12"/>
        <v>100</v>
      </c>
      <c r="X37" s="777"/>
      <c r="Y37" s="3309"/>
      <c r="Z37" s="778">
        <f t="shared" si="13"/>
        <v>0</v>
      </c>
      <c r="AA37" s="2956">
        <f t="shared" si="3"/>
        <v>1</v>
      </c>
      <c r="AB37" s="2956">
        <f t="shared" si="4"/>
        <v>1</v>
      </c>
      <c r="AC37" s="2956">
        <f t="shared" si="5"/>
        <v>1</v>
      </c>
    </row>
    <row r="38" spans="1:29" ht="15">
      <c r="A38" s="472" t="s">
        <v>2555</v>
      </c>
      <c r="B38" s="456" t="s">
        <v>2743</v>
      </c>
      <c r="C38" s="678"/>
      <c r="D38" s="467">
        <v>100</v>
      </c>
      <c r="E38" s="678">
        <f>商业土地案例!I6</f>
        <v>5230</v>
      </c>
      <c r="F38" s="467">
        <f>LOOKUP(E38,117:117,118:118)-LOOKUP(C38,117:117,118:118)+100</f>
        <v>100</v>
      </c>
      <c r="G38" s="678">
        <f>商业土地案例!I19</f>
        <v>9241</v>
      </c>
      <c r="H38" s="467">
        <f>LOOKUP(G38,117:117,118:118)-LOOKUP(C38,117:117,118:118)+100</f>
        <v>100</v>
      </c>
      <c r="I38" s="530">
        <f>商业土地案例!I39</f>
        <v>7174</v>
      </c>
      <c r="J38" s="467">
        <f>LOOKUP(I38,117:117,118:118)-LOOKUP(C38,117:117,118:118)+100</f>
        <v>100</v>
      </c>
      <c r="K38" s="613"/>
      <c r="L38" s="1136"/>
      <c r="M38" s="1127"/>
      <c r="N38" s="1127"/>
      <c r="O38" s="1135"/>
      <c r="P38" s="3309"/>
      <c r="Q38" s="2955" t="str">
        <f>B38</f>
        <v>宗地面积</v>
      </c>
      <c r="R38" s="772" t="s">
        <v>17</v>
      </c>
      <c r="S38" s="773">
        <f t="shared" si="10"/>
        <v>100</v>
      </c>
      <c r="T38" s="772" t="s">
        <v>17</v>
      </c>
      <c r="U38" s="773">
        <f t="shared" si="11"/>
        <v>100</v>
      </c>
      <c r="V38" s="772" t="s">
        <v>17</v>
      </c>
      <c r="W38" s="773">
        <f t="shared" si="12"/>
        <v>100</v>
      </c>
      <c r="X38" s="2957"/>
      <c r="Y38" s="3309"/>
      <c r="Z38" s="2958" t="str">
        <f t="shared" si="13"/>
        <v>宗地面积</v>
      </c>
      <c r="AA38" s="2956">
        <f t="shared" si="3"/>
        <v>1</v>
      </c>
      <c r="AB38" s="2956">
        <f t="shared" si="4"/>
        <v>1</v>
      </c>
      <c r="AC38" s="2956">
        <f t="shared" si="5"/>
        <v>1</v>
      </c>
    </row>
    <row r="39" spans="1:29" ht="15">
      <c r="A39" s="472"/>
      <c r="B39" s="2949" t="s">
        <v>2744</v>
      </c>
      <c r="C39" s="2606"/>
      <c r="D39" s="435">
        <v>100</v>
      </c>
      <c r="E39" s="2606"/>
      <c r="F39" s="435">
        <f>SUMIF(119:119,E39,120:120)-SUMIF(119:119,C39,120:120)+100</f>
        <v>100</v>
      </c>
      <c r="G39" s="2606"/>
      <c r="H39" s="435">
        <f>SUMIF(119:119,G39,120:120)-SUMIF(119:119,C39,120:120)+100</f>
        <v>100</v>
      </c>
      <c r="I39" s="2606"/>
      <c r="J39" s="435">
        <f>SUMIF(119:119,I39,120:120)-SUMIF(119:119,C39,120:120)+100</f>
        <v>100</v>
      </c>
      <c r="K39" s="612"/>
      <c r="L39" s="1136"/>
      <c r="M39" s="1127"/>
      <c r="N39" s="1127"/>
      <c r="O39" s="1135"/>
      <c r="P39" s="3309"/>
      <c r="Q39" s="2955" t="str">
        <f t="shared" ref="Q39:Q45" si="14">B39</f>
        <v>宗地形状</v>
      </c>
      <c r="R39" s="772" t="s">
        <v>17</v>
      </c>
      <c r="S39" s="773">
        <f t="shared" si="10"/>
        <v>100</v>
      </c>
      <c r="T39" s="772" t="s">
        <v>17</v>
      </c>
      <c r="U39" s="773">
        <f t="shared" si="11"/>
        <v>100</v>
      </c>
      <c r="V39" s="772" t="s">
        <v>17</v>
      </c>
      <c r="W39" s="773">
        <f t="shared" si="12"/>
        <v>100</v>
      </c>
      <c r="X39" s="2957"/>
      <c r="Y39" s="3309"/>
      <c r="Z39" s="2958" t="str">
        <f t="shared" si="13"/>
        <v>宗地形状</v>
      </c>
      <c r="AA39" s="2956">
        <f t="shared" si="3"/>
        <v>1</v>
      </c>
      <c r="AB39" s="2956">
        <f t="shared" si="4"/>
        <v>1</v>
      </c>
      <c r="AC39" s="2956">
        <f t="shared" si="5"/>
        <v>1</v>
      </c>
    </row>
    <row r="40" spans="1:29" ht="15">
      <c r="A40" s="472"/>
      <c r="B40" s="2949" t="s">
        <v>2745</v>
      </c>
      <c r="C40" s="2606"/>
      <c r="D40" s="435">
        <v>100</v>
      </c>
      <c r="E40" s="2606"/>
      <c r="F40" s="435">
        <f>SUMIF(121:121,E40,122:122)-SUMIF(121:121,C40,122:122)+100</f>
        <v>100</v>
      </c>
      <c r="G40" s="2606"/>
      <c r="H40" s="435">
        <f>SUMIF(121:121,G40,122:122)-SUMIF(121:121,C40,122:122)+100</f>
        <v>100</v>
      </c>
      <c r="I40" s="2606"/>
      <c r="J40" s="435">
        <f>SUMIF(121:121,I40,122:122)-SUMIF(121:121,C40,122:122)+100</f>
        <v>100</v>
      </c>
      <c r="K40" s="612"/>
      <c r="L40" s="1136"/>
      <c r="M40" s="1127"/>
      <c r="N40" s="1127"/>
      <c r="O40" s="1135"/>
      <c r="P40" s="3309"/>
      <c r="Q40" s="2955" t="str">
        <f t="shared" si="14"/>
        <v>临街宽度及深度</v>
      </c>
      <c r="R40" s="772" t="s">
        <v>17</v>
      </c>
      <c r="S40" s="773">
        <f t="shared" si="10"/>
        <v>100</v>
      </c>
      <c r="T40" s="772" t="s">
        <v>17</v>
      </c>
      <c r="U40" s="773">
        <f t="shared" si="11"/>
        <v>100</v>
      </c>
      <c r="V40" s="772" t="s">
        <v>17</v>
      </c>
      <c r="W40" s="773">
        <f t="shared" si="12"/>
        <v>100</v>
      </c>
      <c r="X40" s="2957"/>
      <c r="Y40" s="3309"/>
      <c r="Z40" s="2958" t="str">
        <f t="shared" si="13"/>
        <v>临街宽度及深度</v>
      </c>
      <c r="AA40" s="2956">
        <f t="shared" si="3"/>
        <v>1</v>
      </c>
      <c r="AB40" s="2956">
        <f t="shared" si="4"/>
        <v>1</v>
      </c>
      <c r="AC40" s="2956">
        <f t="shared" si="5"/>
        <v>1</v>
      </c>
    </row>
    <row r="41" spans="1:29" s="117" customFormat="1" ht="15">
      <c r="A41" s="473"/>
      <c r="B41" s="2949" t="s">
        <v>2746</v>
      </c>
      <c r="C41" s="2693"/>
      <c r="D41" s="136">
        <v>100</v>
      </c>
      <c r="E41" s="2693"/>
      <c r="F41" s="435">
        <f>SUMIF(123:123,E41,124:124)-SUMIF(123:123,C41,124:124)+100</f>
        <v>100</v>
      </c>
      <c r="G41" s="2693"/>
      <c r="H41" s="435">
        <f>SUMIF(123:123,G41,124:124)-SUMIF(123:123,C41,124:124)+100</f>
        <v>100</v>
      </c>
      <c r="I41" s="2693"/>
      <c r="J41" s="435">
        <f>SUMIF(123:123,I41,124:124)-SUMIF(123:123,C41,124:124)+100</f>
        <v>100</v>
      </c>
      <c r="K41" s="612"/>
      <c r="L41" s="1128"/>
      <c r="M41" s="1129"/>
      <c r="N41" s="1129"/>
      <c r="O41" s="1130"/>
      <c r="P41" s="3309"/>
      <c r="Q41" s="2955" t="str">
        <f t="shared" si="14"/>
        <v>宗地开发程度</v>
      </c>
      <c r="R41" s="768" t="s">
        <v>17</v>
      </c>
      <c r="S41" s="769">
        <f t="shared" si="10"/>
        <v>100</v>
      </c>
      <c r="T41" s="768" t="s">
        <v>17</v>
      </c>
      <c r="U41" s="769">
        <f t="shared" si="11"/>
        <v>100</v>
      </c>
      <c r="V41" s="768" t="s">
        <v>17</v>
      </c>
      <c r="W41" s="769">
        <f t="shared" si="12"/>
        <v>100</v>
      </c>
      <c r="X41" s="770"/>
      <c r="Y41" s="3309"/>
      <c r="Z41" s="2944" t="str">
        <f t="shared" si="13"/>
        <v>宗地开发程度</v>
      </c>
      <c r="AA41" s="771">
        <f t="shared" si="3"/>
        <v>1</v>
      </c>
      <c r="AB41" s="771">
        <f t="shared" si="4"/>
        <v>1</v>
      </c>
      <c r="AC41" s="771">
        <f t="shared" si="5"/>
        <v>1</v>
      </c>
    </row>
    <row r="42" spans="1:29" ht="15">
      <c r="A42" s="472"/>
      <c r="B42" s="2949" t="s">
        <v>2747</v>
      </c>
      <c r="C42" s="2606"/>
      <c r="D42" s="435">
        <v>100</v>
      </c>
      <c r="E42" s="2606"/>
      <c r="F42" s="435">
        <f>SUMIF(125:125,E42,126:126)-SUMIF(125:125,C42,126:126)+100</f>
        <v>100</v>
      </c>
      <c r="G42" s="2606"/>
      <c r="H42" s="435">
        <f>SUMIF(125:125,G42,126:126)-SUMIF(125:125,C42,126:126)+100</f>
        <v>100</v>
      </c>
      <c r="I42" s="2606"/>
      <c r="J42" s="435">
        <f>SUMIF(125:125,I42,126:126)-SUMIF(125:125,C42,126:126)+100</f>
        <v>100</v>
      </c>
      <c r="K42" s="612"/>
      <c r="L42" s="1136"/>
      <c r="M42" s="1127"/>
      <c r="N42" s="1127"/>
      <c r="O42" s="1135"/>
      <c r="P42" s="3309" t="s">
        <v>2557</v>
      </c>
      <c r="Q42" s="2955" t="str">
        <f t="shared" si="14"/>
        <v>工程地质条件</v>
      </c>
      <c r="R42" s="772" t="s">
        <v>17</v>
      </c>
      <c r="S42" s="773">
        <f t="shared" si="10"/>
        <v>100</v>
      </c>
      <c r="T42" s="772" t="s">
        <v>17</v>
      </c>
      <c r="U42" s="773">
        <f t="shared" si="11"/>
        <v>100</v>
      </c>
      <c r="V42" s="772" t="s">
        <v>17</v>
      </c>
      <c r="W42" s="773">
        <f t="shared" si="12"/>
        <v>100</v>
      </c>
      <c r="X42" s="2957"/>
      <c r="Y42" s="3309" t="s">
        <v>2557</v>
      </c>
      <c r="Z42" s="2958" t="str">
        <f t="shared" si="13"/>
        <v>工程地质条件</v>
      </c>
      <c r="AA42" s="2956">
        <f t="shared" si="3"/>
        <v>1</v>
      </c>
      <c r="AB42" s="2956">
        <f t="shared" si="4"/>
        <v>1</v>
      </c>
      <c r="AC42" s="2956">
        <f t="shared" si="5"/>
        <v>1</v>
      </c>
    </row>
    <row r="43" spans="1:29" ht="15">
      <c r="A43" s="472"/>
      <c r="B43" s="1383"/>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6"/>
      <c r="M43" s="1127"/>
      <c r="N43" s="1127"/>
      <c r="O43" s="1135"/>
      <c r="P43" s="3309"/>
      <c r="Q43" s="2955">
        <f t="shared" si="14"/>
        <v>0</v>
      </c>
      <c r="R43" s="772" t="s">
        <v>17</v>
      </c>
      <c r="S43" s="773">
        <f t="shared" si="10"/>
        <v>100</v>
      </c>
      <c r="T43" s="772" t="s">
        <v>17</v>
      </c>
      <c r="U43" s="773">
        <f t="shared" si="11"/>
        <v>100</v>
      </c>
      <c r="V43" s="772" t="s">
        <v>17</v>
      </c>
      <c r="W43" s="773">
        <f t="shared" si="12"/>
        <v>100</v>
      </c>
      <c r="X43" s="2957"/>
      <c r="Y43" s="3309"/>
      <c r="Z43" s="2958">
        <f t="shared" si="13"/>
        <v>0</v>
      </c>
      <c r="AA43" s="2956">
        <f t="shared" si="3"/>
        <v>1</v>
      </c>
      <c r="AB43" s="2956">
        <f t="shared" si="4"/>
        <v>1</v>
      </c>
      <c r="AC43" s="2956">
        <f t="shared" si="5"/>
        <v>1</v>
      </c>
    </row>
    <row r="44" spans="1:29" ht="15">
      <c r="A44" s="472"/>
      <c r="B44" s="1383"/>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6"/>
      <c r="M44" s="1127"/>
      <c r="N44" s="1127"/>
      <c r="O44" s="1135"/>
      <c r="P44" s="3309"/>
      <c r="Q44" s="2955">
        <f t="shared" si="14"/>
        <v>0</v>
      </c>
      <c r="R44" s="772" t="s">
        <v>17</v>
      </c>
      <c r="S44" s="773">
        <f t="shared" si="10"/>
        <v>100</v>
      </c>
      <c r="T44" s="772" t="s">
        <v>17</v>
      </c>
      <c r="U44" s="773">
        <f t="shared" si="11"/>
        <v>100</v>
      </c>
      <c r="V44" s="772" t="s">
        <v>17</v>
      </c>
      <c r="W44" s="773">
        <f t="shared" si="12"/>
        <v>100</v>
      </c>
      <c r="X44" s="2957"/>
      <c r="Y44" s="3309"/>
      <c r="Z44" s="2958">
        <f t="shared" si="13"/>
        <v>0</v>
      </c>
      <c r="AA44" s="2956">
        <f t="shared" si="3"/>
        <v>1</v>
      </c>
      <c r="AB44" s="2956">
        <f t="shared" si="4"/>
        <v>1</v>
      </c>
      <c r="AC44" s="2956">
        <f t="shared" si="5"/>
        <v>1</v>
      </c>
    </row>
    <row r="45" spans="1:29" s="471" customFormat="1" ht="15.75" thickBot="1">
      <c r="A45" s="468"/>
      <c r="B45" s="1383"/>
      <c r="C45" s="2694"/>
      <c r="D45" s="679">
        <v>100</v>
      </c>
      <c r="E45" s="673"/>
      <c r="F45" s="438">
        <f>SUMIF(131:131,E45,132:132)-SUMIF(131:131,C45,132:132)+100</f>
        <v>100</v>
      </c>
      <c r="G45" s="673"/>
      <c r="H45" s="438">
        <f>SUMIF(131:131,G45,132:132)-SUMIF(131:131,C45,132:132)+100</f>
        <v>100</v>
      </c>
      <c r="I45" s="673"/>
      <c r="J45" s="438">
        <f>SUMIF(131:131,I45,132:132)-SUMIF(131:131,C45,132:132)+100</f>
        <v>100</v>
      </c>
      <c r="K45" s="680"/>
      <c r="L45" s="1134"/>
      <c r="M45" s="1137"/>
      <c r="N45" s="1137"/>
      <c r="O45" s="1138"/>
      <c r="P45" s="3309"/>
      <c r="Q45" s="2955">
        <f t="shared" si="14"/>
        <v>0</v>
      </c>
      <c r="R45" s="775" t="s">
        <v>17</v>
      </c>
      <c r="S45" s="776">
        <f t="shared" si="10"/>
        <v>100</v>
      </c>
      <c r="T45" s="775" t="s">
        <v>17</v>
      </c>
      <c r="U45" s="776">
        <f t="shared" si="11"/>
        <v>100</v>
      </c>
      <c r="V45" s="775" t="s">
        <v>17</v>
      </c>
      <c r="W45" s="776">
        <f t="shared" si="12"/>
        <v>100</v>
      </c>
      <c r="X45" s="777"/>
      <c r="Y45" s="3309"/>
      <c r="Z45" s="778">
        <f t="shared" si="13"/>
        <v>0</v>
      </c>
      <c r="AA45" s="2956">
        <f t="shared" si="3"/>
        <v>1</v>
      </c>
      <c r="AB45" s="2956">
        <f t="shared" si="4"/>
        <v>1</v>
      </c>
      <c r="AC45" s="2956">
        <f t="shared" si="5"/>
        <v>1</v>
      </c>
    </row>
    <row r="46" spans="1:29" ht="15">
      <c r="A46" s="479" t="s">
        <v>2712</v>
      </c>
      <c r="B46" s="2695" t="s">
        <v>2748</v>
      </c>
      <c r="C46" s="681" t="s">
        <v>1</v>
      </c>
      <c r="D46" s="481"/>
      <c r="E46" s="482">
        <v>4720</v>
      </c>
      <c r="F46" s="483"/>
      <c r="G46" s="482">
        <v>4520</v>
      </c>
      <c r="H46" s="485"/>
      <c r="I46" s="482">
        <v>4443</v>
      </c>
      <c r="J46" s="485"/>
      <c r="K46" s="781"/>
      <c r="L46" s="1139"/>
      <c r="M46" s="1140"/>
      <c r="N46" s="1127"/>
      <c r="O46" s="1140"/>
      <c r="P46" s="3291" t="str">
        <f>A46</f>
        <v>成交单价</v>
      </c>
      <c r="Q46" s="3291"/>
      <c r="R46" s="3304">
        <f>E46</f>
        <v>4720</v>
      </c>
      <c r="S46" s="3304"/>
      <c r="T46" s="3304">
        <f>G46</f>
        <v>4520</v>
      </c>
      <c r="U46" s="3304"/>
      <c r="V46" s="3304">
        <f>I46</f>
        <v>4443</v>
      </c>
      <c r="W46" s="3304"/>
      <c r="X46" s="757"/>
      <c r="Y46" s="779"/>
      <c r="Z46" s="757"/>
      <c r="AA46" s="757"/>
      <c r="AB46" s="757"/>
      <c r="AC46" s="757"/>
    </row>
    <row r="47" spans="1:29" ht="15.75" thickBot="1">
      <c r="A47" s="486" t="s">
        <v>2570</v>
      </c>
      <c r="B47" s="682"/>
      <c r="C47" s="490" t="e">
        <f>R48</f>
        <v>#N/A</v>
      </c>
      <c r="D47" s="489"/>
      <c r="E47" s="490" t="e">
        <f>R47</f>
        <v>#N/A</v>
      </c>
      <c r="F47" s="491"/>
      <c r="G47" s="488" t="e">
        <f>T47</f>
        <v>#N/A</v>
      </c>
      <c r="H47" s="489"/>
      <c r="I47" s="490" t="e">
        <f>V47</f>
        <v>#N/A</v>
      </c>
      <c r="J47" s="489"/>
      <c r="K47" s="782"/>
      <c r="L47" s="1139"/>
      <c r="M47" s="1140"/>
      <c r="N47" s="1140"/>
      <c r="O47" s="1140"/>
      <c r="P47" s="3291" t="str">
        <f>A47</f>
        <v>比较价值（元/平方米）</v>
      </c>
      <c r="Q47" s="3291"/>
      <c r="R47" s="3310" t="e">
        <f>ROUND(PRODUCT(R46,AA7:AA45),0)</f>
        <v>#N/A</v>
      </c>
      <c r="S47" s="3310"/>
      <c r="T47" s="3310" t="e">
        <f>ROUND(PRODUCT(T46,AB7:AB45),0)</f>
        <v>#N/A</v>
      </c>
      <c r="U47" s="3310"/>
      <c r="V47" s="3310" t="e">
        <f>ROUND(PRODUCT(V46,AC7:AC45),0)</f>
        <v>#N/A</v>
      </c>
      <c r="W47" s="3310"/>
      <c r="X47" s="757"/>
      <c r="Y47" s="757"/>
      <c r="Z47" s="757"/>
      <c r="AA47" s="757"/>
      <c r="AB47" s="757"/>
      <c r="AC47" s="757"/>
    </row>
    <row r="48" spans="1:29" ht="15.75" thickBot="1">
      <c r="A48" s="492" t="s">
        <v>2749</v>
      </c>
      <c r="B48" s="493"/>
      <c r="C48" s="494" t="e">
        <f>R48</f>
        <v>#N/A</v>
      </c>
      <c r="D48" s="494"/>
      <c r="E48" s="494"/>
      <c r="F48" s="494"/>
      <c r="G48" s="494"/>
      <c r="H48" s="494"/>
      <c r="I48" s="494"/>
      <c r="J48" s="494"/>
      <c r="K48" s="783"/>
      <c r="L48" s="1139"/>
      <c r="M48" s="1140"/>
      <c r="N48" s="1140"/>
      <c r="O48" s="1140"/>
      <c r="P48" s="3311" t="str">
        <f>A48</f>
        <v>估价对象XX用房的比较价值（楼面单价，元/平方米）</v>
      </c>
      <c r="Q48" s="3312"/>
      <c r="R48" s="3313" t="e">
        <f>ROUND(AVERAGE(R47:V47),0)</f>
        <v>#N/A</v>
      </c>
      <c r="S48" s="3313"/>
      <c r="T48" s="3313"/>
      <c r="U48" s="3313"/>
      <c r="V48" s="3313"/>
      <c r="W48" s="3313"/>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2572</v>
      </c>
      <c r="D51" s="498"/>
      <c r="E51" s="499" t="e">
        <f>IF(E46&lt;E47,E47/E46-1,E46/E47-1)</f>
        <v>#N/A</v>
      </c>
      <c r="F51" s="500" t="e">
        <f>IF(OR(E51&gt;=0.3,E51&lt;=-0.3),"超过30%","")</f>
        <v>#N/A</v>
      </c>
      <c r="G51" s="499" t="e">
        <f>IF(G46&lt;G47,G47/G46-1,G46/G47-1)</f>
        <v>#N/A</v>
      </c>
      <c r="H51" s="500" t="e">
        <f>IF(OR(G51&gt;=0.3,G51&lt;=-0.3),"超过30%","")</f>
        <v>#N/A</v>
      </c>
      <c r="I51" s="499" t="e">
        <f>IF(I46&lt;I47,I47/I46-1,I46/I47-1)</f>
        <v>#N/A</v>
      </c>
      <c r="J51" s="500" t="e">
        <f>IF(OR(I51&gt;=0.3,I51&lt;=-0.3),"超过30%","")</f>
        <v>#N/A</v>
      </c>
      <c r="K51" s="1101"/>
      <c r="L51" s="1102"/>
      <c r="M51" s="1140"/>
      <c r="N51" s="1140"/>
      <c r="O51" s="1140"/>
    </row>
    <row r="52" spans="1:15" ht="13.5" customHeight="1">
      <c r="A52" s="1140"/>
      <c r="B52" s="1140"/>
      <c r="C52" s="497" t="s">
        <v>2573</v>
      </c>
      <c r="D52" s="501"/>
      <c r="E52" s="499" t="e">
        <f>IF(E47&lt;G47,G47/E47-1,E47/G47-1)</f>
        <v>#N/A</v>
      </c>
      <c r="F52" s="500" t="e">
        <f>IF(OR(E52&gt;=0.2,E52&lt;=-0.2),"超过20%","")</f>
        <v>#N/A</v>
      </c>
      <c r="G52" s="499" t="e">
        <f>IF(G47&lt;I47,I47/G47-1,G47/I47-1)</f>
        <v>#N/A</v>
      </c>
      <c r="H52" s="500" t="e">
        <f>IF(OR(G52&gt;=0.2,G52&lt;=-0.2),"超过20%","")</f>
        <v>#N/A</v>
      </c>
      <c r="I52" s="499" t="e">
        <f>IF(I47&lt;E47,E47/I47-1,I47/E47-1)</f>
        <v>#N/A</v>
      </c>
      <c r="J52" s="500" t="e">
        <f>IF(OR(I52&gt;=0.2,I52&lt;=-0.2),"超过20%","")</f>
        <v>#N/A</v>
      </c>
      <c r="K52" s="1101"/>
      <c r="L52" s="1102"/>
      <c r="M52" s="1140"/>
      <c r="N52" s="1140"/>
      <c r="O52" s="1140"/>
    </row>
    <row r="53" spans="1:15" s="502" customFormat="1" ht="13.5" customHeight="1">
      <c r="A53" s="1141"/>
      <c r="B53" s="1141"/>
      <c r="C53" s="497" t="s">
        <v>2574</v>
      </c>
      <c r="D53" s="501"/>
      <c r="E53" s="499">
        <f>IF(E46&lt;G46,G46/E46-1,E46/G46-1)</f>
        <v>4.4247787610619538E-2</v>
      </c>
      <c r="F53" s="500" t="str">
        <f>IF(OR(E53&gt;=0.3,E53&lt;=-0.3),"超过30%","")</f>
        <v/>
      </c>
      <c r="G53" s="499">
        <f>IF(G46&lt;I46,I46/G46-1,G46/I46-1)</f>
        <v>1.7330632455548001E-2</v>
      </c>
      <c r="H53" s="500" t="str">
        <f>IF(OR(G53&gt;=0.3,G53&lt;=-0.3),"超过30%","")</f>
        <v/>
      </c>
      <c r="I53" s="499">
        <f>IF(I46&lt;E46,E46/I46-1,I46/E46-1)</f>
        <v>6.23452622102183E-2</v>
      </c>
      <c r="J53" s="500" t="str">
        <f>IF(OR(I53&gt;=0.3,I53&lt;=-0.3),"超过30%","")</f>
        <v/>
      </c>
      <c r="K53" s="1144"/>
      <c r="L53" s="1145"/>
      <c r="M53" s="1141"/>
      <c r="N53" s="1141"/>
      <c r="O53" s="1141"/>
    </row>
    <row r="54" spans="1:15" s="502" customFormat="1" ht="15" thickBot="1">
      <c r="A54" s="1141"/>
      <c r="B54" s="1142"/>
      <c r="C54" s="760"/>
      <c r="D54" s="758"/>
      <c r="E54" s="758"/>
      <c r="F54" s="758"/>
      <c r="G54" s="758"/>
      <c r="H54" s="758"/>
      <c r="I54" s="758"/>
      <c r="J54" s="758"/>
      <c r="K54" s="1144"/>
      <c r="L54" s="1145"/>
      <c r="M54" s="1141"/>
      <c r="N54" s="1141"/>
      <c r="O54" s="1141"/>
    </row>
    <row r="55" spans="1:15" ht="27" customHeight="1">
      <c r="A55" s="683" t="s">
        <v>2750</v>
      </c>
      <c r="B55" s="684" t="s">
        <v>2751</v>
      </c>
      <c r="C55" s="2696" t="s">
        <v>3608</v>
      </c>
      <c r="D55" s="2697" t="s">
        <v>2753</v>
      </c>
      <c r="E55" s="2959" t="s">
        <v>2754</v>
      </c>
      <c r="F55" s="1103" t="s">
        <v>2755</v>
      </c>
      <c r="G55" s="3292" t="s">
        <v>2756</v>
      </c>
      <c r="H55" s="3314"/>
      <c r="I55" s="144" t="s">
        <v>2757</v>
      </c>
      <c r="J55" s="2698">
        <f>项目基本情况!F35</f>
        <v>0</v>
      </c>
      <c r="K55" s="2699" t="s">
        <v>2758</v>
      </c>
      <c r="L55" s="1102"/>
      <c r="M55" s="1140"/>
      <c r="N55" s="1140"/>
      <c r="O55" s="1140"/>
    </row>
    <row r="56" spans="1:15" s="691" customFormat="1">
      <c r="A56" s="687" t="s">
        <v>2759</v>
      </c>
      <c r="B56" s="688" t="e">
        <f>C48</f>
        <v>#N/A</v>
      </c>
      <c r="C56" s="689">
        <v>1</v>
      </c>
      <c r="D56" s="1159">
        <v>1</v>
      </c>
      <c r="E56" s="689">
        <f>'数据-汇总表'!E8+'数据-汇总表'!E9</f>
        <v>218042.81</v>
      </c>
      <c r="F56" s="1099" t="e">
        <f t="shared" ref="F56:F65" si="15">ROUND(B56*E56/10000,0)</f>
        <v>#N/A</v>
      </c>
      <c r="G56" s="3315"/>
      <c r="H56" s="3291"/>
      <c r="I56" s="1104">
        <v>1</v>
      </c>
      <c r="J56" s="1107">
        <v>1</v>
      </c>
      <c r="K56" s="1141"/>
      <c r="L56" s="937"/>
      <c r="M56" s="937"/>
      <c r="N56" s="937"/>
      <c r="O56" s="937"/>
    </row>
    <row r="57" spans="1:15" s="691" customFormat="1">
      <c r="A57" s="692" t="s">
        <v>2760</v>
      </c>
      <c r="B57" s="262" t="e">
        <f>ROUND($C$48*C57*D57,0)</f>
        <v>#N/A</v>
      </c>
      <c r="C57" s="200">
        <f t="shared" ref="C57:C65" si="16">IF($C$55="北京市系数",I57,J57)</f>
        <v>0.7</v>
      </c>
      <c r="D57" s="1160">
        <v>1</v>
      </c>
      <c r="E57" s="693">
        <v>17319.87</v>
      </c>
      <c r="F57" s="1099" t="e">
        <f t="shared" si="15"/>
        <v>#N/A</v>
      </c>
      <c r="G57" s="3316" t="s">
        <v>2761</v>
      </c>
      <c r="H57" s="1100">
        <f>项目基本情况!B37</f>
        <v>0</v>
      </c>
      <c r="I57" s="1104">
        <f>SUMIF(修正!A45:A56,H57,修正!B45:B56)</f>
        <v>0</v>
      </c>
      <c r="J57" s="1108">
        <v>0.7</v>
      </c>
      <c r="K57" s="1140"/>
      <c r="L57" s="937"/>
      <c r="M57" s="937"/>
      <c r="N57" s="937"/>
      <c r="O57" s="937"/>
    </row>
    <row r="58" spans="1:15" s="691" customFormat="1">
      <c r="A58" s="692" t="s">
        <v>2762</v>
      </c>
      <c r="B58" s="262" t="e">
        <f t="shared" ref="B58:B65" si="17">ROUND($C$48*C58*D58,0)</f>
        <v>#N/A</v>
      </c>
      <c r="C58" s="200">
        <f t="shared" si="16"/>
        <v>0.45</v>
      </c>
      <c r="D58" s="1160">
        <v>1</v>
      </c>
      <c r="E58" s="693">
        <v>15298.45</v>
      </c>
      <c r="F58" s="1099" t="e">
        <f t="shared" si="15"/>
        <v>#N/A</v>
      </c>
      <c r="G58" s="3316"/>
      <c r="H58" s="1100">
        <f>项目基本情况!B37</f>
        <v>0</v>
      </c>
      <c r="I58" s="1104">
        <f>SUMIF(修正!A45:A56,H58,修正!C45:C56)</f>
        <v>0</v>
      </c>
      <c r="J58" s="1108">
        <v>0.45</v>
      </c>
      <c r="K58" s="1141"/>
      <c r="L58" s="937"/>
      <c r="M58" s="937"/>
      <c r="N58" s="937"/>
      <c r="O58" s="937"/>
    </row>
    <row r="59" spans="1:15" s="691" customFormat="1">
      <c r="A59" s="692" t="s">
        <v>2763</v>
      </c>
      <c r="B59" s="262" t="e">
        <f t="shared" si="17"/>
        <v>#N/A</v>
      </c>
      <c r="C59" s="200">
        <f t="shared" si="16"/>
        <v>0</v>
      </c>
      <c r="D59" s="1160">
        <v>0.25</v>
      </c>
      <c r="E59" s="693"/>
      <c r="F59" s="1099" t="e">
        <f t="shared" si="15"/>
        <v>#N/A</v>
      </c>
      <c r="G59" s="3316"/>
      <c r="H59" s="1100">
        <f>项目基本情况!B37</f>
        <v>0</v>
      </c>
      <c r="I59" s="1104">
        <f>SUMIF(修正!A45:A56,H59,修正!D45:D56)</f>
        <v>0</v>
      </c>
      <c r="J59" s="1108"/>
      <c r="K59" s="1140"/>
      <c r="L59" s="937"/>
      <c r="M59" s="937"/>
      <c r="N59" s="937"/>
      <c r="O59" s="937"/>
    </row>
    <row r="60" spans="1:15" s="691" customFormat="1">
      <c r="A60" s="692" t="s">
        <v>2764</v>
      </c>
      <c r="B60" s="262" t="e">
        <f t="shared" si="17"/>
        <v>#N/A</v>
      </c>
      <c r="C60" s="200">
        <f t="shared" si="16"/>
        <v>1</v>
      </c>
      <c r="D60" s="1160">
        <v>1</v>
      </c>
      <c r="E60" s="693">
        <f>'数据-汇总表'!F20+'数据-汇总表'!F21</f>
        <v>126442.81</v>
      </c>
      <c r="F60" s="1099" t="e">
        <f t="shared" si="15"/>
        <v>#N/A</v>
      </c>
      <c r="G60" s="3316"/>
      <c r="H60" s="1100">
        <f>项目基本情况!B37</f>
        <v>0</v>
      </c>
      <c r="I60" s="1104">
        <f>SUMIF(修正!A45:A56,H60,修正!E45:E56)</f>
        <v>0</v>
      </c>
      <c r="J60" s="1108">
        <v>1</v>
      </c>
      <c r="K60" s="1141"/>
      <c r="L60" s="937"/>
      <c r="M60" s="937"/>
      <c r="N60" s="937"/>
      <c r="O60" s="937"/>
    </row>
    <row r="61" spans="1:15" s="691" customFormat="1">
      <c r="A61" s="692" t="s">
        <v>2765</v>
      </c>
      <c r="B61" s="262" t="e">
        <f t="shared" si="17"/>
        <v>#N/A</v>
      </c>
      <c r="C61" s="200">
        <f t="shared" si="16"/>
        <v>0</v>
      </c>
      <c r="D61" s="1160">
        <v>0.25</v>
      </c>
      <c r="E61" s="261">
        <f>'数据-汇总表'!E11</f>
        <v>0</v>
      </c>
      <c r="F61" s="1099" t="e">
        <f t="shared" si="15"/>
        <v>#N/A</v>
      </c>
      <c r="G61" s="2960" t="s">
        <v>2766</v>
      </c>
      <c r="H61" s="1100">
        <f>项目基本情况!C37</f>
        <v>0</v>
      </c>
      <c r="I61" s="1104">
        <f>SUMIF(修正!A45:A56,H61,修正!F45:F56)</f>
        <v>0</v>
      </c>
      <c r="J61" s="1108"/>
      <c r="K61" s="1140"/>
      <c r="L61" s="937"/>
      <c r="M61" s="937"/>
      <c r="N61" s="937"/>
      <c r="O61" s="937"/>
    </row>
    <row r="62" spans="1:15" s="691" customFormat="1">
      <c r="A62" s="692" t="s">
        <v>2767</v>
      </c>
      <c r="B62" s="262" t="e">
        <f t="shared" si="17"/>
        <v>#N/A</v>
      </c>
      <c r="C62" s="200">
        <f t="shared" si="16"/>
        <v>0</v>
      </c>
      <c r="D62" s="1160">
        <v>0.25</v>
      </c>
      <c r="E62" s="261">
        <f>'数据-汇总表'!E12</f>
        <v>0</v>
      </c>
      <c r="F62" s="1099" t="e">
        <f t="shared" si="15"/>
        <v>#N/A</v>
      </c>
      <c r="G62" s="1105" t="s">
        <v>2768</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1" customFormat="1">
      <c r="A63" s="692" t="s">
        <v>2769</v>
      </c>
      <c r="B63" s="262" t="e">
        <f t="shared" si="17"/>
        <v>#N/A</v>
      </c>
      <c r="C63" s="200">
        <f t="shared" si="16"/>
        <v>0</v>
      </c>
      <c r="D63" s="1160">
        <v>0.25</v>
      </c>
      <c r="E63" s="261">
        <f>'数据-汇总表'!E13</f>
        <v>115386.06</v>
      </c>
      <c r="F63" s="1099" t="e">
        <f t="shared" si="15"/>
        <v>#N/A</v>
      </c>
      <c r="G63" s="1105" t="s">
        <v>2770</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2771</v>
      </c>
      <c r="B64" s="262" t="e">
        <f t="shared" si="17"/>
        <v>#N/A</v>
      </c>
      <c r="C64" s="200">
        <f t="shared" si="16"/>
        <v>0</v>
      </c>
      <c r="D64" s="1160">
        <v>0.25</v>
      </c>
      <c r="E64" s="261">
        <f>'数据-汇总表'!E14</f>
        <v>0</v>
      </c>
      <c r="F64" s="1099" t="e">
        <f t="shared" si="15"/>
        <v>#N/A</v>
      </c>
      <c r="G64" s="2960" t="s">
        <v>2761</v>
      </c>
      <c r="H64" s="1100">
        <f>项目基本情况!B37</f>
        <v>0</v>
      </c>
      <c r="I64" s="1104">
        <f>SUMIF(修正!A45:A56,H64,修正!H45:H56)</f>
        <v>0</v>
      </c>
      <c r="J64" s="1108"/>
      <c r="K64" s="1141"/>
      <c r="L64" s="937"/>
      <c r="M64" s="937"/>
      <c r="N64" s="937"/>
      <c r="O64" s="937"/>
    </row>
    <row r="65" spans="1:17" s="691" customFormat="1" ht="15" thickBot="1">
      <c r="A65" s="692" t="s">
        <v>2772</v>
      </c>
      <c r="B65" s="262" t="e">
        <f t="shared" si="17"/>
        <v>#N/A</v>
      </c>
      <c r="C65" s="200">
        <f t="shared" si="16"/>
        <v>0</v>
      </c>
      <c r="D65" s="1160">
        <v>0.25</v>
      </c>
      <c r="E65" s="261">
        <f>'数据-汇总表'!E15</f>
        <v>0</v>
      </c>
      <c r="F65" s="1099" t="e">
        <f t="shared" si="15"/>
        <v>#N/A</v>
      </c>
      <c r="G65" s="2701" t="s">
        <v>2766</v>
      </c>
      <c r="H65" s="1110">
        <f>项目基本情况!C37</f>
        <v>0</v>
      </c>
      <c r="I65" s="1106">
        <f>SUMIF(修正!A45:A56,H65,修正!H45:H56)</f>
        <v>0</v>
      </c>
      <c r="J65" s="1109"/>
      <c r="K65" s="1140"/>
      <c r="L65" s="937"/>
      <c r="M65" s="937"/>
      <c r="N65" s="937"/>
      <c r="O65" s="937"/>
    </row>
    <row r="66" spans="1:17" s="691" customFormat="1" ht="13.5" thickBot="1">
      <c r="A66" s="694" t="s">
        <v>2773</v>
      </c>
      <c r="B66" s="695" t="s">
        <v>28</v>
      </c>
      <c r="C66" s="695" t="s">
        <v>29</v>
      </c>
      <c r="D66" s="695" t="s">
        <v>1026</v>
      </c>
      <c r="E66" s="695">
        <f>IF(B46="楼面地价",SUM(E56:E65),'数据-汇总表'!D3)</f>
        <v>492490</v>
      </c>
      <c r="F66" s="696" t="e">
        <f>IF(B46="楼面地价",SUM(F56:F65),ROUND(C48*E66/10000,0))</f>
        <v>#N/A</v>
      </c>
      <c r="G66" s="785"/>
      <c r="H66" s="785"/>
      <c r="I66" s="785"/>
      <c r="J66" s="785"/>
      <c r="K66" s="1154"/>
      <c r="L66" s="937"/>
      <c r="M66" s="937"/>
      <c r="N66" s="937"/>
      <c r="O66" s="937"/>
    </row>
    <row r="67" spans="1:17">
      <c r="A67" s="757"/>
      <c r="B67" s="759"/>
      <c r="C67" s="760"/>
      <c r="D67" s="757"/>
      <c r="E67" s="757"/>
      <c r="F67" s="757"/>
      <c r="G67" s="757"/>
      <c r="H67" s="757"/>
      <c r="I67" s="757"/>
      <c r="J67" s="1140"/>
      <c r="K67" s="1101"/>
      <c r="L67" s="1102"/>
      <c r="M67" s="1140"/>
      <c r="N67" s="1140"/>
      <c r="O67" s="1140"/>
    </row>
    <row r="68" spans="1:17">
      <c r="A68" s="757"/>
      <c r="B68" s="759"/>
      <c r="C68" s="759" t="str">
        <f>YEAR(C7)&amp;"-"&amp;MONTH(C7)&amp;"-1"</f>
        <v>2019-11-1</v>
      </c>
      <c r="D68" s="759">
        <f>EDATE(C68,-3)</f>
        <v>43678</v>
      </c>
      <c r="E68" s="759">
        <f>EDATE(D68,-3)</f>
        <v>43586</v>
      </c>
      <c r="F68" s="759">
        <f t="shared" ref="F68:O68" si="18">EDATE(E68,-3)</f>
        <v>43497</v>
      </c>
      <c r="G68" s="759">
        <f t="shared" si="18"/>
        <v>43405</v>
      </c>
      <c r="H68" s="759">
        <f t="shared" si="18"/>
        <v>43313</v>
      </c>
      <c r="I68" s="759">
        <f t="shared" si="18"/>
        <v>43221</v>
      </c>
      <c r="J68" s="759">
        <f t="shared" si="18"/>
        <v>43132</v>
      </c>
      <c r="K68" s="759">
        <f t="shared" si="18"/>
        <v>43040</v>
      </c>
      <c r="L68" s="759">
        <f t="shared" si="18"/>
        <v>42948</v>
      </c>
      <c r="M68" s="759">
        <f t="shared" si="18"/>
        <v>42856</v>
      </c>
      <c r="N68" s="759">
        <f t="shared" si="18"/>
        <v>42767</v>
      </c>
      <c r="O68" s="759">
        <f t="shared" si="18"/>
        <v>42675</v>
      </c>
    </row>
    <row r="69" spans="1:17" ht="21.75" thickBot="1">
      <c r="A69" s="761" t="s">
        <v>2575</v>
      </c>
      <c r="B69" s="757"/>
      <c r="C69" s="762"/>
      <c r="D69" s="762"/>
      <c r="E69" s="762"/>
      <c r="F69" s="763"/>
      <c r="G69" s="763"/>
      <c r="H69" s="762"/>
      <c r="I69" s="762"/>
      <c r="J69" s="1155"/>
      <c r="K69" s="1156"/>
      <c r="L69" s="1157"/>
      <c r="M69" s="1155"/>
      <c r="N69" s="1155"/>
      <c r="O69" s="1155"/>
      <c r="P69" s="503"/>
      <c r="Q69" s="504"/>
    </row>
    <row r="70" spans="1:17" s="508" customFormat="1" ht="15">
      <c r="A70" s="2702" t="s">
        <v>2774</v>
      </c>
      <c r="B70" s="1355"/>
      <c r="C70" s="1567" t="str">
        <f>YEAR(C68)&amp;"-"&amp;ROUNDUP(MONTH(C68)/3,0)</f>
        <v>2019-4</v>
      </c>
      <c r="D70" s="1567" t="str">
        <f>YEAR(D68)&amp;"-"&amp;ROUNDUP(MONTH(D68)/3,0)</f>
        <v>2019-3</v>
      </c>
      <c r="E70" s="1567" t="str">
        <f t="shared" ref="E70:O70" si="19">YEAR(E68)&amp;"-"&amp;ROUNDUP(MONTH(E68)/3,0)</f>
        <v>2019-2</v>
      </c>
      <c r="F70" s="1567" t="str">
        <f t="shared" si="19"/>
        <v>2019-1</v>
      </c>
      <c r="G70" s="1567" t="str">
        <f t="shared" si="19"/>
        <v>2018-4</v>
      </c>
      <c r="H70" s="1567" t="str">
        <f t="shared" si="19"/>
        <v>2018-3</v>
      </c>
      <c r="I70" s="1567" t="str">
        <f t="shared" si="19"/>
        <v>2018-2</v>
      </c>
      <c r="J70" s="1567" t="str">
        <f t="shared" si="19"/>
        <v>2018-1</v>
      </c>
      <c r="K70" s="1567" t="str">
        <f t="shared" si="19"/>
        <v>2017-4</v>
      </c>
      <c r="L70" s="1567" t="str">
        <f t="shared" si="19"/>
        <v>2017-3</v>
      </c>
      <c r="M70" s="1567" t="str">
        <f t="shared" si="19"/>
        <v>2017-2</v>
      </c>
      <c r="N70" s="1567" t="str">
        <f t="shared" si="19"/>
        <v>2017-1</v>
      </c>
      <c r="O70" s="1567" t="str">
        <f t="shared" si="19"/>
        <v>2016-4</v>
      </c>
      <c r="P70" s="507"/>
    </row>
    <row r="71" spans="1:17" s="117" customFormat="1" ht="30" customHeight="1">
      <c r="A71" s="2703" t="s">
        <v>1373</v>
      </c>
      <c r="B71" s="332" t="str">
        <f>"北京市平均增长率"&amp;TEXT(SUMIF(基准地价修正!N21:N25,A71,基准地价修正!P21:P25),"0.00%")</f>
        <v>北京市平均增长率1.41%</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2577</v>
      </c>
      <c r="B72" s="516"/>
      <c r="C72" s="517">
        <v>0.5</v>
      </c>
      <c r="D72" s="518"/>
      <c r="E72" s="518"/>
      <c r="F72" s="518"/>
      <c r="G72" s="518"/>
      <c r="H72" s="518"/>
      <c r="I72" s="518"/>
      <c r="J72" s="518"/>
      <c r="K72" s="518"/>
      <c r="L72" s="518"/>
      <c r="M72" s="519"/>
      <c r="N72" s="518"/>
      <c r="O72" s="1158"/>
      <c r="P72" s="504"/>
      <c r="Q72" s="504"/>
    </row>
    <row r="73" spans="1:17" s="117" customFormat="1" ht="15">
      <c r="A73" s="521" t="s">
        <v>2542</v>
      </c>
      <c r="B73" s="510"/>
      <c r="C73" s="522" t="s">
        <v>2579</v>
      </c>
      <c r="D73" s="523"/>
      <c r="E73" s="523"/>
      <c r="F73" s="523"/>
      <c r="G73" s="523"/>
      <c r="H73" s="523"/>
      <c r="I73" s="523"/>
      <c r="J73" s="523"/>
      <c r="K73" s="523"/>
      <c r="L73" s="524"/>
      <c r="M73" s="525"/>
      <c r="N73" s="1147"/>
      <c r="O73" s="1147"/>
      <c r="P73" s="526"/>
      <c r="Q73" s="504"/>
    </row>
    <row r="74" spans="1:17" s="117" customFormat="1" ht="15.75" thickBot="1">
      <c r="A74" s="521"/>
      <c r="B74" s="510"/>
      <c r="C74" s="638">
        <v>100</v>
      </c>
      <c r="D74" s="512"/>
      <c r="E74" s="512"/>
      <c r="F74" s="512"/>
      <c r="G74" s="512"/>
      <c r="H74" s="512"/>
      <c r="I74" s="512"/>
      <c r="J74" s="512"/>
      <c r="K74" s="512"/>
      <c r="L74" s="512"/>
      <c r="M74" s="514"/>
      <c r="N74" s="1147"/>
      <c r="O74" s="1147"/>
      <c r="P74" s="504"/>
      <c r="Q74" s="504"/>
    </row>
    <row r="75" spans="1:17" ht="28.5">
      <c r="A75" s="527" t="s">
        <v>2580</v>
      </c>
      <c r="B75" s="528" t="s">
        <v>2546</v>
      </c>
      <c r="C75" s="2985" t="s">
        <v>3804</v>
      </c>
      <c r="D75" s="530" t="str">
        <f>商业土地案例!H6</f>
        <v>商业用地、商务用地</v>
      </c>
      <c r="E75" s="530" t="str">
        <f>商业土地案例!H19</f>
        <v>其它商务用地、防护绿地</v>
      </c>
      <c r="F75" s="530"/>
      <c r="G75" s="530"/>
      <c r="H75" s="530"/>
      <c r="I75" s="530"/>
      <c r="J75" s="530"/>
      <c r="K75" s="531"/>
      <c r="L75" s="532"/>
      <c r="M75" s="533"/>
      <c r="N75" s="1148"/>
      <c r="O75" s="1148"/>
      <c r="P75" s="45"/>
      <c r="Q75" s="504"/>
    </row>
    <row r="76" spans="1:17" ht="15.75" thickBot="1">
      <c r="A76" s="534"/>
      <c r="B76" s="535"/>
      <c r="C76" s="536">
        <v>100</v>
      </c>
      <c r="D76" s="536">
        <v>100</v>
      </c>
      <c r="E76" s="536">
        <v>100</v>
      </c>
      <c r="F76" s="536"/>
      <c r="G76" s="536"/>
      <c r="H76" s="536"/>
      <c r="I76" s="536"/>
      <c r="J76" s="536"/>
      <c r="K76" s="536"/>
      <c r="L76" s="536"/>
      <c r="M76" s="537"/>
      <c r="N76" s="1149"/>
      <c r="O76" s="1149"/>
      <c r="P76" s="45"/>
      <c r="Q76" s="504"/>
    </row>
    <row r="77" spans="1:17" ht="27.75" thickTop="1">
      <c r="A77" s="534"/>
      <c r="B77" s="538" t="s">
        <v>2549</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2550</v>
      </c>
      <c r="C79" s="547" t="str">
        <f>C80&amp;"（含）"&amp;"-"&amp;D80</f>
        <v>4（含）-5</v>
      </c>
      <c r="D79" s="547" t="str">
        <f t="shared" ref="D79:L79" si="21">D80&amp;"（含）"&amp;"-"&amp;E80</f>
        <v>5（含）-6</v>
      </c>
      <c r="E79" s="547" t="str">
        <f t="shared" si="21"/>
        <v>6（含）-7</v>
      </c>
      <c r="F79" s="547" t="str">
        <f t="shared" si="21"/>
        <v>7（含）-8</v>
      </c>
      <c r="G79" s="547" t="str">
        <f t="shared" si="21"/>
        <v>8（含）-9</v>
      </c>
      <c r="H79" s="547" t="str">
        <f t="shared" si="21"/>
        <v>9（含）-</v>
      </c>
      <c r="I79" s="547" t="str">
        <f t="shared" si="21"/>
        <v>（含）-</v>
      </c>
      <c r="J79" s="547" t="str">
        <f t="shared" si="21"/>
        <v>（含）-</v>
      </c>
      <c r="K79" s="547" t="str">
        <f t="shared" si="21"/>
        <v>（含）-</v>
      </c>
      <c r="L79" s="547" t="str">
        <f t="shared" si="21"/>
        <v>（含）-</v>
      </c>
      <c r="M79" s="448" t="str">
        <f>M80&amp;"（含）"&amp;"-"&amp;P80</f>
        <v>（含）-</v>
      </c>
      <c r="N79" s="1149"/>
      <c r="O79" s="1149"/>
      <c r="P79" s="45"/>
      <c r="Q79" s="504"/>
    </row>
    <row r="80" spans="1:17" ht="15">
      <c r="A80" s="534"/>
      <c r="B80" s="548"/>
      <c r="C80" s="549">
        <v>4</v>
      </c>
      <c r="D80" s="549">
        <v>5</v>
      </c>
      <c r="E80" s="549">
        <v>6</v>
      </c>
      <c r="F80" s="549">
        <v>7</v>
      </c>
      <c r="G80" s="549">
        <v>8</v>
      </c>
      <c r="H80" s="549">
        <v>9</v>
      </c>
      <c r="I80" s="549"/>
      <c r="J80" s="549"/>
      <c r="K80" s="550"/>
      <c r="L80" s="551"/>
      <c r="M80" s="552"/>
      <c r="N80" s="1148"/>
      <c r="O80" s="1148"/>
      <c r="P80" s="45"/>
      <c r="Q80" s="504"/>
    </row>
    <row r="81" spans="1:17" ht="15.75" thickBot="1">
      <c r="A81" s="534"/>
      <c r="B81" s="535"/>
      <c r="C81" s="544">
        <v>100</v>
      </c>
      <c r="D81" s="544">
        <f t="shared" ref="D81:M81" si="22">IF($B$46="单位面积地价",C81+$K11,C81-$K11)</f>
        <v>97</v>
      </c>
      <c r="E81" s="544">
        <f t="shared" si="22"/>
        <v>94</v>
      </c>
      <c r="F81" s="544">
        <f t="shared" si="22"/>
        <v>91</v>
      </c>
      <c r="G81" s="544">
        <f t="shared" si="22"/>
        <v>88</v>
      </c>
      <c r="H81" s="544">
        <f t="shared" si="22"/>
        <v>85</v>
      </c>
      <c r="I81" s="544">
        <f t="shared" si="22"/>
        <v>82</v>
      </c>
      <c r="J81" s="544">
        <f t="shared" si="22"/>
        <v>79</v>
      </c>
      <c r="K81" s="544">
        <f t="shared" si="22"/>
        <v>76</v>
      </c>
      <c r="L81" s="544">
        <f t="shared" si="22"/>
        <v>73</v>
      </c>
      <c r="M81" s="544">
        <f t="shared" si="22"/>
        <v>70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0</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0</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48"/>
      <c r="O90" s="1148"/>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49"/>
      <c r="O91" s="1149"/>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48"/>
      <c r="O92" s="1148"/>
      <c r="P92" s="45"/>
      <c r="Q92" s="504"/>
    </row>
    <row r="93" spans="1:17" ht="15.75" thickBot="1">
      <c r="A93" s="534"/>
      <c r="B93" s="543"/>
      <c r="C93" s="544">
        <v>100</v>
      </c>
      <c r="D93" s="544">
        <f>C93-$K19</f>
        <v>97</v>
      </c>
      <c r="E93" s="544">
        <f>D93-$K19</f>
        <v>94</v>
      </c>
      <c r="F93" s="544">
        <f>E93-$K19</f>
        <v>91</v>
      </c>
      <c r="G93" s="544">
        <f>F93-$K19</f>
        <v>88</v>
      </c>
      <c r="H93" s="544"/>
      <c r="I93" s="544"/>
      <c r="J93" s="544"/>
      <c r="K93" s="544"/>
      <c r="L93" s="544"/>
      <c r="M93" s="545"/>
      <c r="N93" s="1149"/>
      <c r="O93" s="1149"/>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48"/>
      <c r="O94" s="1148"/>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49"/>
      <c r="O95" s="1149"/>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7"/>
      <c r="M96" s="621"/>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1"/>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0"/>
      <c r="O100" s="1150"/>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0"/>
      <c r="O101" s="1150"/>
      <c r="P101" s="558"/>
      <c r="Q101" s="559"/>
    </row>
    <row r="102" spans="1:17" s="471" customFormat="1" ht="15.75" thickTop="1">
      <c r="A102" s="553"/>
      <c r="B102" s="546" t="s">
        <v>2647</v>
      </c>
      <c r="C102" s="659" t="s">
        <v>2667</v>
      </c>
      <c r="D102" s="659" t="s">
        <v>2668</v>
      </c>
      <c r="E102" s="659" t="s">
        <v>2669</v>
      </c>
      <c r="F102" s="659" t="s">
        <v>2670</v>
      </c>
      <c r="G102" s="659" t="s">
        <v>2671</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49"/>
      <c r="O105" s="1149"/>
      <c r="P105" s="45"/>
      <c r="Q105" s="504"/>
    </row>
    <row r="106" spans="1:17" ht="27.75" thickTop="1">
      <c r="A106" s="534"/>
      <c r="B106" s="538" t="s">
        <v>2683</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49"/>
      <c r="O107" s="1149"/>
      <c r="P107" s="45"/>
      <c r="Q107" s="504"/>
    </row>
    <row r="108" spans="1:17" ht="15.75" thickTop="1">
      <c r="A108" s="534"/>
      <c r="B108" s="538" t="s">
        <v>2742</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49"/>
      <c r="O109" s="1149"/>
      <c r="P109" s="45"/>
      <c r="Q109" s="504"/>
    </row>
    <row r="110" spans="1:17" ht="15.75" thickTop="1">
      <c r="A110" s="534"/>
      <c r="B110" s="546">
        <f>B35</f>
        <v>0</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4"/>
      <c r="B112" s="538">
        <f>B36</f>
        <v>0</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0</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6"/>
      <c r="E115" s="676"/>
      <c r="F115" s="676"/>
      <c r="G115" s="676"/>
      <c r="H115" s="676"/>
      <c r="I115" s="676"/>
      <c r="J115" s="676"/>
      <c r="K115" s="676"/>
      <c r="L115" s="676"/>
      <c r="M115" s="698"/>
      <c r="N115" s="1149"/>
      <c r="O115" s="1149"/>
      <c r="P115" s="558"/>
      <c r="Q115" s="559"/>
    </row>
    <row r="116" spans="1:17">
      <c r="A116" s="527" t="s">
        <v>2555</v>
      </c>
      <c r="B116" s="528" t="s">
        <v>2783</v>
      </c>
      <c r="C116" s="529" t="str">
        <f>C117&amp;"(含)"&amp;"-"&amp;D117</f>
        <v>0(含)-</v>
      </c>
      <c r="D116" s="529" t="str">
        <f t="shared" ref="D116:M116" si="26">D117&amp;"(含)"&amp;"-"&amp;E117</f>
        <v>(含)-</v>
      </c>
      <c r="E116" s="529" t="str">
        <f t="shared" si="26"/>
        <v>(含)-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48"/>
      <c r="O116" s="1148"/>
      <c r="P116" s="45"/>
      <c r="Q116" s="504"/>
    </row>
    <row r="117" spans="1:17" ht="15">
      <c r="A117" s="534"/>
      <c r="B117" s="546"/>
      <c r="C117" s="595">
        <v>0</v>
      </c>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2784</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7">C120-$K39</f>
        <v>100</v>
      </c>
      <c r="E120" s="544">
        <f t="shared" si="27"/>
        <v>100</v>
      </c>
      <c r="F120" s="544">
        <f t="shared" si="27"/>
        <v>100</v>
      </c>
      <c r="G120" s="544">
        <f t="shared" si="27"/>
        <v>100</v>
      </c>
      <c r="H120" s="544">
        <f t="shared" si="27"/>
        <v>100</v>
      </c>
      <c r="I120" s="544">
        <f t="shared" si="27"/>
        <v>100</v>
      </c>
      <c r="J120" s="544">
        <f t="shared" si="27"/>
        <v>100</v>
      </c>
      <c r="K120" s="544">
        <f t="shared" si="27"/>
        <v>100</v>
      </c>
      <c r="L120" s="544">
        <f t="shared" si="27"/>
        <v>100</v>
      </c>
      <c r="M120" s="545">
        <f t="shared" si="27"/>
        <v>100</v>
      </c>
      <c r="N120" s="1149"/>
      <c r="O120" s="1149"/>
      <c r="P120" s="45"/>
      <c r="Q120" s="504"/>
    </row>
    <row r="121" spans="1:17" ht="15" thickTop="1">
      <c r="A121" s="599"/>
      <c r="B121" s="538" t="s">
        <v>2785</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49"/>
      <c r="O122" s="1149"/>
      <c r="P122" s="45"/>
      <c r="Q122" s="504"/>
    </row>
    <row r="123" spans="1:17" s="471" customFormat="1" ht="15" thickTop="1">
      <c r="A123" s="593"/>
      <c r="B123" s="538" t="s">
        <v>2786</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9">D124-$K41</f>
        <v>100</v>
      </c>
      <c r="F124" s="544">
        <f t="shared" si="29"/>
        <v>100</v>
      </c>
      <c r="G124" s="544">
        <f t="shared" si="29"/>
        <v>100</v>
      </c>
      <c r="H124" s="544">
        <f t="shared" si="29"/>
        <v>100</v>
      </c>
      <c r="I124" s="544">
        <f t="shared" si="29"/>
        <v>100</v>
      </c>
      <c r="J124" s="544">
        <f t="shared" si="29"/>
        <v>100</v>
      </c>
      <c r="K124" s="544">
        <f t="shared" si="29"/>
        <v>100</v>
      </c>
      <c r="L124" s="544">
        <f t="shared" si="29"/>
        <v>100</v>
      </c>
      <c r="M124" s="545">
        <f t="shared" si="29"/>
        <v>100</v>
      </c>
      <c r="N124" s="1150"/>
      <c r="O124" s="1150"/>
      <c r="P124" s="558"/>
      <c r="Q124" s="559"/>
    </row>
    <row r="125" spans="1:17" ht="15" thickTop="1">
      <c r="A125" s="599"/>
      <c r="B125" s="538" t="s">
        <v>2787</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49"/>
      <c r="O126" s="1149"/>
      <c r="P126" s="45"/>
      <c r="Q126" s="504"/>
    </row>
    <row r="127" spans="1:17" ht="15" thickTop="1">
      <c r="A127" s="599"/>
      <c r="B127" s="538">
        <f>B43</f>
        <v>0</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0</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0</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699"/>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1 H51 J51">
    <cfRule type="containsText" dxfId="170" priority="14" stopIfTrue="1" operator="containsText" text="超过">
      <formula>NOT(ISERROR(SEARCH("超过",F51)))</formula>
    </cfRule>
  </conditionalFormatting>
  <conditionalFormatting sqref="J53">
    <cfRule type="containsText" dxfId="169" priority="13" stopIfTrue="1" operator="containsText" text="超过">
      <formula>NOT(ISERROR(SEARCH("超过",J53)))</formula>
    </cfRule>
  </conditionalFormatting>
  <conditionalFormatting sqref="H53">
    <cfRule type="containsText" dxfId="168" priority="12" stopIfTrue="1" operator="containsText" text="超过">
      <formula>NOT(ISERROR(SEARCH("超过",H53)))</formula>
    </cfRule>
  </conditionalFormatting>
  <conditionalFormatting sqref="F53">
    <cfRule type="containsText" dxfId="167" priority="11" stopIfTrue="1" operator="containsText" text="超过">
      <formula>NOT(ISERROR(SEARCH("超过",F53)))</formula>
    </cfRule>
  </conditionalFormatting>
  <conditionalFormatting sqref="F52 H52 J52">
    <cfRule type="containsText" dxfId="166" priority="10" stopIfTrue="1" operator="containsText" text="超过">
      <formula>NOT(ISERROR(SEARCH("超过",F52)))</formula>
    </cfRule>
  </conditionalFormatting>
  <conditionalFormatting sqref="E51">
    <cfRule type="expression" dxfId="165" priority="9" stopIfTrue="1">
      <formula>$F$51="超过30%"</formula>
    </cfRule>
  </conditionalFormatting>
  <conditionalFormatting sqref="G53">
    <cfRule type="expression" dxfId="164" priority="8" stopIfTrue="1">
      <formula>$H$53="超过30%"</formula>
    </cfRule>
  </conditionalFormatting>
  <conditionalFormatting sqref="E52">
    <cfRule type="expression" dxfId="163" priority="7" stopIfTrue="1">
      <formula>$F$52="超过20%"</formula>
    </cfRule>
  </conditionalFormatting>
  <conditionalFormatting sqref="E53">
    <cfRule type="expression" dxfId="162" priority="6" stopIfTrue="1">
      <formula>$F$53="超过30%"</formula>
    </cfRule>
  </conditionalFormatting>
  <conditionalFormatting sqref="G51">
    <cfRule type="expression" dxfId="161" priority="5" stopIfTrue="1">
      <formula>$H$53+$H$51="超过30%"</formula>
    </cfRule>
  </conditionalFormatting>
  <conditionalFormatting sqref="G52">
    <cfRule type="expression" dxfId="160" priority="4" stopIfTrue="1">
      <formula>$H$52="超过20%"</formula>
    </cfRule>
  </conditionalFormatting>
  <conditionalFormatting sqref="I51">
    <cfRule type="expression" dxfId="159" priority="3" stopIfTrue="1">
      <formula>$J$51="超过30%"</formula>
    </cfRule>
  </conditionalFormatting>
  <conditionalFormatting sqref="I52">
    <cfRule type="expression" dxfId="158" priority="2" stopIfTrue="1">
      <formula>$J$52="超过20%"</formula>
    </cfRule>
  </conditionalFormatting>
  <conditionalFormatting sqref="I53">
    <cfRule type="expression" dxfId="157"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4"/>
  <sheetViews>
    <sheetView topLeftCell="G1" workbookViewId="0">
      <selection activeCell="N68" sqref="A64:N68"/>
    </sheetView>
  </sheetViews>
  <sheetFormatPr defaultRowHeight="13.5"/>
  <cols>
    <col min="1" max="4" width="0" hidden="1" customWidth="1"/>
    <col min="5" max="5" width="51.375" customWidth="1"/>
    <col min="6" max="6" width="0" hidden="1" customWidth="1"/>
    <col min="7" max="7" width="9.375" customWidth="1"/>
    <col min="8" max="8" width="28.75" customWidth="1"/>
    <col min="9" max="9" width="15" customWidth="1"/>
    <col min="10" max="10" width="0" hidden="1" customWidth="1"/>
    <col min="11" max="11" width="11.5" customWidth="1"/>
    <col min="12" max="12" width="13.25" customWidth="1"/>
    <col min="13" max="13" width="0" hidden="1" customWidth="1"/>
    <col min="14" max="14" width="33.125" customWidth="1"/>
    <col min="15" max="17" width="16.125" customWidth="1"/>
  </cols>
  <sheetData>
    <row r="1" spans="1:20">
      <c r="A1" s="2986" t="s">
        <v>3164</v>
      </c>
      <c r="B1" s="2986" t="s">
        <v>3165</v>
      </c>
      <c r="C1" s="2986" t="s">
        <v>3166</v>
      </c>
      <c r="D1" s="2986" t="s">
        <v>3167</v>
      </c>
      <c r="E1" s="2986" t="s">
        <v>3168</v>
      </c>
      <c r="F1" s="2986" t="s">
        <v>3169</v>
      </c>
      <c r="G1" s="2986" t="s">
        <v>3170</v>
      </c>
      <c r="H1" s="2986" t="s">
        <v>3171</v>
      </c>
      <c r="I1" s="2986" t="s">
        <v>3172</v>
      </c>
      <c r="J1" s="2986" t="s">
        <v>3173</v>
      </c>
      <c r="K1" s="2986" t="s">
        <v>3174</v>
      </c>
      <c r="L1" s="2986" t="s">
        <v>3175</v>
      </c>
      <c r="M1" s="2986" t="s">
        <v>3176</v>
      </c>
      <c r="N1" s="2986" t="s">
        <v>3177</v>
      </c>
      <c r="O1" s="2986" t="s">
        <v>3178</v>
      </c>
      <c r="P1" s="2986" t="s">
        <v>3179</v>
      </c>
      <c r="Q1" s="2986" t="s">
        <v>3180</v>
      </c>
      <c r="R1" s="2986" t="s">
        <v>3181</v>
      </c>
      <c r="S1" s="2986" t="s">
        <v>3182</v>
      </c>
      <c r="T1" s="2986" t="s">
        <v>3183</v>
      </c>
    </row>
    <row r="2" spans="1:20">
      <c r="A2" s="2986" t="s">
        <v>3614</v>
      </c>
      <c r="B2" s="2986" t="s">
        <v>3185</v>
      </c>
      <c r="C2" s="2986" t="s">
        <v>3615</v>
      </c>
      <c r="D2" s="2986" t="s">
        <v>1327</v>
      </c>
      <c r="E2" s="2986" t="s">
        <v>3614</v>
      </c>
      <c r="F2" s="2986" t="s">
        <v>3187</v>
      </c>
      <c r="G2" s="2986">
        <v>19080</v>
      </c>
      <c r="H2" s="2986" t="s">
        <v>3616</v>
      </c>
      <c r="I2" s="2986">
        <v>3546.21</v>
      </c>
      <c r="J2" s="2986">
        <v>5319.32</v>
      </c>
      <c r="K2" s="2986" t="s">
        <v>3561</v>
      </c>
      <c r="L2" s="2986" t="s">
        <v>3312</v>
      </c>
      <c r="M2" s="2986" t="s">
        <v>3617</v>
      </c>
      <c r="N2" s="2986" t="s">
        <v>3618</v>
      </c>
      <c r="O2" s="2986">
        <v>1910</v>
      </c>
      <c r="P2" s="2986">
        <v>359.07</v>
      </c>
      <c r="Q2" s="2986">
        <v>3590.67</v>
      </c>
      <c r="R2" s="2986">
        <v>0</v>
      </c>
      <c r="S2" s="2986" t="s">
        <v>3216</v>
      </c>
      <c r="T2" s="2986" t="s">
        <v>3619</v>
      </c>
    </row>
    <row r="3" spans="1:20">
      <c r="A3" s="2986" t="s">
        <v>3620</v>
      </c>
      <c r="B3" s="2986" t="s">
        <v>3185</v>
      </c>
      <c r="C3" s="2986" t="s">
        <v>3615</v>
      </c>
      <c r="D3" s="2986" t="s">
        <v>1327</v>
      </c>
      <c r="E3" s="2986" t="s">
        <v>3620</v>
      </c>
      <c r="F3" s="2986" t="s">
        <v>3187</v>
      </c>
      <c r="G3" s="2986">
        <v>18080</v>
      </c>
      <c r="H3" s="2986" t="s">
        <v>3616</v>
      </c>
      <c r="I3" s="2986">
        <v>3646</v>
      </c>
      <c r="J3" s="2986">
        <v>5469</v>
      </c>
      <c r="K3" s="2986">
        <v>1.5</v>
      </c>
      <c r="L3" s="2986" t="s">
        <v>3621</v>
      </c>
      <c r="M3" s="2986" t="s">
        <v>3622</v>
      </c>
      <c r="N3" s="2986" t="s">
        <v>3623</v>
      </c>
      <c r="O3" s="2986">
        <v>2406</v>
      </c>
      <c r="P3" s="2986">
        <v>439.93</v>
      </c>
      <c r="Q3" s="2986">
        <v>4399.34</v>
      </c>
      <c r="R3" s="2986">
        <v>0</v>
      </c>
      <c r="S3" s="2986" t="s">
        <v>3216</v>
      </c>
      <c r="T3" s="2986" t="s">
        <v>3203</v>
      </c>
    </row>
    <row r="4" spans="1:20">
      <c r="A4" s="2986" t="s">
        <v>3624</v>
      </c>
      <c r="B4" s="2986" t="s">
        <v>3185</v>
      </c>
      <c r="C4" s="2986" t="s">
        <v>3615</v>
      </c>
      <c r="D4" s="2986" t="s">
        <v>1327</v>
      </c>
      <c r="E4" s="2986" t="s">
        <v>3624</v>
      </c>
      <c r="F4" s="2986" t="s">
        <v>3197</v>
      </c>
      <c r="G4" s="2986">
        <v>18023</v>
      </c>
      <c r="H4" s="2986" t="s">
        <v>3625</v>
      </c>
      <c r="I4" s="2986">
        <v>11896</v>
      </c>
      <c r="J4" s="2986">
        <v>17844</v>
      </c>
      <c r="K4" s="2986" t="s">
        <v>3240</v>
      </c>
      <c r="L4" s="2986" t="s">
        <v>3418</v>
      </c>
      <c r="M4" s="2986" t="s">
        <v>3626</v>
      </c>
      <c r="N4" s="2986" t="s">
        <v>3627</v>
      </c>
      <c r="O4" s="2986">
        <v>2100</v>
      </c>
      <c r="P4" s="2986">
        <v>117.69</v>
      </c>
      <c r="Q4" s="2986">
        <v>1176.8599999999999</v>
      </c>
      <c r="R4" s="2986">
        <v>45.83</v>
      </c>
      <c r="S4" s="2986" t="s">
        <v>3216</v>
      </c>
      <c r="T4" s="2986" t="s">
        <v>3300</v>
      </c>
    </row>
    <row r="5" spans="1:20">
      <c r="A5" s="2986" t="s">
        <v>3628</v>
      </c>
      <c r="B5" s="2986" t="s">
        <v>3185</v>
      </c>
      <c r="C5" s="2986" t="s">
        <v>3615</v>
      </c>
      <c r="D5" s="2986" t="s">
        <v>1327</v>
      </c>
      <c r="E5" s="2986" t="s">
        <v>3628</v>
      </c>
      <c r="F5" s="2986" t="s">
        <v>3187</v>
      </c>
      <c r="G5" s="2986">
        <v>17159</v>
      </c>
      <c r="H5" s="2986" t="s">
        <v>3616</v>
      </c>
      <c r="I5" s="2986">
        <v>3296.9</v>
      </c>
      <c r="J5" s="2986">
        <v>4945.3500000000004</v>
      </c>
      <c r="K5" s="2986" t="s">
        <v>3240</v>
      </c>
      <c r="L5" s="2986" t="s">
        <v>3629</v>
      </c>
      <c r="M5" s="2986" t="s">
        <v>3630</v>
      </c>
      <c r="N5" s="2986" t="s">
        <v>3631</v>
      </c>
      <c r="O5" s="2986">
        <v>1514</v>
      </c>
      <c r="P5" s="2986">
        <v>306.14999999999998</v>
      </c>
      <c r="Q5" s="2986">
        <v>3061.46</v>
      </c>
      <c r="R5" s="2986">
        <v>0</v>
      </c>
      <c r="S5" s="2986" t="s">
        <v>3216</v>
      </c>
      <c r="T5" s="2986" t="s">
        <v>3203</v>
      </c>
    </row>
    <row r="6" spans="1:20" s="2992" customFormat="1">
      <c r="A6" s="2991" t="s">
        <v>3632</v>
      </c>
      <c r="B6" s="2991" t="s">
        <v>3185</v>
      </c>
      <c r="C6" s="2991" t="s">
        <v>3615</v>
      </c>
      <c r="D6" s="2991" t="s">
        <v>1327</v>
      </c>
      <c r="E6" s="2991" t="s">
        <v>3632</v>
      </c>
      <c r="F6" s="2991" t="s">
        <v>3187</v>
      </c>
      <c r="G6" s="2991">
        <v>17042</v>
      </c>
      <c r="H6" s="2991" t="s">
        <v>3633</v>
      </c>
      <c r="I6" s="2991">
        <v>5230</v>
      </c>
      <c r="J6" s="2991">
        <v>23535</v>
      </c>
      <c r="K6" s="2991" t="s">
        <v>3634</v>
      </c>
      <c r="L6" s="2991" t="s">
        <v>3635</v>
      </c>
      <c r="M6" s="2991" t="s">
        <v>3636</v>
      </c>
      <c r="N6" s="2991" t="s">
        <v>3637</v>
      </c>
      <c r="O6" s="2991">
        <v>11109</v>
      </c>
      <c r="P6" s="2991">
        <v>1416.06</v>
      </c>
      <c r="Q6" s="2991">
        <v>4720.1899999999996</v>
      </c>
      <c r="R6" s="2991">
        <v>0</v>
      </c>
      <c r="S6" s="2991" t="s">
        <v>3216</v>
      </c>
      <c r="T6" s="2991" t="s">
        <v>3194</v>
      </c>
    </row>
    <row r="7" spans="1:20" s="2990" customFormat="1"/>
    <row r="8" spans="1:20" s="2990" customFormat="1"/>
    <row r="9" spans="1:20">
      <c r="A9" s="2987" t="s">
        <v>3638</v>
      </c>
      <c r="B9" s="2987" t="s">
        <v>3185</v>
      </c>
      <c r="C9" s="2987" t="s">
        <v>3615</v>
      </c>
      <c r="D9" s="2987" t="s">
        <v>1327</v>
      </c>
      <c r="E9" s="2987" t="s">
        <v>3638</v>
      </c>
      <c r="F9" s="2987" t="s">
        <v>3187</v>
      </c>
      <c r="G9" s="2987">
        <v>19137</v>
      </c>
      <c r="H9" s="2987" t="s">
        <v>3639</v>
      </c>
      <c r="I9" s="2987">
        <v>119108.5</v>
      </c>
      <c r="J9" s="2987">
        <v>91988.64</v>
      </c>
      <c r="K9" s="2987" t="s">
        <v>3640</v>
      </c>
      <c r="L9" s="2987" t="s">
        <v>3641</v>
      </c>
      <c r="M9" s="2987" t="s">
        <v>3642</v>
      </c>
      <c r="N9" s="2987" t="s">
        <v>3643</v>
      </c>
      <c r="O9" s="2987">
        <v>15211</v>
      </c>
      <c r="P9" s="2987">
        <v>85.14</v>
      </c>
      <c r="Q9" s="2987">
        <v>1653.56</v>
      </c>
      <c r="R9" s="2987">
        <v>0</v>
      </c>
      <c r="S9" s="2987" t="s">
        <v>3216</v>
      </c>
      <c r="T9" s="2987" t="s">
        <v>3203</v>
      </c>
    </row>
    <row r="10" spans="1:20">
      <c r="A10" s="2987" t="s">
        <v>3644</v>
      </c>
      <c r="B10" s="2987" t="s">
        <v>3185</v>
      </c>
      <c r="C10" s="2987" t="s">
        <v>3615</v>
      </c>
      <c r="D10" s="2987" t="s">
        <v>1327</v>
      </c>
      <c r="E10" s="2987" t="s">
        <v>3644</v>
      </c>
      <c r="F10" s="2987" t="s">
        <v>3187</v>
      </c>
      <c r="G10" s="2987">
        <v>19136</v>
      </c>
      <c r="H10" s="2987" t="s">
        <v>3645</v>
      </c>
      <c r="I10" s="2987">
        <v>15522</v>
      </c>
      <c r="J10" s="2987">
        <v>38805</v>
      </c>
      <c r="K10" s="2987" t="s">
        <v>3478</v>
      </c>
      <c r="L10" s="2987" t="s">
        <v>3641</v>
      </c>
      <c r="M10" s="2987" t="s">
        <v>3646</v>
      </c>
      <c r="N10" s="2987" t="s">
        <v>3647</v>
      </c>
      <c r="O10" s="2987">
        <v>7234</v>
      </c>
      <c r="P10" s="2987">
        <v>310.7</v>
      </c>
      <c r="Q10" s="2987">
        <v>1864.19</v>
      </c>
      <c r="R10" s="2987">
        <v>0</v>
      </c>
      <c r="S10" s="2987" t="s">
        <v>3216</v>
      </c>
      <c r="T10" s="2987" t="s">
        <v>3194</v>
      </c>
    </row>
    <row r="11" spans="1:20">
      <c r="A11" s="2987" t="s">
        <v>3648</v>
      </c>
      <c r="B11" s="2987" t="s">
        <v>3185</v>
      </c>
      <c r="C11" s="2987" t="s">
        <v>3615</v>
      </c>
      <c r="D11" s="2987" t="s">
        <v>1327</v>
      </c>
      <c r="E11" s="2987" t="s">
        <v>3648</v>
      </c>
      <c r="F11" s="2987" t="s">
        <v>3187</v>
      </c>
      <c r="G11" s="2987">
        <v>19118</v>
      </c>
      <c r="H11" s="2987" t="s">
        <v>3649</v>
      </c>
      <c r="I11" s="2987">
        <v>108954.4</v>
      </c>
      <c r="J11" s="2987">
        <v>163431.6</v>
      </c>
      <c r="K11" s="2987" t="s">
        <v>3240</v>
      </c>
      <c r="L11" s="2987" t="s">
        <v>3650</v>
      </c>
      <c r="M11" s="2987" t="s">
        <v>3651</v>
      </c>
      <c r="N11" s="2987" t="s">
        <v>3652</v>
      </c>
      <c r="O11" s="2987">
        <v>9806</v>
      </c>
      <c r="P11" s="2987">
        <v>60</v>
      </c>
      <c r="Q11" s="2987">
        <v>600</v>
      </c>
      <c r="R11" s="2987">
        <v>0</v>
      </c>
      <c r="S11" s="2987" t="s">
        <v>3216</v>
      </c>
      <c r="T11" s="2987" t="s">
        <v>3203</v>
      </c>
    </row>
    <row r="12" spans="1:20">
      <c r="A12" s="2987" t="s">
        <v>3653</v>
      </c>
      <c r="B12" s="2987" t="s">
        <v>3185</v>
      </c>
      <c r="C12" s="2987" t="s">
        <v>3615</v>
      </c>
      <c r="D12" s="2987" t="s">
        <v>1327</v>
      </c>
      <c r="E12" s="2987" t="s">
        <v>3653</v>
      </c>
      <c r="F12" s="2987" t="s">
        <v>3187</v>
      </c>
      <c r="G12" s="2987">
        <v>19108</v>
      </c>
      <c r="H12" s="2987" t="s">
        <v>3633</v>
      </c>
      <c r="I12" s="2987">
        <v>9979</v>
      </c>
      <c r="J12" s="2987">
        <v>23949.599999999999</v>
      </c>
      <c r="K12" s="2987" t="s">
        <v>3654</v>
      </c>
      <c r="L12" s="2987" t="s">
        <v>3655</v>
      </c>
      <c r="M12" s="2987" t="s">
        <v>3656</v>
      </c>
      <c r="N12" s="2987" t="s">
        <v>3657</v>
      </c>
      <c r="O12" s="2987">
        <v>12305</v>
      </c>
      <c r="P12" s="2987">
        <v>822.06</v>
      </c>
      <c r="Q12" s="2987">
        <v>5137.8599999999997</v>
      </c>
      <c r="R12" s="2987">
        <v>0</v>
      </c>
      <c r="S12" s="2987" t="s">
        <v>3658</v>
      </c>
      <c r="T12" s="2987" t="s">
        <v>3194</v>
      </c>
    </row>
    <row r="13" spans="1:20">
      <c r="A13" s="2987" t="s">
        <v>3659</v>
      </c>
      <c r="B13" s="2987" t="s">
        <v>3185</v>
      </c>
      <c r="C13" s="2987" t="s">
        <v>3615</v>
      </c>
      <c r="D13" s="2987" t="s">
        <v>1327</v>
      </c>
      <c r="E13" s="2987" t="s">
        <v>3659</v>
      </c>
      <c r="F13" s="2987" t="s">
        <v>3187</v>
      </c>
      <c r="G13" s="2987">
        <v>19093</v>
      </c>
      <c r="H13" s="2987" t="s">
        <v>3633</v>
      </c>
      <c r="I13" s="2987">
        <v>48352.3</v>
      </c>
      <c r="J13" s="2987">
        <v>96704.6</v>
      </c>
      <c r="K13" s="2987" t="s">
        <v>3255</v>
      </c>
      <c r="L13" s="2987" t="s">
        <v>3293</v>
      </c>
      <c r="M13" s="2987" t="s">
        <v>3294</v>
      </c>
      <c r="N13" s="2987" t="s">
        <v>3660</v>
      </c>
      <c r="O13" s="2987">
        <v>18084</v>
      </c>
      <c r="P13" s="2987">
        <v>249.34</v>
      </c>
      <c r="Q13" s="2987">
        <v>1870.01</v>
      </c>
      <c r="R13" s="2987">
        <v>0</v>
      </c>
      <c r="S13" s="2987" t="s">
        <v>3216</v>
      </c>
      <c r="T13" s="2987" t="s">
        <v>3300</v>
      </c>
    </row>
    <row r="14" spans="1:20">
      <c r="A14" s="2987" t="s">
        <v>3661</v>
      </c>
      <c r="B14" s="2987" t="s">
        <v>3185</v>
      </c>
      <c r="C14" s="2987" t="s">
        <v>3615</v>
      </c>
      <c r="D14" s="2987" t="s">
        <v>1327</v>
      </c>
      <c r="E14" s="2987" t="s">
        <v>3661</v>
      </c>
      <c r="F14" s="2987" t="s">
        <v>3187</v>
      </c>
      <c r="G14" s="2987">
        <v>19074</v>
      </c>
      <c r="H14" s="2987" t="s">
        <v>3633</v>
      </c>
      <c r="I14" s="2987">
        <v>23734</v>
      </c>
      <c r="J14" s="2987">
        <v>78000</v>
      </c>
      <c r="K14" s="2987" t="s">
        <v>3662</v>
      </c>
      <c r="L14" s="2987" t="s">
        <v>3663</v>
      </c>
      <c r="M14" s="2987" t="s">
        <v>3664</v>
      </c>
      <c r="N14" s="2987" t="s">
        <v>3665</v>
      </c>
      <c r="O14" s="2987">
        <v>21670</v>
      </c>
      <c r="P14" s="2987">
        <v>608.69000000000005</v>
      </c>
      <c r="Q14" s="2987">
        <v>2778.21</v>
      </c>
      <c r="R14" s="2987">
        <v>0</v>
      </c>
      <c r="S14" s="2987" t="s">
        <v>3216</v>
      </c>
      <c r="T14" s="2987" t="s">
        <v>3194</v>
      </c>
    </row>
    <row r="15" spans="1:20">
      <c r="A15" s="2987" t="s">
        <v>3666</v>
      </c>
      <c r="B15" s="2987" t="s">
        <v>3185</v>
      </c>
      <c r="C15" s="2987" t="s">
        <v>3615</v>
      </c>
      <c r="D15" s="2987" t="s">
        <v>1327</v>
      </c>
      <c r="E15" s="2987" t="s">
        <v>3666</v>
      </c>
      <c r="F15" s="2987" t="s">
        <v>3187</v>
      </c>
      <c r="G15" s="2987">
        <v>19075</v>
      </c>
      <c r="H15" s="2987" t="s">
        <v>3633</v>
      </c>
      <c r="I15" s="2987">
        <v>13918</v>
      </c>
      <c r="J15" s="2987">
        <v>61000</v>
      </c>
      <c r="K15" s="2987" t="s">
        <v>3473</v>
      </c>
      <c r="L15" s="2987" t="s">
        <v>3663</v>
      </c>
      <c r="M15" s="2987" t="s">
        <v>3664</v>
      </c>
      <c r="N15" s="2987" t="s">
        <v>3665</v>
      </c>
      <c r="O15" s="2987">
        <v>16841</v>
      </c>
      <c r="P15" s="2987">
        <v>806.68</v>
      </c>
      <c r="Q15" s="2987">
        <v>2760.82</v>
      </c>
      <c r="R15" s="2987">
        <v>0</v>
      </c>
      <c r="S15" s="2987" t="s">
        <v>3216</v>
      </c>
      <c r="T15" s="2987" t="s">
        <v>3194</v>
      </c>
    </row>
    <row r="16" spans="1:20">
      <c r="A16" s="2987" t="s">
        <v>3667</v>
      </c>
      <c r="B16" s="2987" t="s">
        <v>3185</v>
      </c>
      <c r="C16" s="2987" t="s">
        <v>3615</v>
      </c>
      <c r="D16" s="2987" t="s">
        <v>1327</v>
      </c>
      <c r="E16" s="2987" t="s">
        <v>3667</v>
      </c>
      <c r="F16" s="2987" t="s">
        <v>3187</v>
      </c>
      <c r="G16" s="2987">
        <v>19010</v>
      </c>
      <c r="H16" s="2987" t="s">
        <v>3633</v>
      </c>
      <c r="I16" s="2987">
        <v>10473</v>
      </c>
      <c r="J16" s="2987">
        <v>15709.5</v>
      </c>
      <c r="K16" s="2987" t="s">
        <v>3240</v>
      </c>
      <c r="L16" s="2987" t="s">
        <v>3668</v>
      </c>
      <c r="M16" s="2987" t="s">
        <v>3669</v>
      </c>
      <c r="N16" s="2987" t="s">
        <v>3670</v>
      </c>
      <c r="O16" s="2987">
        <v>3048</v>
      </c>
      <c r="P16" s="2987">
        <v>194.02</v>
      </c>
      <c r="Q16" s="2987">
        <v>1940.23</v>
      </c>
      <c r="R16" s="2987">
        <v>0</v>
      </c>
      <c r="S16" s="2987" t="s">
        <v>3216</v>
      </c>
      <c r="T16" s="2987" t="s">
        <v>3194</v>
      </c>
    </row>
    <row r="17" spans="1:20">
      <c r="A17" s="2987" t="s">
        <v>3671</v>
      </c>
      <c r="B17" s="2987" t="s">
        <v>3185</v>
      </c>
      <c r="C17" s="2987" t="s">
        <v>3615</v>
      </c>
      <c r="D17" s="2987" t="s">
        <v>1327</v>
      </c>
      <c r="E17" s="2987" t="s">
        <v>3671</v>
      </c>
      <c r="F17" s="2987" t="s">
        <v>3187</v>
      </c>
      <c r="G17" s="2987">
        <v>18120</v>
      </c>
      <c r="H17" s="2987" t="s">
        <v>3672</v>
      </c>
      <c r="I17" s="2987">
        <v>4941.79</v>
      </c>
      <c r="J17" s="2987">
        <v>7412.68</v>
      </c>
      <c r="K17" s="2987">
        <v>1.5</v>
      </c>
      <c r="L17" s="2987" t="s">
        <v>3673</v>
      </c>
      <c r="M17" s="2987" t="s">
        <v>3674</v>
      </c>
      <c r="N17" s="2987" t="s">
        <v>3631</v>
      </c>
      <c r="O17" s="2987">
        <v>2237</v>
      </c>
      <c r="P17" s="2987">
        <v>301.77999999999997</v>
      </c>
      <c r="Q17" s="2987">
        <v>3017.8</v>
      </c>
      <c r="R17" s="2987">
        <v>0</v>
      </c>
      <c r="S17" s="2987" t="s">
        <v>3216</v>
      </c>
      <c r="T17" s="2987" t="s">
        <v>3300</v>
      </c>
    </row>
    <row r="18" spans="1:20">
      <c r="A18" s="2987" t="s">
        <v>3675</v>
      </c>
      <c r="B18" s="2987" t="s">
        <v>3185</v>
      </c>
      <c r="C18" s="2987" t="s">
        <v>3615</v>
      </c>
      <c r="D18" s="2987" t="s">
        <v>1327</v>
      </c>
      <c r="E18" s="2987" t="s">
        <v>3675</v>
      </c>
      <c r="F18" s="2987" t="s">
        <v>3187</v>
      </c>
      <c r="G18" s="2987">
        <v>18013</v>
      </c>
      <c r="H18" s="2987" t="s">
        <v>3676</v>
      </c>
      <c r="I18" s="2987">
        <v>149172.4</v>
      </c>
      <c r="J18" s="2987">
        <v>221486.6</v>
      </c>
      <c r="K18" s="2987" t="s">
        <v>3427</v>
      </c>
      <c r="L18" s="2987" t="s">
        <v>3423</v>
      </c>
      <c r="M18" s="2987" t="s">
        <v>3424</v>
      </c>
      <c r="N18" s="2987" t="s">
        <v>3677</v>
      </c>
      <c r="O18" s="2987">
        <v>213309</v>
      </c>
      <c r="P18" s="2987">
        <v>953.3</v>
      </c>
      <c r="Q18" s="2987">
        <v>9630.7900000000009</v>
      </c>
      <c r="R18" s="2987">
        <v>0</v>
      </c>
      <c r="S18" s="2987" t="s">
        <v>3216</v>
      </c>
      <c r="T18" s="2987" t="s">
        <v>3259</v>
      </c>
    </row>
    <row r="19" spans="1:20" s="2992" customFormat="1">
      <c r="A19" s="2991" t="s">
        <v>3678</v>
      </c>
      <c r="B19" s="2991" t="s">
        <v>3185</v>
      </c>
      <c r="C19" s="2991" t="s">
        <v>3615</v>
      </c>
      <c r="D19" s="2991" t="s">
        <v>1327</v>
      </c>
      <c r="E19" s="2991" t="s">
        <v>3678</v>
      </c>
      <c r="F19" s="2991" t="s">
        <v>3197</v>
      </c>
      <c r="G19" s="2991">
        <v>17101</v>
      </c>
      <c r="H19" s="2991" t="s">
        <v>3679</v>
      </c>
      <c r="I19" s="2991">
        <v>9241</v>
      </c>
      <c r="J19" s="2991">
        <v>41585</v>
      </c>
      <c r="K19" s="2991" t="s">
        <v>3244</v>
      </c>
      <c r="L19" s="2991" t="s">
        <v>3680</v>
      </c>
      <c r="M19" s="2991" t="s">
        <v>3681</v>
      </c>
      <c r="N19" s="2991" t="s">
        <v>3464</v>
      </c>
      <c r="O19" s="2991">
        <v>18800</v>
      </c>
      <c r="P19" s="2991">
        <v>1356.27</v>
      </c>
      <c r="Q19" s="2991">
        <v>4520.8500000000004</v>
      </c>
      <c r="R19" s="2991">
        <v>13.02</v>
      </c>
      <c r="S19" s="2991" t="s">
        <v>3216</v>
      </c>
      <c r="T19" s="2991" t="s">
        <v>3194</v>
      </c>
    </row>
    <row r="20" spans="1:20">
      <c r="A20" s="2987" t="s">
        <v>3682</v>
      </c>
      <c r="B20" s="2987" t="s">
        <v>3185</v>
      </c>
      <c r="C20" s="2987" t="s">
        <v>3615</v>
      </c>
      <c r="D20" s="2987" t="s">
        <v>1327</v>
      </c>
      <c r="E20" s="2987" t="s">
        <v>3682</v>
      </c>
      <c r="F20" s="2987" t="s">
        <v>3187</v>
      </c>
      <c r="G20" s="2987">
        <v>17102</v>
      </c>
      <c r="H20" s="2987" t="s">
        <v>3633</v>
      </c>
      <c r="I20" s="2987">
        <v>27193</v>
      </c>
      <c r="J20" s="2987">
        <v>108772</v>
      </c>
      <c r="K20" s="2987" t="s">
        <v>3683</v>
      </c>
      <c r="L20" s="2987" t="s">
        <v>3680</v>
      </c>
      <c r="M20" s="2987" t="s">
        <v>3681</v>
      </c>
      <c r="N20" s="2987" t="s">
        <v>3684</v>
      </c>
      <c r="O20" s="2987">
        <v>16420</v>
      </c>
      <c r="P20" s="2987">
        <v>402.55</v>
      </c>
      <c r="Q20" s="2987">
        <v>1509.57</v>
      </c>
      <c r="R20" s="2987">
        <v>0</v>
      </c>
      <c r="S20" s="2987" t="s">
        <v>3216</v>
      </c>
      <c r="T20" s="2987" t="s">
        <v>3194</v>
      </c>
    </row>
    <row r="21" spans="1:20">
      <c r="A21" s="2987" t="s">
        <v>3685</v>
      </c>
      <c r="B21" s="2987" t="s">
        <v>3185</v>
      </c>
      <c r="C21" s="2987" t="s">
        <v>3615</v>
      </c>
      <c r="D21" s="2987" t="s">
        <v>1327</v>
      </c>
      <c r="E21" s="2987" t="s">
        <v>3685</v>
      </c>
      <c r="F21" s="2987" t="s">
        <v>3187</v>
      </c>
      <c r="G21" s="2987">
        <v>17084</v>
      </c>
      <c r="H21" s="2987" t="s">
        <v>3616</v>
      </c>
      <c r="I21" s="2987">
        <v>3137</v>
      </c>
      <c r="J21" s="2987">
        <v>3137</v>
      </c>
      <c r="K21" s="2987" t="s">
        <v>3686</v>
      </c>
      <c r="L21" s="2987" t="s">
        <v>3687</v>
      </c>
      <c r="M21" s="2987" t="s">
        <v>3688</v>
      </c>
      <c r="N21" s="2987" t="s">
        <v>3689</v>
      </c>
      <c r="O21" s="2987">
        <v>3068</v>
      </c>
      <c r="P21" s="2987">
        <v>652</v>
      </c>
      <c r="Q21" s="2987">
        <v>9780.0400000000009</v>
      </c>
      <c r="R21" s="2987">
        <v>0</v>
      </c>
      <c r="S21" s="2987" t="s">
        <v>3216</v>
      </c>
      <c r="T21" s="2987" t="s">
        <v>3194</v>
      </c>
    </row>
    <row r="22" spans="1:20">
      <c r="A22" s="2987" t="s">
        <v>3690</v>
      </c>
      <c r="B22" s="2987" t="s">
        <v>3185</v>
      </c>
      <c r="C22" s="2987" t="s">
        <v>3615</v>
      </c>
      <c r="D22" s="2987" t="s">
        <v>1327</v>
      </c>
      <c r="E22" s="2987" t="s">
        <v>3690</v>
      </c>
      <c r="F22" s="2987" t="s">
        <v>3187</v>
      </c>
      <c r="G22" s="2987">
        <v>17057</v>
      </c>
      <c r="H22" s="2987" t="s">
        <v>3691</v>
      </c>
      <c r="I22" s="2987">
        <v>164676</v>
      </c>
      <c r="J22" s="2987">
        <v>241000</v>
      </c>
      <c r="K22" s="2987" t="s">
        <v>3692</v>
      </c>
      <c r="L22" s="2987" t="s">
        <v>3693</v>
      </c>
      <c r="M22" s="2987" t="s">
        <v>3694</v>
      </c>
      <c r="N22" s="2987" t="s">
        <v>3407</v>
      </c>
      <c r="O22" s="2987">
        <v>82959</v>
      </c>
      <c r="P22" s="2987">
        <v>335.85</v>
      </c>
      <c r="Q22" s="2987">
        <v>3442.28</v>
      </c>
      <c r="R22" s="2987">
        <v>0</v>
      </c>
      <c r="S22" s="2987" t="s">
        <v>3216</v>
      </c>
      <c r="T22" s="2987" t="s">
        <v>3259</v>
      </c>
    </row>
    <row r="23" spans="1:20">
      <c r="A23" s="2987" t="s">
        <v>3695</v>
      </c>
      <c r="B23" s="2987" t="s">
        <v>3185</v>
      </c>
      <c r="C23" s="2987" t="s">
        <v>3615</v>
      </c>
      <c r="D23" s="2987" t="s">
        <v>1327</v>
      </c>
      <c r="E23" s="2987" t="s">
        <v>3695</v>
      </c>
      <c r="F23" s="2987" t="s">
        <v>3187</v>
      </c>
      <c r="G23" s="2987">
        <v>17046</v>
      </c>
      <c r="H23" s="2987" t="s">
        <v>3696</v>
      </c>
      <c r="I23" s="2987">
        <v>11404</v>
      </c>
      <c r="J23" s="2987">
        <v>17255.07</v>
      </c>
      <c r="K23" s="2987" t="s">
        <v>3240</v>
      </c>
      <c r="L23" s="2987" t="s">
        <v>3697</v>
      </c>
      <c r="M23" s="2987" t="s">
        <v>3698</v>
      </c>
      <c r="N23" s="2987" t="s">
        <v>3699</v>
      </c>
      <c r="O23" s="2987">
        <v>11893</v>
      </c>
      <c r="P23" s="2987">
        <v>695.25</v>
      </c>
      <c r="Q23" s="2987">
        <v>6892.47</v>
      </c>
      <c r="R23" s="2987">
        <v>0</v>
      </c>
      <c r="S23" s="2987">
        <v>40</v>
      </c>
      <c r="T23" s="2987" t="s">
        <v>3203</v>
      </c>
    </row>
    <row r="24" spans="1:20">
      <c r="A24" s="2987" t="s">
        <v>3700</v>
      </c>
      <c r="B24" s="2987" t="s">
        <v>3185</v>
      </c>
      <c r="C24" s="2987" t="s">
        <v>3615</v>
      </c>
      <c r="D24" s="2987" t="s">
        <v>1327</v>
      </c>
      <c r="E24" s="2987" t="s">
        <v>3700</v>
      </c>
      <c r="F24" s="2987" t="s">
        <v>3187</v>
      </c>
      <c r="G24" s="2987">
        <v>17027</v>
      </c>
      <c r="H24" s="2987" t="s">
        <v>3701</v>
      </c>
      <c r="I24" s="2987">
        <v>137630</v>
      </c>
      <c r="J24" s="2987">
        <v>247734</v>
      </c>
      <c r="K24" s="2987" t="s">
        <v>3541</v>
      </c>
      <c r="L24" s="2987" t="s">
        <v>3542</v>
      </c>
      <c r="M24" s="2987" t="s">
        <v>3702</v>
      </c>
      <c r="N24" s="2987" t="s">
        <v>3703</v>
      </c>
      <c r="O24" s="2987">
        <v>18236</v>
      </c>
      <c r="P24" s="2987">
        <v>88.33</v>
      </c>
      <c r="Q24" s="2987">
        <v>736.11</v>
      </c>
      <c r="R24" s="2987">
        <v>0</v>
      </c>
      <c r="S24" s="2987" t="s">
        <v>3216</v>
      </c>
      <c r="T24" s="2987" t="s">
        <v>3203</v>
      </c>
    </row>
    <row r="25" spans="1:20">
      <c r="A25" s="2987" t="s">
        <v>3704</v>
      </c>
      <c r="B25" s="2987" t="s">
        <v>3185</v>
      </c>
      <c r="C25" s="2987" t="s">
        <v>3615</v>
      </c>
      <c r="D25" s="2987" t="s">
        <v>1327</v>
      </c>
      <c r="E25" s="2987" t="s">
        <v>3704</v>
      </c>
      <c r="F25" s="2987" t="s">
        <v>3187</v>
      </c>
      <c r="G25" s="2987">
        <v>17026</v>
      </c>
      <c r="H25" s="2987" t="s">
        <v>3701</v>
      </c>
      <c r="I25" s="2987">
        <v>103271</v>
      </c>
      <c r="J25" s="2987">
        <v>185887.8</v>
      </c>
      <c r="K25" s="2987" t="s">
        <v>3541</v>
      </c>
      <c r="L25" s="2987" t="s">
        <v>3542</v>
      </c>
      <c r="M25" s="2987" t="s">
        <v>3705</v>
      </c>
      <c r="N25" s="2987" t="s">
        <v>3703</v>
      </c>
      <c r="O25" s="2987">
        <v>27060</v>
      </c>
      <c r="P25" s="2987">
        <v>174.69</v>
      </c>
      <c r="Q25" s="2987">
        <v>1455.72</v>
      </c>
      <c r="R25" s="2987">
        <v>0</v>
      </c>
      <c r="S25" s="2987" t="s">
        <v>3216</v>
      </c>
      <c r="T25" s="2987" t="s">
        <v>3203</v>
      </c>
    </row>
    <row r="26" spans="1:20">
      <c r="A26" s="2987" t="s">
        <v>3706</v>
      </c>
      <c r="B26" s="2987" t="s">
        <v>3185</v>
      </c>
      <c r="C26" s="2987" t="s">
        <v>3615</v>
      </c>
      <c r="D26" s="2987" t="s">
        <v>1327</v>
      </c>
      <c r="E26" s="2987" t="s">
        <v>3706</v>
      </c>
      <c r="F26" s="2987" t="s">
        <v>3187</v>
      </c>
      <c r="G26" s="2987">
        <v>17016</v>
      </c>
      <c r="H26" s="2987" t="s">
        <v>3701</v>
      </c>
      <c r="I26" s="2987">
        <v>58099</v>
      </c>
      <c r="J26" s="2987">
        <v>116198</v>
      </c>
      <c r="K26" s="2987" t="s">
        <v>3707</v>
      </c>
      <c r="L26" s="2987" t="s">
        <v>3708</v>
      </c>
      <c r="M26" s="2987" t="s">
        <v>3709</v>
      </c>
      <c r="N26" s="2987" t="s">
        <v>3710</v>
      </c>
      <c r="O26" s="2987">
        <v>19464</v>
      </c>
      <c r="P26" s="2987">
        <v>223.34</v>
      </c>
      <c r="Q26" s="2987">
        <v>1675.06</v>
      </c>
      <c r="R26" s="2987">
        <v>0</v>
      </c>
      <c r="S26" s="2987" t="s">
        <v>3216</v>
      </c>
      <c r="T26" s="2987" t="s">
        <v>3619</v>
      </c>
    </row>
    <row r="27" spans="1:20">
      <c r="A27" s="2987" t="s">
        <v>3711</v>
      </c>
      <c r="B27" s="2987" t="s">
        <v>3185</v>
      </c>
      <c r="C27" s="2987" t="s">
        <v>3615</v>
      </c>
      <c r="D27" s="2987" t="s">
        <v>1327</v>
      </c>
      <c r="E27" s="2987" t="s">
        <v>3711</v>
      </c>
      <c r="F27" s="2987" t="s">
        <v>3197</v>
      </c>
      <c r="G27" s="2987">
        <v>16098</v>
      </c>
      <c r="H27" s="2987" t="s">
        <v>3633</v>
      </c>
      <c r="I27" s="2987">
        <v>8035</v>
      </c>
      <c r="J27" s="2987">
        <v>16070</v>
      </c>
      <c r="K27" s="2987" t="s">
        <v>3712</v>
      </c>
      <c r="L27" s="2987" t="s">
        <v>3602</v>
      </c>
      <c r="M27" s="2987" t="s">
        <v>3713</v>
      </c>
      <c r="N27" s="2987" t="s">
        <v>3714</v>
      </c>
      <c r="O27" s="2987">
        <v>4764</v>
      </c>
      <c r="P27" s="2987">
        <v>395.27</v>
      </c>
      <c r="Q27" s="2987">
        <v>2964.53</v>
      </c>
      <c r="R27" s="2987">
        <v>0</v>
      </c>
      <c r="S27" s="2987" t="s">
        <v>3216</v>
      </c>
      <c r="T27" s="2987" t="s">
        <v>3194</v>
      </c>
    </row>
    <row r="28" spans="1:20" s="2990" customFormat="1"/>
    <row r="29" spans="1:20" s="2990" customFormat="1"/>
    <row r="30" spans="1:20">
      <c r="A30" s="2988" t="s">
        <v>3715</v>
      </c>
      <c r="B30" s="2988" t="s">
        <v>3185</v>
      </c>
      <c r="C30" s="2988" t="s">
        <v>3615</v>
      </c>
      <c r="D30" s="2988" t="s">
        <v>1327</v>
      </c>
      <c r="E30" s="2988" t="s">
        <v>3715</v>
      </c>
      <c r="F30" s="2988" t="s">
        <v>3187</v>
      </c>
      <c r="G30" s="2988">
        <v>19079</v>
      </c>
      <c r="H30" s="2988" t="s">
        <v>3716</v>
      </c>
      <c r="I30" s="2988">
        <v>5009</v>
      </c>
      <c r="J30" s="2988">
        <v>12522.5</v>
      </c>
      <c r="K30" s="2988" t="s">
        <v>3199</v>
      </c>
      <c r="L30" s="2988" t="s">
        <v>3312</v>
      </c>
      <c r="M30" s="2988" t="s">
        <v>3717</v>
      </c>
      <c r="N30" s="2988" t="s">
        <v>3718</v>
      </c>
      <c r="O30" s="2988">
        <v>5310</v>
      </c>
      <c r="P30" s="2988">
        <v>706.73</v>
      </c>
      <c r="Q30" s="2988">
        <v>4240.3599999999997</v>
      </c>
      <c r="R30" s="2988">
        <v>0</v>
      </c>
      <c r="S30" s="2988" t="s">
        <v>3216</v>
      </c>
      <c r="T30" s="2988" t="s">
        <v>3259</v>
      </c>
    </row>
    <row r="31" spans="1:20">
      <c r="A31" s="2988" t="s">
        <v>3719</v>
      </c>
      <c r="B31" s="2988" t="s">
        <v>3185</v>
      </c>
      <c r="C31" s="2988" t="s">
        <v>3615</v>
      </c>
      <c r="D31" s="2988" t="s">
        <v>1327</v>
      </c>
      <c r="E31" s="2988" t="s">
        <v>3719</v>
      </c>
      <c r="F31" s="2988" t="s">
        <v>3187</v>
      </c>
      <c r="G31" s="2988">
        <v>19061</v>
      </c>
      <c r="H31" s="2988" t="s">
        <v>3696</v>
      </c>
      <c r="I31" s="2988">
        <v>14548</v>
      </c>
      <c r="J31" s="2988">
        <v>32006</v>
      </c>
      <c r="K31" s="2988" t="s">
        <v>3280</v>
      </c>
      <c r="L31" s="2988" t="s">
        <v>3316</v>
      </c>
      <c r="M31" s="2988" t="s">
        <v>3720</v>
      </c>
      <c r="N31" s="2988" t="s">
        <v>3721</v>
      </c>
      <c r="O31" s="2988">
        <v>13123</v>
      </c>
      <c r="P31" s="2988">
        <v>601.37</v>
      </c>
      <c r="Q31" s="2988">
        <v>4100.17</v>
      </c>
      <c r="R31" s="2988">
        <v>0</v>
      </c>
      <c r="S31" s="2988" t="s">
        <v>3216</v>
      </c>
      <c r="T31" s="2988" t="s">
        <v>3259</v>
      </c>
    </row>
    <row r="32" spans="1:20">
      <c r="A32" s="2988" t="s">
        <v>3722</v>
      </c>
      <c r="B32" s="2988" t="s">
        <v>3185</v>
      </c>
      <c r="C32" s="2988" t="s">
        <v>3615</v>
      </c>
      <c r="D32" s="2988" t="s">
        <v>1327</v>
      </c>
      <c r="E32" s="2988" t="s">
        <v>3722</v>
      </c>
      <c r="F32" s="2988" t="s">
        <v>3187</v>
      </c>
      <c r="G32" s="2988">
        <v>19024</v>
      </c>
      <c r="H32" s="2988" t="s">
        <v>3645</v>
      </c>
      <c r="I32" s="2988">
        <v>52801</v>
      </c>
      <c r="J32" s="2988">
        <v>79202</v>
      </c>
      <c r="K32" s="2988" t="s">
        <v>3240</v>
      </c>
      <c r="L32" s="2988" t="s">
        <v>3723</v>
      </c>
      <c r="M32" s="2988" t="s">
        <v>3724</v>
      </c>
      <c r="N32" s="2988" t="s">
        <v>3725</v>
      </c>
      <c r="O32" s="2988">
        <v>8132</v>
      </c>
      <c r="P32" s="2988">
        <v>102.67</v>
      </c>
      <c r="Q32" s="2988">
        <v>1026.74</v>
      </c>
      <c r="R32" s="2988">
        <v>0</v>
      </c>
      <c r="S32" s="2988" t="s">
        <v>3216</v>
      </c>
      <c r="T32" s="2988" t="s">
        <v>3203</v>
      </c>
    </row>
    <row r="33" spans="1:20">
      <c r="A33" s="2988" t="s">
        <v>3726</v>
      </c>
      <c r="B33" s="2988" t="s">
        <v>3185</v>
      </c>
      <c r="C33" s="2988" t="s">
        <v>3615</v>
      </c>
      <c r="D33" s="2988" t="s">
        <v>1327</v>
      </c>
      <c r="E33" s="2988" t="s">
        <v>3726</v>
      </c>
      <c r="F33" s="2988" t="s">
        <v>3187</v>
      </c>
      <c r="G33" s="2988">
        <v>19009</v>
      </c>
      <c r="H33" s="2988" t="s">
        <v>3727</v>
      </c>
      <c r="I33" s="2988">
        <v>10455</v>
      </c>
      <c r="J33" s="2988">
        <v>24523</v>
      </c>
      <c r="K33" s="2988" t="s">
        <v>3728</v>
      </c>
      <c r="L33" s="2988" t="s">
        <v>3668</v>
      </c>
      <c r="M33" s="2988" t="s">
        <v>3729</v>
      </c>
      <c r="N33" s="2988" t="s">
        <v>3721</v>
      </c>
      <c r="O33" s="2988">
        <v>25471</v>
      </c>
      <c r="P33" s="2988">
        <v>1624.17</v>
      </c>
      <c r="Q33" s="2988">
        <v>10386.57</v>
      </c>
      <c r="R33" s="2988">
        <v>0</v>
      </c>
      <c r="S33" s="2988" t="s">
        <v>3216</v>
      </c>
      <c r="T33" s="2988" t="s">
        <v>3259</v>
      </c>
    </row>
    <row r="34" spans="1:20">
      <c r="A34" s="2988" t="s">
        <v>3730</v>
      </c>
      <c r="B34" s="2988" t="s">
        <v>3185</v>
      </c>
      <c r="C34" s="2988" t="s">
        <v>3615</v>
      </c>
      <c r="D34" s="2988" t="s">
        <v>1327</v>
      </c>
      <c r="E34" s="2988" t="s">
        <v>3730</v>
      </c>
      <c r="F34" s="2988" t="s">
        <v>3187</v>
      </c>
      <c r="G34" s="2988">
        <v>18096</v>
      </c>
      <c r="H34" s="2988" t="s">
        <v>3616</v>
      </c>
      <c r="I34" s="2988">
        <v>2839.6</v>
      </c>
      <c r="J34" s="2988">
        <v>4259.3999999999996</v>
      </c>
      <c r="K34" s="2988">
        <v>1.5</v>
      </c>
      <c r="L34" s="2988" t="s">
        <v>3731</v>
      </c>
      <c r="M34" s="2988" t="s">
        <v>3732</v>
      </c>
      <c r="N34" s="2988" t="s">
        <v>3733</v>
      </c>
      <c r="O34" s="2988">
        <v>1661</v>
      </c>
      <c r="P34" s="2988">
        <v>389.96</v>
      </c>
      <c r="Q34" s="2988">
        <v>3899.61</v>
      </c>
      <c r="R34" s="2988">
        <v>0</v>
      </c>
      <c r="S34" s="2988" t="s">
        <v>3216</v>
      </c>
      <c r="T34" s="2988" t="s">
        <v>3259</v>
      </c>
    </row>
    <row r="35" spans="1:20">
      <c r="A35" s="2988" t="s">
        <v>3734</v>
      </c>
      <c r="B35" s="2988" t="s">
        <v>3185</v>
      </c>
      <c r="C35" s="2988" t="s">
        <v>3615</v>
      </c>
      <c r="D35" s="2988" t="s">
        <v>1327</v>
      </c>
      <c r="E35" s="2988" t="s">
        <v>3734</v>
      </c>
      <c r="F35" s="2988" t="s">
        <v>3187</v>
      </c>
      <c r="G35" s="2988">
        <v>18089</v>
      </c>
      <c r="H35" s="2988" t="s">
        <v>3616</v>
      </c>
      <c r="I35" s="2988">
        <v>3767</v>
      </c>
      <c r="J35" s="2988">
        <v>5650.5</v>
      </c>
      <c r="K35" s="2988">
        <v>1.5</v>
      </c>
      <c r="L35" s="2988" t="s">
        <v>3735</v>
      </c>
      <c r="M35" s="2988" t="s">
        <v>3736</v>
      </c>
      <c r="N35" s="2988" t="s">
        <v>3737</v>
      </c>
      <c r="O35" s="2988">
        <v>1880</v>
      </c>
      <c r="P35" s="2988">
        <v>332.71</v>
      </c>
      <c r="Q35" s="2988">
        <v>3327.13</v>
      </c>
      <c r="R35" s="2988">
        <v>0</v>
      </c>
      <c r="S35" s="2988" t="s">
        <v>3216</v>
      </c>
      <c r="T35" s="2988" t="s">
        <v>3300</v>
      </c>
    </row>
    <row r="36" spans="1:20">
      <c r="A36" s="2988" t="s">
        <v>3738</v>
      </c>
      <c r="B36" s="2988" t="s">
        <v>3185</v>
      </c>
      <c r="C36" s="2988" t="s">
        <v>3615</v>
      </c>
      <c r="D36" s="2988" t="s">
        <v>1327</v>
      </c>
      <c r="E36" s="2988" t="s">
        <v>3738</v>
      </c>
      <c r="F36" s="2988" t="s">
        <v>3197</v>
      </c>
      <c r="G36" s="2988">
        <v>18084</v>
      </c>
      <c r="H36" s="2988" t="s">
        <v>3739</v>
      </c>
      <c r="I36" s="2988">
        <v>10065</v>
      </c>
      <c r="J36" s="2988">
        <v>40260</v>
      </c>
      <c r="K36" s="2988" t="s">
        <v>3683</v>
      </c>
      <c r="L36" s="2988" t="s">
        <v>3740</v>
      </c>
      <c r="M36" s="2988" t="s">
        <v>3741</v>
      </c>
      <c r="N36" s="2988" t="s">
        <v>3742</v>
      </c>
      <c r="O36" s="2988">
        <v>16700</v>
      </c>
      <c r="P36" s="2988">
        <v>1106.1400000000001</v>
      </c>
      <c r="Q36" s="2988">
        <v>4148.03</v>
      </c>
      <c r="R36" s="2988">
        <v>9.44</v>
      </c>
      <c r="S36" s="2988" t="s">
        <v>3658</v>
      </c>
      <c r="T36" s="2988" t="s">
        <v>3259</v>
      </c>
    </row>
    <row r="37" spans="1:20">
      <c r="A37" s="2988" t="s">
        <v>3743</v>
      </c>
      <c r="B37" s="2988" t="s">
        <v>3185</v>
      </c>
      <c r="C37" s="2988" t="s">
        <v>3615</v>
      </c>
      <c r="D37" s="2988" t="s">
        <v>1327</v>
      </c>
      <c r="E37" s="2988" t="s">
        <v>3743</v>
      </c>
      <c r="F37" s="2988" t="s">
        <v>3187</v>
      </c>
      <c r="G37" s="2988">
        <v>18060</v>
      </c>
      <c r="H37" s="2988" t="s">
        <v>3696</v>
      </c>
      <c r="I37" s="2988">
        <v>22884</v>
      </c>
      <c r="J37" s="2988">
        <v>45768</v>
      </c>
      <c r="K37" s="2988" t="s">
        <v>3255</v>
      </c>
      <c r="L37" s="2988" t="s">
        <v>3744</v>
      </c>
      <c r="M37" s="2988" t="s">
        <v>3745</v>
      </c>
      <c r="N37" s="2988" t="s">
        <v>3746</v>
      </c>
      <c r="O37" s="2988">
        <v>7369</v>
      </c>
      <c r="P37" s="2988">
        <v>214.68</v>
      </c>
      <c r="Q37" s="2988">
        <v>1610.07</v>
      </c>
      <c r="R37" s="2988">
        <v>0</v>
      </c>
      <c r="S37" s="2988" t="s">
        <v>3216</v>
      </c>
      <c r="T37" s="2988" t="s">
        <v>3259</v>
      </c>
    </row>
    <row r="38" spans="1:20">
      <c r="A38" s="2988" t="s">
        <v>3747</v>
      </c>
      <c r="B38" s="2988" t="s">
        <v>3185</v>
      </c>
      <c r="C38" s="2988" t="s">
        <v>3615</v>
      </c>
      <c r="D38" s="2988" t="s">
        <v>1327</v>
      </c>
      <c r="E38" s="2988" t="s">
        <v>3747</v>
      </c>
      <c r="F38" s="2988" t="s">
        <v>3187</v>
      </c>
      <c r="G38" s="2988">
        <v>18003</v>
      </c>
      <c r="H38" s="2988" t="s">
        <v>3616</v>
      </c>
      <c r="I38" s="2988">
        <v>2575</v>
      </c>
      <c r="J38" s="2988">
        <v>3862.5</v>
      </c>
      <c r="K38" s="2988" t="s">
        <v>3240</v>
      </c>
      <c r="L38" s="2988" t="s">
        <v>3748</v>
      </c>
      <c r="M38" s="2988" t="s">
        <v>3749</v>
      </c>
      <c r="N38" s="2988" t="s">
        <v>3750</v>
      </c>
      <c r="O38" s="2988">
        <v>1418</v>
      </c>
      <c r="P38" s="2988">
        <v>367.12</v>
      </c>
      <c r="Q38" s="2988">
        <v>3671.19</v>
      </c>
      <c r="R38" s="2988">
        <v>0</v>
      </c>
      <c r="S38" s="2988" t="s">
        <v>3216</v>
      </c>
      <c r="T38" s="2988" t="s">
        <v>3259</v>
      </c>
    </row>
    <row r="39" spans="1:20" s="2992" customFormat="1">
      <c r="A39" s="2991" t="s">
        <v>3751</v>
      </c>
      <c r="B39" s="2991" t="s">
        <v>3185</v>
      </c>
      <c r="C39" s="2991" t="s">
        <v>3615</v>
      </c>
      <c r="D39" s="2991" t="s">
        <v>1327</v>
      </c>
      <c r="E39" s="2991" t="s">
        <v>3752</v>
      </c>
      <c r="F39" s="2991" t="s">
        <v>3187</v>
      </c>
      <c r="G39" s="2991">
        <v>17147</v>
      </c>
      <c r="H39" s="2991" t="s">
        <v>3633</v>
      </c>
      <c r="I39" s="2991">
        <v>7174</v>
      </c>
      <c r="J39" s="2991">
        <v>43044</v>
      </c>
      <c r="K39" s="2991" t="s">
        <v>3753</v>
      </c>
      <c r="L39" s="2991" t="s">
        <v>3439</v>
      </c>
      <c r="M39" s="2991" t="s">
        <v>3754</v>
      </c>
      <c r="N39" s="2991" t="s">
        <v>3755</v>
      </c>
      <c r="O39" s="2991">
        <v>19126</v>
      </c>
      <c r="P39" s="2991">
        <v>1777.34</v>
      </c>
      <c r="Q39" s="2991">
        <v>4443.3500000000004</v>
      </c>
      <c r="R39" s="2991">
        <v>0</v>
      </c>
      <c r="S39" s="2991" t="s">
        <v>3216</v>
      </c>
      <c r="T39" s="2991" t="s">
        <v>3194</v>
      </c>
    </row>
    <row r="40" spans="1:20">
      <c r="A40" s="2988" t="s">
        <v>3756</v>
      </c>
      <c r="B40" s="2988" t="s">
        <v>3185</v>
      </c>
      <c r="C40" s="2988" t="s">
        <v>3615</v>
      </c>
      <c r="D40" s="2988" t="s">
        <v>1327</v>
      </c>
      <c r="E40" s="2988" t="s">
        <v>3756</v>
      </c>
      <c r="F40" s="2988" t="s">
        <v>3187</v>
      </c>
      <c r="G40" s="2988">
        <v>16140</v>
      </c>
      <c r="H40" s="2988" t="s">
        <v>3757</v>
      </c>
      <c r="I40" s="2988">
        <v>20115</v>
      </c>
      <c r="J40" s="2988">
        <v>62567</v>
      </c>
      <c r="K40" s="2988" t="s">
        <v>3758</v>
      </c>
      <c r="L40" s="2988" t="s">
        <v>3229</v>
      </c>
      <c r="M40" s="2988" t="s">
        <v>3759</v>
      </c>
      <c r="N40" s="2988" t="s">
        <v>3760</v>
      </c>
      <c r="O40" s="2988">
        <v>14072</v>
      </c>
      <c r="P40" s="2988">
        <v>466.38</v>
      </c>
      <c r="Q40" s="2988">
        <v>2249.11</v>
      </c>
      <c r="R40" s="2988">
        <v>0</v>
      </c>
      <c r="S40" s="2988" t="s">
        <v>3216</v>
      </c>
      <c r="T40" s="2988" t="s">
        <v>3194</v>
      </c>
    </row>
    <row r="41" spans="1:20" s="2990" customFormat="1"/>
    <row r="42" spans="1:20" s="2990" customFormat="1"/>
    <row r="43" spans="1:20">
      <c r="A43" s="2989" t="s">
        <v>3761</v>
      </c>
      <c r="B43" s="2989" t="s">
        <v>3185</v>
      </c>
      <c r="C43" s="2989" t="s">
        <v>3615</v>
      </c>
      <c r="D43" s="2989" t="s">
        <v>1327</v>
      </c>
      <c r="E43" s="2989" t="s">
        <v>3761</v>
      </c>
      <c r="F43" s="2989" t="s">
        <v>3187</v>
      </c>
      <c r="G43" s="2989">
        <v>19087</v>
      </c>
      <c r="H43" s="2989" t="s">
        <v>3633</v>
      </c>
      <c r="I43" s="2989">
        <v>26228</v>
      </c>
      <c r="J43" s="2989">
        <v>31474</v>
      </c>
      <c r="K43" s="2989" t="s">
        <v>3302</v>
      </c>
      <c r="L43" s="2989" t="s">
        <v>3304</v>
      </c>
      <c r="M43" s="2989" t="s">
        <v>3762</v>
      </c>
      <c r="N43" s="2989" t="s">
        <v>3763</v>
      </c>
      <c r="O43" s="2989">
        <v>6085</v>
      </c>
      <c r="P43" s="2989">
        <v>154.66999999999999</v>
      </c>
      <c r="Q43" s="2989">
        <v>1933.33</v>
      </c>
      <c r="R43" s="2989">
        <v>0</v>
      </c>
      <c r="S43" s="2989" t="s">
        <v>3216</v>
      </c>
      <c r="T43" s="2989" t="s">
        <v>3203</v>
      </c>
    </row>
    <row r="44" spans="1:20">
      <c r="A44" s="2989" t="s">
        <v>3764</v>
      </c>
      <c r="B44" s="2989" t="s">
        <v>3185</v>
      </c>
      <c r="C44" s="2989" t="s">
        <v>3615</v>
      </c>
      <c r="D44" s="2989" t="s">
        <v>1327</v>
      </c>
      <c r="E44" s="2989" t="s">
        <v>3764</v>
      </c>
      <c r="F44" s="2989" t="s">
        <v>3187</v>
      </c>
      <c r="G44" s="2989">
        <v>19086</v>
      </c>
      <c r="H44" s="2989" t="s">
        <v>3633</v>
      </c>
      <c r="I44" s="2989">
        <v>13524</v>
      </c>
      <c r="J44" s="2989">
        <v>33810</v>
      </c>
      <c r="K44" s="2989" t="s">
        <v>3199</v>
      </c>
      <c r="L44" s="2989" t="s">
        <v>3304</v>
      </c>
      <c r="M44" s="2989" t="s">
        <v>3762</v>
      </c>
      <c r="N44" s="2989" t="s">
        <v>3763</v>
      </c>
      <c r="O44" s="2989">
        <v>5072</v>
      </c>
      <c r="P44" s="2989">
        <v>250.02</v>
      </c>
      <c r="Q44" s="2989">
        <v>1500.15</v>
      </c>
      <c r="R44" s="2989">
        <v>0</v>
      </c>
      <c r="S44" s="2989" t="s">
        <v>3216</v>
      </c>
      <c r="T44" s="2989" t="s">
        <v>3203</v>
      </c>
    </row>
    <row r="45" spans="1:20">
      <c r="A45" s="2989" t="s">
        <v>3765</v>
      </c>
      <c r="B45" s="2989" t="s">
        <v>3185</v>
      </c>
      <c r="C45" s="2989" t="s">
        <v>3615</v>
      </c>
      <c r="D45" s="2989" t="s">
        <v>1327</v>
      </c>
      <c r="E45" s="2989" t="s">
        <v>3765</v>
      </c>
      <c r="F45" s="2989" t="s">
        <v>3187</v>
      </c>
      <c r="G45" s="2989">
        <v>19057</v>
      </c>
      <c r="H45" s="2989" t="s">
        <v>3633</v>
      </c>
      <c r="I45" s="2989">
        <v>107592</v>
      </c>
      <c r="J45" s="2989">
        <v>204425</v>
      </c>
      <c r="K45" s="2989" t="s">
        <v>3275</v>
      </c>
      <c r="L45" s="2989" t="s">
        <v>3320</v>
      </c>
      <c r="M45" s="2989" t="s">
        <v>3766</v>
      </c>
      <c r="N45" s="2989" t="s">
        <v>3767</v>
      </c>
      <c r="O45" s="2989">
        <v>41746</v>
      </c>
      <c r="P45" s="2989">
        <v>258.67</v>
      </c>
      <c r="Q45" s="2989">
        <v>2042.11</v>
      </c>
      <c r="R45" s="2989">
        <v>0</v>
      </c>
      <c r="S45" s="2989" t="s">
        <v>3768</v>
      </c>
      <c r="T45" s="2989" t="s">
        <v>3203</v>
      </c>
    </row>
    <row r="46" spans="1:20">
      <c r="A46" s="2989" t="s">
        <v>3769</v>
      </c>
      <c r="B46" s="2989" t="s">
        <v>3185</v>
      </c>
      <c r="C46" s="2989" t="s">
        <v>3615</v>
      </c>
      <c r="D46" s="2989" t="s">
        <v>1327</v>
      </c>
      <c r="E46" s="2989" t="s">
        <v>3769</v>
      </c>
      <c r="F46" s="2989" t="s">
        <v>3187</v>
      </c>
      <c r="G46" s="2989">
        <v>18119</v>
      </c>
      <c r="H46" s="2989" t="s">
        <v>3633</v>
      </c>
      <c r="I46" s="2989">
        <v>9363</v>
      </c>
      <c r="J46" s="2989">
        <v>7490.4</v>
      </c>
      <c r="K46" s="2989" t="s">
        <v>3770</v>
      </c>
      <c r="L46" s="2989" t="s">
        <v>3673</v>
      </c>
      <c r="M46" s="2989" t="s">
        <v>3771</v>
      </c>
      <c r="N46" s="2989" t="s">
        <v>3772</v>
      </c>
      <c r="O46" s="2989">
        <v>4869</v>
      </c>
      <c r="P46" s="2989">
        <v>346.68</v>
      </c>
      <c r="Q46" s="2989">
        <v>6500.31</v>
      </c>
      <c r="R46" s="2989">
        <v>0</v>
      </c>
      <c r="S46" s="2989" t="s">
        <v>3658</v>
      </c>
      <c r="T46" s="2989" t="s">
        <v>3259</v>
      </c>
    </row>
    <row r="47" spans="1:20">
      <c r="A47" s="2989" t="s">
        <v>3773</v>
      </c>
      <c r="B47" s="2989" t="s">
        <v>3185</v>
      </c>
      <c r="C47" s="2989" t="s">
        <v>3615</v>
      </c>
      <c r="D47" s="2989" t="s">
        <v>1327</v>
      </c>
      <c r="E47" s="2989" t="s">
        <v>3773</v>
      </c>
      <c r="F47" s="2989" t="s">
        <v>3187</v>
      </c>
      <c r="G47" s="2989">
        <v>18024</v>
      </c>
      <c r="H47" s="2989" t="s">
        <v>3774</v>
      </c>
      <c r="I47" s="2989">
        <v>138372</v>
      </c>
      <c r="J47" s="2989">
        <v>138372</v>
      </c>
      <c r="K47" s="2989" t="s">
        <v>3775</v>
      </c>
      <c r="L47" s="2989" t="s">
        <v>3418</v>
      </c>
      <c r="M47" s="2989" t="s">
        <v>3776</v>
      </c>
      <c r="N47" s="2989" t="s">
        <v>3777</v>
      </c>
      <c r="O47" s="2989">
        <v>35977</v>
      </c>
      <c r="P47" s="2989">
        <v>173.33</v>
      </c>
      <c r="Q47" s="2989">
        <v>2600.0100000000002</v>
      </c>
      <c r="R47" s="2989">
        <v>0</v>
      </c>
      <c r="S47" s="2989" t="s">
        <v>3216</v>
      </c>
      <c r="T47" s="2989" t="s">
        <v>3203</v>
      </c>
    </row>
    <row r="48" spans="1:20">
      <c r="A48" s="2989" t="s">
        <v>3778</v>
      </c>
      <c r="B48" s="2989" t="s">
        <v>3185</v>
      </c>
      <c r="C48" s="2989" t="s">
        <v>3615</v>
      </c>
      <c r="D48" s="2989" t="s">
        <v>1327</v>
      </c>
      <c r="E48" s="2989" t="s">
        <v>3778</v>
      </c>
      <c r="F48" s="2989" t="s">
        <v>3187</v>
      </c>
      <c r="G48" s="2989">
        <v>17149</v>
      </c>
      <c r="H48" s="2989" t="s">
        <v>3779</v>
      </c>
      <c r="I48" s="2989">
        <v>276803</v>
      </c>
      <c r="J48" s="2989">
        <v>99649.08</v>
      </c>
      <c r="K48" s="2989" t="s">
        <v>3780</v>
      </c>
      <c r="L48" s="2989" t="s">
        <v>3781</v>
      </c>
      <c r="M48" s="2989" t="s">
        <v>3782</v>
      </c>
      <c r="N48" s="2989" t="s">
        <v>3783</v>
      </c>
      <c r="O48" s="2989">
        <v>37646</v>
      </c>
      <c r="P48" s="2989">
        <v>90.67</v>
      </c>
      <c r="Q48" s="2989">
        <v>3777.86</v>
      </c>
      <c r="R48" s="2989">
        <v>0</v>
      </c>
      <c r="S48" s="2989" t="s">
        <v>3216</v>
      </c>
      <c r="T48" s="2989" t="s">
        <v>3259</v>
      </c>
    </row>
    <row r="49" spans="1:20">
      <c r="A49" s="2989" t="s">
        <v>3784</v>
      </c>
      <c r="B49" s="2989" t="s">
        <v>3185</v>
      </c>
      <c r="C49" s="2989" t="s">
        <v>3615</v>
      </c>
      <c r="D49" s="2989" t="s">
        <v>1327</v>
      </c>
      <c r="E49" s="2989" t="s">
        <v>3784</v>
      </c>
      <c r="F49" s="2989" t="s">
        <v>3187</v>
      </c>
      <c r="G49" s="2989">
        <v>17100</v>
      </c>
      <c r="H49" s="2989" t="s">
        <v>3633</v>
      </c>
      <c r="I49" s="2989">
        <v>23863</v>
      </c>
      <c r="J49" s="2989">
        <v>26249</v>
      </c>
      <c r="K49" s="2989" t="s">
        <v>3432</v>
      </c>
      <c r="L49" s="2989" t="s">
        <v>3680</v>
      </c>
      <c r="M49" s="2989" t="s">
        <v>3785</v>
      </c>
      <c r="N49" s="2989" t="s">
        <v>3772</v>
      </c>
      <c r="O49" s="2989">
        <v>17089</v>
      </c>
      <c r="P49" s="2989">
        <v>477.42</v>
      </c>
      <c r="Q49" s="2989">
        <v>6510.34</v>
      </c>
      <c r="R49" s="2989">
        <v>0</v>
      </c>
      <c r="S49" s="2989" t="s">
        <v>3216</v>
      </c>
      <c r="T49" s="2989" t="s">
        <v>3194</v>
      </c>
    </row>
    <row r="50" spans="1:20">
      <c r="A50" s="2989" t="s">
        <v>3786</v>
      </c>
      <c r="B50" s="2989" t="s">
        <v>3185</v>
      </c>
      <c r="C50" s="2989" t="s">
        <v>3615</v>
      </c>
      <c r="D50" s="2989" t="s">
        <v>1327</v>
      </c>
      <c r="E50" s="2989" t="s">
        <v>3786</v>
      </c>
      <c r="F50" s="2989" t="s">
        <v>3187</v>
      </c>
      <c r="G50" s="2989">
        <v>17068</v>
      </c>
      <c r="H50" s="2989" t="s">
        <v>3633</v>
      </c>
      <c r="I50" s="2989">
        <v>81459</v>
      </c>
      <c r="J50" s="2989">
        <v>480000</v>
      </c>
      <c r="K50" s="2989" t="s">
        <v>3787</v>
      </c>
      <c r="L50" s="2989" t="s">
        <v>3788</v>
      </c>
      <c r="M50" s="2989" t="s">
        <v>3789</v>
      </c>
      <c r="N50" s="2989" t="s">
        <v>3585</v>
      </c>
      <c r="O50" s="2989">
        <v>341069</v>
      </c>
      <c r="P50" s="2989">
        <v>2791.33</v>
      </c>
      <c r="Q50" s="2989">
        <v>7105.6</v>
      </c>
      <c r="R50" s="2989">
        <v>0</v>
      </c>
      <c r="S50" s="2989" t="s">
        <v>3216</v>
      </c>
      <c r="T50" s="2989" t="s">
        <v>3194</v>
      </c>
    </row>
    <row r="51" spans="1:20">
      <c r="A51" s="2989" t="s">
        <v>3790</v>
      </c>
      <c r="B51" s="2989" t="s">
        <v>3185</v>
      </c>
      <c r="C51" s="2989" t="s">
        <v>3615</v>
      </c>
      <c r="D51" s="2989" t="s">
        <v>1327</v>
      </c>
      <c r="E51" s="2989" t="s">
        <v>3790</v>
      </c>
      <c r="F51" s="2989" t="s">
        <v>3187</v>
      </c>
      <c r="G51" s="2989">
        <v>17012</v>
      </c>
      <c r="H51" s="2989" t="s">
        <v>3633</v>
      </c>
      <c r="I51" s="2989">
        <v>49951</v>
      </c>
      <c r="J51" s="2989">
        <v>51616</v>
      </c>
      <c r="K51" s="2989" t="s">
        <v>3775</v>
      </c>
      <c r="L51" s="2989" t="s">
        <v>3791</v>
      </c>
      <c r="M51" s="2989" t="s">
        <v>3792</v>
      </c>
      <c r="N51" s="2989" t="s">
        <v>3497</v>
      </c>
      <c r="O51" s="2989">
        <v>30970</v>
      </c>
      <c r="P51" s="2989">
        <v>413.34</v>
      </c>
      <c r="Q51" s="2989">
        <v>6000.07</v>
      </c>
      <c r="R51" s="2989">
        <v>0</v>
      </c>
      <c r="S51" s="2989" t="s">
        <v>3216</v>
      </c>
      <c r="T51" s="2989" t="s">
        <v>3194</v>
      </c>
    </row>
    <row r="52" spans="1:20">
      <c r="A52" s="2989" t="s">
        <v>3793</v>
      </c>
      <c r="B52" s="2989" t="s">
        <v>3185</v>
      </c>
      <c r="C52" s="2989" t="s">
        <v>3615</v>
      </c>
      <c r="D52" s="2989" t="s">
        <v>1327</v>
      </c>
      <c r="E52" s="2989" t="s">
        <v>3793</v>
      </c>
      <c r="F52" s="2989" t="s">
        <v>3197</v>
      </c>
      <c r="G52" s="2989">
        <v>17008</v>
      </c>
      <c r="H52" s="2989" t="s">
        <v>3691</v>
      </c>
      <c r="I52" s="2989">
        <v>173147</v>
      </c>
      <c r="J52" s="2989">
        <v>62725</v>
      </c>
      <c r="K52" s="2989" t="s">
        <v>3780</v>
      </c>
      <c r="L52" s="2989" t="s">
        <v>3794</v>
      </c>
      <c r="M52" s="2989" t="s">
        <v>3795</v>
      </c>
      <c r="N52" s="2989" t="s">
        <v>3783</v>
      </c>
      <c r="O52" s="2989">
        <v>22336</v>
      </c>
      <c r="P52" s="2989">
        <v>86</v>
      </c>
      <c r="Q52" s="2989">
        <v>3560.94</v>
      </c>
      <c r="R52" s="2989">
        <v>0</v>
      </c>
      <c r="S52" s="2989" t="s">
        <v>3216</v>
      </c>
      <c r="T52" s="2989" t="s">
        <v>3259</v>
      </c>
    </row>
    <row r="53" spans="1:20">
      <c r="A53" s="2989" t="s">
        <v>3796</v>
      </c>
      <c r="B53" s="2989" t="s">
        <v>3185</v>
      </c>
      <c r="C53" s="2989" t="s">
        <v>3615</v>
      </c>
      <c r="D53" s="2989" t="s">
        <v>1327</v>
      </c>
      <c r="E53" s="2989" t="s">
        <v>3796</v>
      </c>
      <c r="F53" s="2989" t="s">
        <v>3197</v>
      </c>
      <c r="G53" s="2989">
        <v>16103</v>
      </c>
      <c r="H53" s="2989" t="s">
        <v>3633</v>
      </c>
      <c r="I53" s="2989">
        <v>36628</v>
      </c>
      <c r="J53" s="2989">
        <v>100000</v>
      </c>
      <c r="K53" s="2989" t="s">
        <v>3797</v>
      </c>
      <c r="L53" s="2989" t="s">
        <v>3592</v>
      </c>
      <c r="M53" s="2989" t="s">
        <v>3798</v>
      </c>
      <c r="N53" s="2989" t="s">
        <v>3783</v>
      </c>
      <c r="O53" s="2989">
        <v>20100</v>
      </c>
      <c r="P53" s="2989">
        <v>365.84</v>
      </c>
      <c r="Q53" s="2989">
        <v>2010</v>
      </c>
      <c r="R53" s="2989">
        <v>0</v>
      </c>
      <c r="S53" s="2989" t="s">
        <v>3216</v>
      </c>
      <c r="T53" s="2989" t="s">
        <v>3194</v>
      </c>
    </row>
    <row r="54" spans="1:20">
      <c r="A54" s="2989" t="s">
        <v>3799</v>
      </c>
      <c r="B54" s="2989" t="s">
        <v>3185</v>
      </c>
      <c r="C54" s="2989" t="s">
        <v>3615</v>
      </c>
      <c r="D54" s="2989" t="s">
        <v>1327</v>
      </c>
      <c r="E54" s="2989" t="s">
        <v>3799</v>
      </c>
      <c r="F54" s="2989" t="s">
        <v>3197</v>
      </c>
      <c r="G54" s="2989">
        <v>16090</v>
      </c>
      <c r="H54" s="2989" t="s">
        <v>3616</v>
      </c>
      <c r="I54" s="2989">
        <v>5508</v>
      </c>
      <c r="J54" s="2989" t="s">
        <v>1327</v>
      </c>
      <c r="K54" s="2989" t="s">
        <v>3800</v>
      </c>
      <c r="L54" s="2989" t="s">
        <v>3801</v>
      </c>
      <c r="M54" s="2989" t="s">
        <v>3802</v>
      </c>
      <c r="N54" s="2989" t="s">
        <v>3689</v>
      </c>
      <c r="O54" s="2989">
        <v>2358</v>
      </c>
      <c r="P54" s="2989">
        <v>285.39999999999998</v>
      </c>
      <c r="Q54" s="2989" t="s">
        <v>1327</v>
      </c>
      <c r="R54" s="2989">
        <v>0</v>
      </c>
      <c r="S54" s="2989" t="s">
        <v>3216</v>
      </c>
      <c r="T54" s="2989" t="s">
        <v>3300</v>
      </c>
    </row>
  </sheetData>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8" zoomScale="80" zoomScaleNormal="80" workbookViewId="0">
      <selection activeCell="I63" sqref="I6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3"/>
      <c r="E1" s="753"/>
      <c r="F1" s="752" t="s">
        <v>2524</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1389</v>
      </c>
      <c r="B2" s="670">
        <f>F66</f>
        <v>315767</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7"/>
    </row>
    <row r="3" spans="1:30" s="398" customFormat="1" ht="28.5" customHeight="1" thickBot="1">
      <c r="A3" s="247" t="s">
        <v>1390</v>
      </c>
      <c r="B3" s="609">
        <f>ROUND(IF(D3="",B2*10000/'数据-汇总表'!E3,B2*10000/D3),0)</f>
        <v>8350</v>
      </c>
      <c r="C3" s="247" t="s">
        <v>2738</v>
      </c>
      <c r="D3" s="1578"/>
      <c r="E3" s="1121"/>
      <c r="F3" s="1122"/>
      <c r="G3" s="1121"/>
      <c r="H3" s="1121"/>
      <c r="I3" s="3031" t="s">
        <v>4082</v>
      </c>
      <c r="J3" s="1121"/>
      <c r="K3" s="1123"/>
      <c r="L3" s="1124"/>
      <c r="M3" s="1125"/>
      <c r="N3" s="1125"/>
      <c r="O3" s="1125"/>
      <c r="P3" s="766"/>
      <c r="Q3" s="766"/>
      <c r="R3" s="766"/>
      <c r="S3" s="766"/>
      <c r="T3" s="766"/>
      <c r="U3" s="766"/>
      <c r="V3" s="766"/>
      <c r="W3" s="766"/>
      <c r="X3" s="766"/>
      <c r="Y3" s="766"/>
      <c r="Z3" s="766"/>
      <c r="AA3" s="766"/>
      <c r="AB3" s="784"/>
      <c r="AC3" s="780"/>
    </row>
    <row r="4" spans="1:30" ht="15">
      <c r="A4" s="401" t="s">
        <v>2527</v>
      </c>
      <c r="B4" s="402"/>
      <c r="C4" s="3292" t="s">
        <v>2528</v>
      </c>
      <c r="D4" s="3293"/>
      <c r="E4" s="3294" t="s">
        <v>2529</v>
      </c>
      <c r="F4" s="3295"/>
      <c r="G4" s="3292" t="s">
        <v>2530</v>
      </c>
      <c r="H4" s="3293"/>
      <c r="I4" s="3292" t="s">
        <v>2531</v>
      </c>
      <c r="J4" s="3293"/>
      <c r="K4" s="610" t="s">
        <v>2532</v>
      </c>
      <c r="L4" s="1126"/>
      <c r="M4" s="1127"/>
      <c r="N4" s="1127"/>
      <c r="O4" s="1127"/>
      <c r="P4" s="3296" t="s">
        <v>2533</v>
      </c>
      <c r="Q4" s="3297"/>
      <c r="R4" s="3279" t="s">
        <v>2529</v>
      </c>
      <c r="S4" s="3280"/>
      <c r="T4" s="3279" t="s">
        <v>2530</v>
      </c>
      <c r="U4" s="3280"/>
      <c r="V4" s="3304" t="s">
        <v>2531</v>
      </c>
      <c r="W4" s="3304"/>
      <c r="X4" s="3011"/>
      <c r="Y4" s="3279" t="s">
        <v>2533</v>
      </c>
      <c r="Z4" s="3280"/>
      <c r="AA4" s="3274" t="s">
        <v>2529</v>
      </c>
      <c r="AB4" s="3275" t="s">
        <v>2530</v>
      </c>
      <c r="AC4" s="3274" t="s">
        <v>2531</v>
      </c>
    </row>
    <row r="5" spans="1:30" ht="15">
      <c r="A5" s="404"/>
      <c r="B5" s="405"/>
      <c r="C5" s="3285" t="s">
        <v>2534</v>
      </c>
      <c r="D5" s="3286"/>
      <c r="E5" s="3283" t="str">
        <f>'2017年所用商业案例'!E9</f>
        <v>江北区观音桥组团O07-1/02、O07-2/02号宗地</v>
      </c>
      <c r="F5" s="3284"/>
      <c r="G5" s="3285" t="str">
        <f>'2017年所用商业案例'!E16</f>
        <v>渝中区渝中组团E分区E18-2号宗地</v>
      </c>
      <c r="H5" s="3286"/>
      <c r="I5" s="3285" t="str">
        <f>'2017年所用商业案例'!E19</f>
        <v>江北区观音桥组团I分区I17-1-2/02号宗地</v>
      </c>
      <c r="J5" s="3286"/>
      <c r="K5" s="610"/>
      <c r="L5" s="1126"/>
      <c r="M5" s="1127"/>
      <c r="N5" s="1127"/>
      <c r="O5" s="1127"/>
      <c r="P5" s="3298"/>
      <c r="Q5" s="3299"/>
      <c r="R5" s="3281"/>
      <c r="S5" s="3282"/>
      <c r="T5" s="3281"/>
      <c r="U5" s="3282"/>
      <c r="V5" s="3304"/>
      <c r="W5" s="3304"/>
      <c r="X5" s="3011"/>
      <c r="Y5" s="3281"/>
      <c r="Z5" s="3282"/>
      <c r="AA5" s="3275"/>
      <c r="AB5" s="3275"/>
      <c r="AC5" s="3275"/>
    </row>
    <row r="6" spans="1:30" ht="15.75" thickBot="1">
      <c r="A6" s="406"/>
      <c r="B6" s="407"/>
      <c r="C6" s="3287" t="s">
        <v>2538</v>
      </c>
      <c r="D6" s="3288"/>
      <c r="E6" s="3289">
        <f>'2017年所用商业案例'!G9</f>
        <v>16038</v>
      </c>
      <c r="F6" s="3290"/>
      <c r="G6" s="3287">
        <f>'2017年所用商业案例'!G16</f>
        <v>15096</v>
      </c>
      <c r="H6" s="3288"/>
      <c r="I6" s="3287">
        <f>'2017年所用商业案例'!G19</f>
        <v>15004</v>
      </c>
      <c r="J6" s="3288"/>
      <c r="K6" s="610" t="s">
        <v>2539</v>
      </c>
      <c r="L6" s="1126"/>
      <c r="M6" s="1127"/>
      <c r="N6" s="1127"/>
      <c r="O6" s="1127"/>
      <c r="P6" s="3300"/>
      <c r="Q6" s="3301"/>
      <c r="R6" s="3281"/>
      <c r="S6" s="3282"/>
      <c r="T6" s="3302"/>
      <c r="U6" s="3303"/>
      <c r="V6" s="3304"/>
      <c r="W6" s="3304"/>
      <c r="X6" s="3011"/>
      <c r="Y6" s="3302"/>
      <c r="Z6" s="3303"/>
      <c r="AA6" s="3276"/>
      <c r="AB6" s="3276"/>
      <c r="AC6" s="3276"/>
    </row>
    <row r="7" spans="1:30" s="117" customFormat="1" ht="15.75" thickBot="1">
      <c r="A7" s="408" t="s">
        <v>2540</v>
      </c>
      <c r="B7" s="409"/>
      <c r="C7" s="410">
        <f>'数据-取费表'!B2</f>
        <v>43796</v>
      </c>
      <c r="D7" s="411">
        <v>100</v>
      </c>
      <c r="E7" s="412" t="str">
        <f>'2017年所用商业案例'!L9</f>
        <v>2016-07-12</v>
      </c>
      <c r="F7" s="413">
        <f>SUMIF(70:70,YEAR(E7)&amp;"-"&amp;INT((MONTH(E7)+2)/3),71:71)</f>
        <v>93.5</v>
      </c>
      <c r="G7" s="2687" t="str">
        <f>'2017年所用商业案例'!L16</f>
        <v>2015-09-28</v>
      </c>
      <c r="H7" s="411">
        <f>SUMIF(70:70,YEAR(G7)&amp;"-"&amp;INT((MONTH(G7)+2)/3),71:71)</f>
        <v>91.5</v>
      </c>
      <c r="I7" s="2687" t="str">
        <f>'2017年所用商业案例'!L19</f>
        <v>2015-02-12</v>
      </c>
      <c r="J7" s="411">
        <f>SUMIF(70:70,YEAR(I7)&amp;"-"&amp;INT((MONTH(I7)+2)/3),71:71)</f>
        <v>90.5</v>
      </c>
      <c r="K7" s="611"/>
      <c r="L7" s="1128"/>
      <c r="M7" s="1129"/>
      <c r="N7" s="1129"/>
      <c r="O7" s="1129"/>
      <c r="P7" s="3277" t="s">
        <v>2541</v>
      </c>
      <c r="Q7" s="3305"/>
      <c r="R7" s="768" t="s">
        <v>17</v>
      </c>
      <c r="S7" s="769">
        <f t="shared" ref="S7:S15" si="0">F7</f>
        <v>93.5</v>
      </c>
      <c r="T7" s="768" t="s">
        <v>17</v>
      </c>
      <c r="U7" s="769">
        <f t="shared" ref="U7:U15" si="1">H7</f>
        <v>91.5</v>
      </c>
      <c r="V7" s="768" t="s">
        <v>17</v>
      </c>
      <c r="W7" s="769">
        <f t="shared" ref="W7:W15" si="2">J7</f>
        <v>90.5</v>
      </c>
      <c r="X7" s="770"/>
      <c r="Y7" s="3277" t="s">
        <v>2541</v>
      </c>
      <c r="Z7" s="3278"/>
      <c r="AA7" s="771">
        <f>D7/F7</f>
        <v>1.0695187165775402</v>
      </c>
      <c r="AB7" s="771">
        <f>D7/H7</f>
        <v>1.0928961748633881</v>
      </c>
      <c r="AC7" s="771">
        <f>D7/J7</f>
        <v>1.1049723756906078</v>
      </c>
    </row>
    <row r="8" spans="1:30" s="117" customFormat="1" ht="15.75" thickBot="1">
      <c r="A8" s="408" t="s">
        <v>2542</v>
      </c>
      <c r="B8" s="409"/>
      <c r="C8" s="414" t="s">
        <v>2543</v>
      </c>
      <c r="D8" s="411">
        <v>100</v>
      </c>
      <c r="E8" s="414" t="s">
        <v>3605</v>
      </c>
      <c r="F8" s="413">
        <f>SUMIF(73:73,E8,74:74)-SUMIF(73:73,C8,74:74)+100</f>
        <v>100</v>
      </c>
      <c r="G8" s="414" t="s">
        <v>3605</v>
      </c>
      <c r="H8" s="411">
        <f>SUMIF(73:73,G8,74:74)-SUMIF(73:73,C8,74:74)+100</f>
        <v>100</v>
      </c>
      <c r="I8" s="414" t="s">
        <v>3605</v>
      </c>
      <c r="J8" s="411">
        <f>SUMIF(73:73,I8,74:74)-SUMIF(73:73,C8,74:74)+100</f>
        <v>100</v>
      </c>
      <c r="K8" s="611"/>
      <c r="L8" s="1128"/>
      <c r="M8" s="1129"/>
      <c r="N8" s="1129"/>
      <c r="O8" s="1129"/>
      <c r="P8" s="3277" t="s">
        <v>2544</v>
      </c>
      <c r="Q8" s="3278"/>
      <c r="R8" s="768" t="s">
        <v>17</v>
      </c>
      <c r="S8" s="769">
        <f t="shared" si="0"/>
        <v>100</v>
      </c>
      <c r="T8" s="768" t="s">
        <v>17</v>
      </c>
      <c r="U8" s="769">
        <f t="shared" si="1"/>
        <v>100</v>
      </c>
      <c r="V8" s="768" t="s">
        <v>17</v>
      </c>
      <c r="W8" s="769">
        <f t="shared" si="2"/>
        <v>100</v>
      </c>
      <c r="X8" s="770"/>
      <c r="Y8" s="3277" t="s">
        <v>2544</v>
      </c>
      <c r="Z8" s="3278"/>
      <c r="AA8" s="771">
        <f t="shared" ref="AA8:AA45" si="3">D8/F8</f>
        <v>1</v>
      </c>
      <c r="AB8" s="771">
        <f t="shared" ref="AB8:AB45" si="4">D8/H8</f>
        <v>1</v>
      </c>
      <c r="AC8" s="771">
        <f t="shared" ref="AC8:AC45" si="5">D8/J8</f>
        <v>1</v>
      </c>
    </row>
    <row r="9" spans="1:30" s="117" customFormat="1" ht="42.75">
      <c r="A9" s="415" t="s">
        <v>2545</v>
      </c>
      <c r="B9" s="71" t="s">
        <v>2546</v>
      </c>
      <c r="C9" s="2690" t="s">
        <v>3803</v>
      </c>
      <c r="D9" s="135">
        <v>100</v>
      </c>
      <c r="E9" s="2690" t="s">
        <v>3883</v>
      </c>
      <c r="F9" s="135">
        <f>SUMIF(75:75,E9,76:76)-SUMIF(75:75,C9,76:76)+100</f>
        <v>100</v>
      </c>
      <c r="G9" s="2690" t="s">
        <v>3914</v>
      </c>
      <c r="H9" s="135">
        <f>SUMIF(75:75,G9,76:76)-SUMIF(75:75,C9,76:76)+100</f>
        <v>100</v>
      </c>
      <c r="I9" s="2690" t="s">
        <v>3633</v>
      </c>
      <c r="J9" s="135">
        <f>SUMIF(75:75,I9,76:76)-SUMIF(75:75,C9,76:76)+100</f>
        <v>100</v>
      </c>
      <c r="K9" s="611"/>
      <c r="L9" s="1128"/>
      <c r="M9" s="1129"/>
      <c r="N9" s="1129"/>
      <c r="O9" s="1130"/>
      <c r="P9" s="3291" t="s">
        <v>2547</v>
      </c>
      <c r="Q9" s="3008" t="str">
        <f t="shared" ref="Q9:Q15" si="6">B9</f>
        <v>用途</v>
      </c>
      <c r="R9" s="768" t="s">
        <v>17</v>
      </c>
      <c r="S9" s="769">
        <f t="shared" si="0"/>
        <v>100</v>
      </c>
      <c r="T9" s="768" t="s">
        <v>17</v>
      </c>
      <c r="U9" s="769">
        <f t="shared" si="1"/>
        <v>100</v>
      </c>
      <c r="V9" s="768" t="s">
        <v>17</v>
      </c>
      <c r="W9" s="769">
        <f t="shared" si="2"/>
        <v>100</v>
      </c>
      <c r="X9" s="770"/>
      <c r="Y9" s="3136" t="s">
        <v>2548</v>
      </c>
      <c r="Z9" s="3009" t="str">
        <f t="shared" ref="Z9:Z15" si="7">Q9</f>
        <v>用途</v>
      </c>
      <c r="AA9" s="771">
        <f t="shared" si="3"/>
        <v>1</v>
      </c>
      <c r="AB9" s="771">
        <f t="shared" si="4"/>
        <v>1</v>
      </c>
      <c r="AC9" s="771">
        <f t="shared" si="5"/>
        <v>1</v>
      </c>
    </row>
    <row r="10" spans="1:30" s="427" customFormat="1" ht="27">
      <c r="A10" s="421"/>
      <c r="B10" s="3010" t="s">
        <v>2549</v>
      </c>
      <c r="C10" s="432"/>
      <c r="D10" s="136">
        <v>100</v>
      </c>
      <c r="E10" s="465"/>
      <c r="F10" s="136">
        <f>ROUND(100/'数据-取费表'!G16,0)</f>
        <v>109</v>
      </c>
      <c r="G10" s="463"/>
      <c r="H10" s="136">
        <f>ROUND(100/'数据-取费表'!G16,0)</f>
        <v>109</v>
      </c>
      <c r="I10" s="463"/>
      <c r="J10" s="136">
        <f>ROUND(100/'数据-取费表'!G16,0)</f>
        <v>109</v>
      </c>
      <c r="K10" s="671"/>
      <c r="L10" s="1131"/>
      <c r="M10" s="1132"/>
      <c r="N10" s="1132"/>
      <c r="O10" s="1133"/>
      <c r="P10" s="3291"/>
      <c r="Q10" s="3008" t="str">
        <f t="shared" si="6"/>
        <v>土地使用年限（年）</v>
      </c>
      <c r="R10" s="768" t="s">
        <v>17</v>
      </c>
      <c r="S10" s="769">
        <f t="shared" si="0"/>
        <v>109</v>
      </c>
      <c r="T10" s="768" t="s">
        <v>17</v>
      </c>
      <c r="U10" s="769">
        <f t="shared" si="1"/>
        <v>109</v>
      </c>
      <c r="V10" s="768" t="s">
        <v>17</v>
      </c>
      <c r="W10" s="769">
        <f t="shared" si="2"/>
        <v>109</v>
      </c>
      <c r="X10" s="770"/>
      <c r="Y10" s="3136"/>
      <c r="Z10" s="3009" t="str">
        <f t="shared" si="7"/>
        <v>土地使用年限（年）</v>
      </c>
      <c r="AA10" s="771">
        <f t="shared" si="3"/>
        <v>0.91743119266055051</v>
      </c>
      <c r="AB10" s="771">
        <f t="shared" si="4"/>
        <v>0.91743119266055051</v>
      </c>
      <c r="AC10" s="771">
        <f t="shared" si="5"/>
        <v>0.91743119266055051</v>
      </c>
    </row>
    <row r="11" spans="1:30" ht="15">
      <c r="A11" s="428"/>
      <c r="B11" s="3010" t="s">
        <v>2550</v>
      </c>
      <c r="C11" s="429">
        <f>'土地比较法-住宅'!C11</f>
        <v>8.86</v>
      </c>
      <c r="D11" s="136">
        <v>100</v>
      </c>
      <c r="E11" s="429">
        <v>1.37</v>
      </c>
      <c r="F11" s="136">
        <f>LOOKUP(E11,80:80,81:81)-LOOKUP(C11,80:80,81:81)+100</f>
        <v>110</v>
      </c>
      <c r="G11" s="430">
        <v>19.8</v>
      </c>
      <c r="H11" s="136">
        <f>LOOKUP(G11,80:80,81:81)-LOOKUP(C11,80:80,81:81)+100</f>
        <v>90</v>
      </c>
      <c r="I11" s="429">
        <v>7.5</v>
      </c>
      <c r="J11" s="136">
        <f>LOOKUP(I11,80:80,81:81)-LOOKUP(C11,80:80,81:81)+100</f>
        <v>100</v>
      </c>
      <c r="K11" s="672">
        <v>5</v>
      </c>
      <c r="L11" s="1134"/>
      <c r="M11" s="1127"/>
      <c r="N11" s="1127"/>
      <c r="O11" s="1135"/>
      <c r="P11" s="3291"/>
      <c r="Q11" s="3008" t="str">
        <f t="shared" si="6"/>
        <v>容积率</v>
      </c>
      <c r="R11" s="768" t="s">
        <v>17</v>
      </c>
      <c r="S11" s="769">
        <f t="shared" si="0"/>
        <v>110</v>
      </c>
      <c r="T11" s="768" t="s">
        <v>17</v>
      </c>
      <c r="U11" s="769">
        <f t="shared" si="1"/>
        <v>90</v>
      </c>
      <c r="V11" s="768" t="s">
        <v>17</v>
      </c>
      <c r="W11" s="769">
        <f t="shared" si="2"/>
        <v>100</v>
      </c>
      <c r="X11" s="770"/>
      <c r="Y11" s="3136"/>
      <c r="Z11" s="3009" t="str">
        <f t="shared" si="7"/>
        <v>容积率</v>
      </c>
      <c r="AA11" s="771">
        <f t="shared" si="3"/>
        <v>0.90909090909090906</v>
      </c>
      <c r="AB11" s="771">
        <f t="shared" si="4"/>
        <v>1.1111111111111112</v>
      </c>
      <c r="AC11" s="771">
        <f t="shared" si="5"/>
        <v>1</v>
      </c>
    </row>
    <row r="12" spans="1:30" s="117" customFormat="1" ht="15">
      <c r="A12" s="431"/>
      <c r="B12" s="2593" t="s">
        <v>2739</v>
      </c>
      <c r="C12" s="432"/>
      <c r="D12" s="433">
        <v>100</v>
      </c>
      <c r="E12" s="465"/>
      <c r="F12" s="136">
        <f>SUMIF(82:82,E12,83:83)-SUMIF(82:82,C12,83:83)+100</f>
        <v>100</v>
      </c>
      <c r="G12" s="463"/>
      <c r="H12" s="136">
        <f>SUMIF(82:82,G12,83:83)-SUMIF(82:82,C12,83:83)+100</f>
        <v>100</v>
      </c>
      <c r="I12" s="465"/>
      <c r="J12" s="136">
        <f>SUMIF(82:82,I12,83:83)-SUMIF(82:82,C12,83:83)+100</f>
        <v>100</v>
      </c>
      <c r="K12" s="671"/>
      <c r="L12" s="1128"/>
      <c r="M12" s="1129"/>
      <c r="N12" s="1129"/>
      <c r="O12" s="1130"/>
      <c r="P12" s="3291"/>
      <c r="Q12" s="3008" t="str">
        <f t="shared" si="6"/>
        <v>配建</v>
      </c>
      <c r="R12" s="768" t="s">
        <v>17</v>
      </c>
      <c r="S12" s="769">
        <f t="shared" si="0"/>
        <v>100</v>
      </c>
      <c r="T12" s="768" t="s">
        <v>17</v>
      </c>
      <c r="U12" s="769">
        <f t="shared" si="1"/>
        <v>100</v>
      </c>
      <c r="V12" s="768" t="s">
        <v>17</v>
      </c>
      <c r="W12" s="769">
        <f t="shared" si="2"/>
        <v>100</v>
      </c>
      <c r="X12" s="770"/>
      <c r="Y12" s="3136"/>
      <c r="Z12" s="3009" t="str">
        <f t="shared" si="7"/>
        <v>配建</v>
      </c>
      <c r="AA12" s="771">
        <f>D12/F12</f>
        <v>1</v>
      </c>
      <c r="AB12" s="771">
        <f>D12/H12</f>
        <v>1</v>
      </c>
      <c r="AC12" s="771">
        <f>D12/J12</f>
        <v>1</v>
      </c>
    </row>
    <row r="13" spans="1:30" ht="15">
      <c r="A13" s="428"/>
      <c r="B13" s="2593"/>
      <c r="C13" s="434"/>
      <c r="D13" s="435">
        <v>100</v>
      </c>
      <c r="E13" s="549"/>
      <c r="F13" s="136">
        <f>SUMIF(84:84,E13,85:85)-SUMIF(84:84,C13,85:85)+100</f>
        <v>100</v>
      </c>
      <c r="G13" s="673"/>
      <c r="H13" s="435">
        <f>SUMIF(84:84,G13,85:85)-SUMIF(84:84,C13,85:85)+100</f>
        <v>100</v>
      </c>
      <c r="I13" s="673"/>
      <c r="J13" s="435">
        <f>SUMIF(84:84,I13,85:85)-SUMIF(84:84,C13,85:85)+100</f>
        <v>100</v>
      </c>
      <c r="K13" s="671"/>
      <c r="L13" s="1136"/>
      <c r="M13" s="1127"/>
      <c r="N13" s="1127"/>
      <c r="O13" s="1135"/>
      <c r="P13" s="3291"/>
      <c r="Q13" s="3008">
        <f t="shared" si="6"/>
        <v>0</v>
      </c>
      <c r="R13" s="768" t="s">
        <v>17</v>
      </c>
      <c r="S13" s="769">
        <f t="shared" si="0"/>
        <v>100</v>
      </c>
      <c r="T13" s="768" t="s">
        <v>17</v>
      </c>
      <c r="U13" s="769">
        <f t="shared" si="1"/>
        <v>100</v>
      </c>
      <c r="V13" s="768" t="s">
        <v>17</v>
      </c>
      <c r="W13" s="769">
        <f t="shared" si="2"/>
        <v>100</v>
      </c>
      <c r="X13" s="770"/>
      <c r="Y13" s="3136"/>
      <c r="Z13" s="3009">
        <f t="shared" si="7"/>
        <v>0</v>
      </c>
      <c r="AA13" s="771">
        <f>D13/F13</f>
        <v>1</v>
      </c>
      <c r="AB13" s="771">
        <f>D13/H13</f>
        <v>1</v>
      </c>
      <c r="AC13" s="771">
        <f>D13/J13</f>
        <v>1</v>
      </c>
    </row>
    <row r="14" spans="1:30" ht="15.75" thickBot="1">
      <c r="A14" s="436"/>
      <c r="B14" s="2595"/>
      <c r="C14" s="437"/>
      <c r="D14" s="438">
        <v>100</v>
      </c>
      <c r="E14" s="549"/>
      <c r="F14" s="438">
        <f>SUMIF(86:86,E14,87:87)-SUMIF(86:86,C14,87:87)+100</f>
        <v>100</v>
      </c>
      <c r="G14" s="673"/>
      <c r="H14" s="438">
        <f>SUMIF(86:86,G14,87:87)-SUMIF(86:86,C14,87:87)+100</f>
        <v>100</v>
      </c>
      <c r="I14" s="673"/>
      <c r="J14" s="438">
        <f>SUMIF(86:86,I14,87:87)-SUMIF(86:86,C14,87:87)+100</f>
        <v>100</v>
      </c>
      <c r="K14" s="671"/>
      <c r="L14" s="1136"/>
      <c r="M14" s="1127"/>
      <c r="N14" s="1127"/>
      <c r="O14" s="1135"/>
      <c r="P14" s="3291"/>
      <c r="Q14" s="3008">
        <f t="shared" si="6"/>
        <v>0</v>
      </c>
      <c r="R14" s="768" t="s">
        <v>17</v>
      </c>
      <c r="S14" s="769">
        <f t="shared" si="0"/>
        <v>100</v>
      </c>
      <c r="T14" s="768" t="s">
        <v>17</v>
      </c>
      <c r="U14" s="769">
        <f t="shared" si="1"/>
        <v>100</v>
      </c>
      <c r="V14" s="768" t="s">
        <v>17</v>
      </c>
      <c r="W14" s="769">
        <f t="shared" si="2"/>
        <v>100</v>
      </c>
      <c r="X14" s="770"/>
      <c r="Y14" s="3136"/>
      <c r="Z14" s="3009">
        <f t="shared" si="7"/>
        <v>0</v>
      </c>
      <c r="AA14" s="771">
        <f>D14/F14</f>
        <v>1</v>
      </c>
      <c r="AB14" s="771">
        <f>D14/H14</f>
        <v>1</v>
      </c>
      <c r="AC14" s="771">
        <f>D14/J14</f>
        <v>1</v>
      </c>
    </row>
    <row r="15" spans="1:30" ht="99.75">
      <c r="A15" s="440" t="s">
        <v>2551</v>
      </c>
      <c r="B15" s="69" t="s">
        <v>2080</v>
      </c>
      <c r="C15" s="259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36"/>
      <c r="M15" s="1127"/>
      <c r="N15" s="1127"/>
      <c r="O15" s="1135"/>
      <c r="P15" s="3306" t="s">
        <v>2552</v>
      </c>
      <c r="Q15" s="3012" t="str">
        <f t="shared" si="6"/>
        <v>居住社区成熟度</v>
      </c>
      <c r="R15" s="772" t="s">
        <v>17</v>
      </c>
      <c r="S15" s="773">
        <f t="shared" si="0"/>
        <v>100</v>
      </c>
      <c r="T15" s="772" t="s">
        <v>17</v>
      </c>
      <c r="U15" s="773">
        <f t="shared" si="1"/>
        <v>100</v>
      </c>
      <c r="V15" s="772" t="s">
        <v>17</v>
      </c>
      <c r="W15" s="773">
        <f t="shared" si="2"/>
        <v>100</v>
      </c>
      <c r="X15" s="3011"/>
      <c r="Y15" s="3306" t="s">
        <v>2552</v>
      </c>
      <c r="Z15" s="3013" t="str">
        <f t="shared" si="7"/>
        <v>居住社区成熟度</v>
      </c>
      <c r="AA15" s="3015">
        <f t="shared" si="3"/>
        <v>1</v>
      </c>
      <c r="AB15" s="3015">
        <f t="shared" si="4"/>
        <v>1</v>
      </c>
      <c r="AC15" s="3015">
        <f t="shared" si="5"/>
        <v>1</v>
      </c>
    </row>
    <row r="16" spans="1:30" ht="15">
      <c r="A16" s="428"/>
      <c r="B16" s="446"/>
      <c r="C16" s="447"/>
      <c r="D16" s="448"/>
      <c r="E16" s="2598"/>
      <c r="F16" s="448"/>
      <c r="G16" s="2598"/>
      <c r="H16" s="450"/>
      <c r="I16" s="2597"/>
      <c r="J16" s="448"/>
      <c r="K16" s="671"/>
      <c r="L16" s="1136"/>
      <c r="M16" s="1127"/>
      <c r="N16" s="1127"/>
      <c r="O16" s="1135"/>
      <c r="P16" s="3307"/>
      <c r="Q16" s="3012"/>
      <c r="R16" s="772"/>
      <c r="S16" s="773"/>
      <c r="T16" s="772"/>
      <c r="U16" s="773"/>
      <c r="V16" s="772"/>
      <c r="W16" s="773"/>
      <c r="X16" s="3011"/>
      <c r="Y16" s="3307"/>
      <c r="Z16" s="3013"/>
      <c r="AA16" s="3015">
        <v>1</v>
      </c>
      <c r="AB16" s="3015">
        <v>1</v>
      </c>
      <c r="AC16" s="3015">
        <v>1</v>
      </c>
    </row>
    <row r="17" spans="1:29" ht="71.25">
      <c r="A17" s="428"/>
      <c r="B17" s="451" t="s">
        <v>2645</v>
      </c>
      <c r="C17" s="2655" t="str">
        <f>估价对象房地状况!C16</f>
        <v>估价对象位于XX商圈，周边商业氛围成熟，人流量大，商业繁华度好</v>
      </c>
      <c r="D17" s="450">
        <v>100</v>
      </c>
      <c r="E17" s="452"/>
      <c r="F17" s="450">
        <f>SUMIF(90:90,E18,91:91)-SUMIF(90:90,C18,91:91)+100</f>
        <v>90</v>
      </c>
      <c r="G17" s="452"/>
      <c r="H17" s="455">
        <f>SUMIF(90:90,G18,91:91)-SUMIF(90:90,C18,91:91)+100</f>
        <v>100</v>
      </c>
      <c r="I17" s="454"/>
      <c r="J17" s="455">
        <f>SUMIF(90:90,I18,91:91)-SUMIF(90:90,C18,91:91)+100</f>
        <v>95</v>
      </c>
      <c r="K17" s="672">
        <v>5</v>
      </c>
      <c r="L17" s="1136"/>
      <c r="M17" s="1127"/>
      <c r="N17" s="1127"/>
      <c r="O17" s="1135"/>
      <c r="P17" s="3307"/>
      <c r="Q17" s="3012" t="str">
        <f>B17</f>
        <v>商业繁华度</v>
      </c>
      <c r="R17" s="772" t="s">
        <v>17</v>
      </c>
      <c r="S17" s="773">
        <f>F17</f>
        <v>90</v>
      </c>
      <c r="T17" s="772" t="s">
        <v>17</v>
      </c>
      <c r="U17" s="773">
        <f>H17</f>
        <v>100</v>
      </c>
      <c r="V17" s="772" t="s">
        <v>17</v>
      </c>
      <c r="W17" s="773">
        <f>J17</f>
        <v>95</v>
      </c>
      <c r="X17" s="3011"/>
      <c r="Y17" s="3307"/>
      <c r="Z17" s="3013" t="str">
        <f>Q17</f>
        <v>商业繁华度</v>
      </c>
      <c r="AA17" s="3015">
        <f t="shared" si="3"/>
        <v>1.1111111111111112</v>
      </c>
      <c r="AB17" s="3015">
        <f t="shared" si="4"/>
        <v>1</v>
      </c>
      <c r="AC17" s="3015">
        <f t="shared" si="5"/>
        <v>1.0526315789473684</v>
      </c>
    </row>
    <row r="18" spans="1:29" ht="15">
      <c r="A18" s="428"/>
      <c r="B18" s="456"/>
      <c r="C18" s="2603" t="s">
        <v>3609</v>
      </c>
      <c r="D18" s="450"/>
      <c r="E18" s="2603" t="s">
        <v>3611</v>
      </c>
      <c r="F18" s="450"/>
      <c r="G18" s="2603" t="s">
        <v>3609</v>
      </c>
      <c r="H18" s="448"/>
      <c r="I18" s="2602" t="s">
        <v>3610</v>
      </c>
      <c r="J18" s="448"/>
      <c r="K18" s="671"/>
      <c r="L18" s="1136"/>
      <c r="M18" s="1127"/>
      <c r="N18" s="1127"/>
      <c r="O18" s="1135"/>
      <c r="P18" s="3307"/>
      <c r="Q18" s="3012"/>
      <c r="R18" s="772"/>
      <c r="S18" s="773"/>
      <c r="T18" s="772"/>
      <c r="U18" s="773"/>
      <c r="V18" s="772"/>
      <c r="W18" s="773"/>
      <c r="X18" s="3011"/>
      <c r="Y18" s="3307"/>
      <c r="Z18" s="3013"/>
      <c r="AA18" s="3015">
        <v>1</v>
      </c>
      <c r="AB18" s="3015">
        <v>1</v>
      </c>
      <c r="AC18" s="3015">
        <v>1</v>
      </c>
    </row>
    <row r="19" spans="1:29" ht="71.25">
      <c r="A19" s="428"/>
      <c r="B19" s="451" t="s">
        <v>2679</v>
      </c>
      <c r="C19" s="2655" t="str">
        <f>估价对象房地状况!C17</f>
        <v>估价对象位于XX商圈，周边办公楼项目较多，入驻率高，办公集聚程度较好</v>
      </c>
      <c r="D19" s="455">
        <v>100</v>
      </c>
      <c r="E19" s="457"/>
      <c r="F19" s="455">
        <f>SUMIF(92:92,E20,93:93)-SUMIF(92:92,C20,93:93)+100</f>
        <v>103</v>
      </c>
      <c r="G19" s="457"/>
      <c r="H19" s="450">
        <f>SUMIF(92:92,G20,93:93)-SUMIF(92:92,C20,93:93)+100</f>
        <v>103</v>
      </c>
      <c r="I19" s="459"/>
      <c r="J19" s="450">
        <f>SUMIF(92:92,I20,93:93)-SUMIF(92:92,C20,93:93)+100</f>
        <v>100</v>
      </c>
      <c r="K19" s="672">
        <v>3</v>
      </c>
      <c r="L19" s="1136"/>
      <c r="M19" s="1127"/>
      <c r="N19" s="1127"/>
      <c r="O19" s="1135"/>
      <c r="P19" s="3307"/>
      <c r="Q19" s="3012" t="str">
        <f>B19</f>
        <v>办公集聚程度</v>
      </c>
      <c r="R19" s="772" t="s">
        <v>17</v>
      </c>
      <c r="S19" s="773">
        <f>F19</f>
        <v>103</v>
      </c>
      <c r="T19" s="772" t="s">
        <v>17</v>
      </c>
      <c r="U19" s="773">
        <f>H19</f>
        <v>103</v>
      </c>
      <c r="V19" s="772" t="s">
        <v>17</v>
      </c>
      <c r="W19" s="773">
        <f>J19</f>
        <v>100</v>
      </c>
      <c r="X19" s="3011"/>
      <c r="Y19" s="3307"/>
      <c r="Z19" s="3013" t="str">
        <f>Q19</f>
        <v>办公集聚程度</v>
      </c>
      <c r="AA19" s="3015">
        <f t="shared" si="3"/>
        <v>0.970873786407767</v>
      </c>
      <c r="AB19" s="3015">
        <f t="shared" si="4"/>
        <v>0.970873786407767</v>
      </c>
      <c r="AC19" s="3015">
        <f t="shared" si="5"/>
        <v>1</v>
      </c>
    </row>
    <row r="20" spans="1:29" ht="15">
      <c r="A20" s="428"/>
      <c r="B20" s="456"/>
      <c r="C20" s="447" t="s">
        <v>3610</v>
      </c>
      <c r="D20" s="448"/>
      <c r="E20" s="2598" t="s">
        <v>3609</v>
      </c>
      <c r="F20" s="448"/>
      <c r="G20" s="2598" t="s">
        <v>3609</v>
      </c>
      <c r="H20" s="448"/>
      <c r="I20" s="2597" t="s">
        <v>3610</v>
      </c>
      <c r="J20" s="448"/>
      <c r="K20" s="671"/>
      <c r="L20" s="1136"/>
      <c r="M20" s="1127"/>
      <c r="N20" s="1127"/>
      <c r="O20" s="1135"/>
      <c r="P20" s="3307"/>
      <c r="Q20" s="3012"/>
      <c r="R20" s="772"/>
      <c r="S20" s="773"/>
      <c r="T20" s="772"/>
      <c r="U20" s="773"/>
      <c r="V20" s="772"/>
      <c r="W20" s="773"/>
      <c r="X20" s="3011"/>
      <c r="Y20" s="3307"/>
      <c r="Z20" s="3013"/>
      <c r="AA20" s="3015">
        <v>1</v>
      </c>
      <c r="AB20" s="3015">
        <v>1</v>
      </c>
      <c r="AC20" s="3015">
        <v>1</v>
      </c>
    </row>
    <row r="21" spans="1:29" ht="85.5">
      <c r="A21" s="428"/>
      <c r="B21" s="451" t="s">
        <v>2701</v>
      </c>
      <c r="C21" s="2600" t="str">
        <f>估价对象房地状况!C18</f>
        <v>估价对象周边道路状况、公共交通通达情况、停车便捷程度，综合评价交通便捷度较好</v>
      </c>
      <c r="D21" s="450">
        <v>100</v>
      </c>
      <c r="E21" s="452"/>
      <c r="F21" s="455">
        <f>SUMIF(94:94,E22,95:95)-SUMIF(94:94,C22,95:95)+100</f>
        <v>95</v>
      </c>
      <c r="G21" s="452"/>
      <c r="H21" s="450">
        <f>SUMIF(94:94,G22,95:95)-SUMIF(94:94,C22,95:95)+100</f>
        <v>100</v>
      </c>
      <c r="I21" s="452"/>
      <c r="J21" s="450">
        <f>SUMIF(94:94,I22,95:95)-SUMIF(94:94,C22,95:95)+100</f>
        <v>95</v>
      </c>
      <c r="K21" s="672">
        <v>5</v>
      </c>
      <c r="L21" s="1136"/>
      <c r="M21" s="1127"/>
      <c r="N21" s="1127"/>
      <c r="O21" s="1135"/>
      <c r="P21" s="3307"/>
      <c r="Q21" s="3012" t="str">
        <f>B21</f>
        <v>交通便捷度</v>
      </c>
      <c r="R21" s="772" t="s">
        <v>17</v>
      </c>
      <c r="S21" s="773">
        <f>F21</f>
        <v>95</v>
      </c>
      <c r="T21" s="772" t="s">
        <v>17</v>
      </c>
      <c r="U21" s="773">
        <f>H21</f>
        <v>100</v>
      </c>
      <c r="V21" s="772" t="s">
        <v>17</v>
      </c>
      <c r="W21" s="773">
        <f>J21</f>
        <v>95</v>
      </c>
      <c r="X21" s="3011"/>
      <c r="Y21" s="3307"/>
      <c r="Z21" s="3013" t="str">
        <f>Q21</f>
        <v>交通便捷度</v>
      </c>
      <c r="AA21" s="3015">
        <f t="shared" si="3"/>
        <v>1.0526315789473684</v>
      </c>
      <c r="AB21" s="3015">
        <f t="shared" si="4"/>
        <v>1</v>
      </c>
      <c r="AC21" s="3015">
        <f t="shared" si="5"/>
        <v>1.0526315789473684</v>
      </c>
    </row>
    <row r="22" spans="1:29" ht="15">
      <c r="A22" s="428"/>
      <c r="B22" s="1380"/>
      <c r="C22" s="447" t="s">
        <v>3609</v>
      </c>
      <c r="D22" s="450"/>
      <c r="E22" s="2598" t="s">
        <v>3610</v>
      </c>
      <c r="F22" s="448"/>
      <c r="G22" s="447" t="s">
        <v>3609</v>
      </c>
      <c r="H22" s="448"/>
      <c r="I22" s="2598" t="s">
        <v>3610</v>
      </c>
      <c r="J22" s="448"/>
      <c r="K22" s="671"/>
      <c r="L22" s="1136"/>
      <c r="M22" s="1127"/>
      <c r="N22" s="1127"/>
      <c r="O22" s="1135"/>
      <c r="P22" s="3307"/>
      <c r="Q22" s="3012"/>
      <c r="R22" s="772"/>
      <c r="S22" s="773"/>
      <c r="T22" s="772"/>
      <c r="U22" s="773"/>
      <c r="V22" s="772"/>
      <c r="W22" s="773"/>
      <c r="X22" s="3011"/>
      <c r="Y22" s="3307"/>
      <c r="Z22" s="3013"/>
      <c r="AA22" s="3015">
        <v>1</v>
      </c>
      <c r="AB22" s="3015">
        <v>1</v>
      </c>
      <c r="AC22" s="3015">
        <v>1</v>
      </c>
    </row>
    <row r="23" spans="1:29" ht="15">
      <c r="A23" s="404"/>
      <c r="B23" s="451" t="s">
        <v>2740</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2">
        <v>5</v>
      </c>
      <c r="L23" s="1136"/>
      <c r="M23" s="1127"/>
      <c r="N23" s="1127"/>
      <c r="O23" s="1135"/>
      <c r="P23" s="3307"/>
      <c r="Q23" s="3012" t="str">
        <f t="shared" ref="Q23:Q37" si="8">B23</f>
        <v>区域土地利用方向</v>
      </c>
      <c r="R23" s="772" t="s">
        <v>17</v>
      </c>
      <c r="S23" s="773">
        <f>F23</f>
        <v>100</v>
      </c>
      <c r="T23" s="772" t="s">
        <v>17</v>
      </c>
      <c r="U23" s="773">
        <f>H23</f>
        <v>100</v>
      </c>
      <c r="V23" s="772" t="s">
        <v>17</v>
      </c>
      <c r="W23" s="773">
        <f>J23</f>
        <v>100</v>
      </c>
      <c r="X23" s="3011"/>
      <c r="Y23" s="3307"/>
      <c r="Z23" s="3013" t="str">
        <f>Q23</f>
        <v>区域土地利用方向</v>
      </c>
      <c r="AA23" s="3015">
        <f t="shared" si="3"/>
        <v>1</v>
      </c>
      <c r="AB23" s="3015">
        <f t="shared" si="4"/>
        <v>1</v>
      </c>
      <c r="AC23" s="3015">
        <f t="shared" si="5"/>
        <v>1</v>
      </c>
    </row>
    <row r="24" spans="1:29" ht="15">
      <c r="A24" s="404"/>
      <c r="B24" s="456"/>
      <c r="C24" s="616" t="s">
        <v>3610</v>
      </c>
      <c r="D24" s="448"/>
      <c r="E24" s="616" t="s">
        <v>3610</v>
      </c>
      <c r="F24" s="448"/>
      <c r="G24" s="616" t="s">
        <v>3610</v>
      </c>
      <c r="H24" s="448"/>
      <c r="I24" s="616" t="s">
        <v>3610</v>
      </c>
      <c r="J24" s="448"/>
      <c r="K24" s="808"/>
      <c r="L24" s="1136"/>
      <c r="M24" s="1127"/>
      <c r="N24" s="1127"/>
      <c r="O24" s="1135"/>
      <c r="P24" s="3307"/>
      <c r="Q24" s="3012"/>
      <c r="R24" s="772"/>
      <c r="S24" s="773"/>
      <c r="T24" s="772"/>
      <c r="U24" s="773"/>
      <c r="V24" s="772"/>
      <c r="W24" s="773"/>
      <c r="X24" s="3011"/>
      <c r="Y24" s="3307"/>
      <c r="Z24" s="3013"/>
      <c r="AA24" s="3015"/>
      <c r="AB24" s="3015"/>
      <c r="AC24" s="3015"/>
    </row>
    <row r="25" spans="1:29" ht="57">
      <c r="A25" s="404"/>
      <c r="B25" s="1380" t="s">
        <v>2741</v>
      </c>
      <c r="C25" s="265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v>3</v>
      </c>
      <c r="L25" s="1136"/>
      <c r="M25" s="1127"/>
      <c r="N25" s="1127"/>
      <c r="O25" s="1135"/>
      <c r="P25" s="3307"/>
      <c r="Q25" s="3012" t="str">
        <f t="shared" si="8"/>
        <v>自然及人文环境状况</v>
      </c>
      <c r="R25" s="772" t="s">
        <v>17</v>
      </c>
      <c r="S25" s="773">
        <f>F25</f>
        <v>100</v>
      </c>
      <c r="T25" s="772" t="s">
        <v>17</v>
      </c>
      <c r="U25" s="773">
        <f>H25</f>
        <v>100</v>
      </c>
      <c r="V25" s="772" t="s">
        <v>17</v>
      </c>
      <c r="W25" s="773">
        <f>J25</f>
        <v>100</v>
      </c>
      <c r="X25" s="3011"/>
      <c r="Y25" s="3307"/>
      <c r="Z25" s="3013" t="str">
        <f>Q25</f>
        <v>自然及人文环境状况</v>
      </c>
      <c r="AA25" s="3015">
        <f t="shared" si="3"/>
        <v>1</v>
      </c>
      <c r="AB25" s="3015">
        <f t="shared" si="4"/>
        <v>1</v>
      </c>
      <c r="AC25" s="3015">
        <f t="shared" si="5"/>
        <v>1</v>
      </c>
    </row>
    <row r="26" spans="1:29" ht="15">
      <c r="A26" s="404"/>
      <c r="B26" s="456"/>
      <c r="C26" s="447" t="s">
        <v>3610</v>
      </c>
      <c r="D26" s="448"/>
      <c r="E26" s="447" t="s">
        <v>3610</v>
      </c>
      <c r="F26" s="448"/>
      <c r="G26" s="447" t="s">
        <v>3610</v>
      </c>
      <c r="H26" s="448"/>
      <c r="I26" s="447" t="s">
        <v>3610</v>
      </c>
      <c r="J26" s="448"/>
      <c r="K26" s="671"/>
      <c r="L26" s="1136"/>
      <c r="M26" s="1127"/>
      <c r="N26" s="1127"/>
      <c r="O26" s="1135"/>
      <c r="P26" s="3307"/>
      <c r="Q26" s="3012"/>
      <c r="R26" s="772"/>
      <c r="S26" s="773"/>
      <c r="T26" s="772"/>
      <c r="U26" s="773"/>
      <c r="V26" s="772"/>
      <c r="W26" s="773"/>
      <c r="X26" s="3011"/>
      <c r="Y26" s="3307"/>
      <c r="Z26" s="3013"/>
      <c r="AA26" s="3015">
        <v>1</v>
      </c>
      <c r="AB26" s="3015">
        <v>1</v>
      </c>
      <c r="AC26" s="3015">
        <v>1</v>
      </c>
    </row>
    <row r="27" spans="1:29" s="117" customFormat="1" ht="42.75">
      <c r="A27" s="648"/>
      <c r="B27" s="1380" t="s">
        <v>2646</v>
      </c>
      <c r="C27" s="260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v>3</v>
      </c>
      <c r="L27" s="1128"/>
      <c r="M27" s="1129"/>
      <c r="N27" s="1129"/>
      <c r="O27" s="1130"/>
      <c r="P27" s="3307"/>
      <c r="Q27" s="3008" t="str">
        <f t="shared" si="8"/>
        <v>公共配套设施</v>
      </c>
      <c r="R27" s="768" t="s">
        <v>17</v>
      </c>
      <c r="S27" s="769">
        <f>F27</f>
        <v>100</v>
      </c>
      <c r="T27" s="768" t="s">
        <v>17</v>
      </c>
      <c r="U27" s="769">
        <f>H27</f>
        <v>100</v>
      </c>
      <c r="V27" s="768" t="s">
        <v>17</v>
      </c>
      <c r="W27" s="769">
        <f>J27</f>
        <v>100</v>
      </c>
      <c r="X27" s="770"/>
      <c r="Y27" s="3307"/>
      <c r="Z27" s="3009" t="str">
        <f>Q27</f>
        <v>公共配套设施</v>
      </c>
      <c r="AA27" s="3015">
        <f>D27/F27</f>
        <v>1</v>
      </c>
      <c r="AB27" s="3015">
        <f>D27/H27</f>
        <v>1</v>
      </c>
      <c r="AC27" s="3015">
        <f>D27/J27</f>
        <v>1</v>
      </c>
    </row>
    <row r="28" spans="1:29" s="117" customFormat="1" ht="15">
      <c r="A28" s="648"/>
      <c r="B28" s="456"/>
      <c r="C28" s="2691" t="s">
        <v>3610</v>
      </c>
      <c r="D28" s="448"/>
      <c r="E28" s="2691" t="s">
        <v>3610</v>
      </c>
      <c r="F28" s="448"/>
      <c r="G28" s="2691" t="s">
        <v>3610</v>
      </c>
      <c r="H28" s="448"/>
      <c r="I28" s="2691" t="s">
        <v>3610</v>
      </c>
      <c r="J28" s="448"/>
      <c r="K28" s="671"/>
      <c r="L28" s="1128"/>
      <c r="M28" s="1129"/>
      <c r="N28" s="1129"/>
      <c r="O28" s="1130"/>
      <c r="P28" s="3307"/>
      <c r="Q28" s="3008"/>
      <c r="R28" s="768"/>
      <c r="S28" s="769"/>
      <c r="T28" s="768"/>
      <c r="U28" s="769"/>
      <c r="V28" s="768"/>
      <c r="W28" s="769"/>
      <c r="X28" s="770"/>
      <c r="Y28" s="3307"/>
      <c r="Z28" s="3009"/>
      <c r="AA28" s="3015">
        <v>1</v>
      </c>
      <c r="AB28" s="3015">
        <v>1</v>
      </c>
      <c r="AC28" s="3015">
        <v>1</v>
      </c>
    </row>
    <row r="29" spans="1:29" s="117" customFormat="1" ht="28.5">
      <c r="A29" s="648"/>
      <c r="B29" s="1380" t="s">
        <v>2647</v>
      </c>
      <c r="C29" s="260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28"/>
      <c r="M29" s="1129"/>
      <c r="N29" s="1129"/>
      <c r="O29" s="1130"/>
      <c r="P29" s="3307"/>
      <c r="Q29" s="3008" t="str">
        <f t="shared" ref="Q29" si="9">B29</f>
        <v>基础设施水平</v>
      </c>
      <c r="R29" s="768" t="s">
        <v>17</v>
      </c>
      <c r="S29" s="769">
        <f>F29</f>
        <v>100</v>
      </c>
      <c r="T29" s="768" t="s">
        <v>17</v>
      </c>
      <c r="U29" s="769">
        <f>H29</f>
        <v>100</v>
      </c>
      <c r="V29" s="768" t="s">
        <v>17</v>
      </c>
      <c r="W29" s="769">
        <f>J29</f>
        <v>100</v>
      </c>
      <c r="X29" s="770"/>
      <c r="Y29" s="3307"/>
      <c r="Z29" s="3009" t="str">
        <f>Q29</f>
        <v>基础设施水平</v>
      </c>
      <c r="AA29" s="3015">
        <f>D29/F29</f>
        <v>1</v>
      </c>
      <c r="AB29" s="3015">
        <f>D29/H29</f>
        <v>1</v>
      </c>
      <c r="AC29" s="3015">
        <f>D29/J29</f>
        <v>1</v>
      </c>
    </row>
    <row r="30" spans="1:29" s="117" customFormat="1" ht="15">
      <c r="A30" s="648"/>
      <c r="B30" s="456"/>
      <c r="C30" s="2691"/>
      <c r="D30" s="448"/>
      <c r="E30" s="2692"/>
      <c r="F30" s="448"/>
      <c r="G30" s="2692"/>
      <c r="H30" s="448"/>
      <c r="I30" s="2692"/>
      <c r="J30" s="448"/>
      <c r="K30" s="671"/>
      <c r="L30" s="1128"/>
      <c r="M30" s="1129"/>
      <c r="N30" s="1129"/>
      <c r="O30" s="1130"/>
      <c r="P30" s="3307"/>
      <c r="Q30" s="3008"/>
      <c r="R30" s="768"/>
      <c r="S30" s="769"/>
      <c r="T30" s="768"/>
      <c r="U30" s="769"/>
      <c r="V30" s="768"/>
      <c r="W30" s="769"/>
      <c r="X30" s="770"/>
      <c r="Y30" s="3307"/>
      <c r="Z30" s="3009"/>
      <c r="AA30" s="3015">
        <v>1</v>
      </c>
      <c r="AB30" s="3015">
        <v>1</v>
      </c>
      <c r="AC30" s="3015">
        <v>1</v>
      </c>
    </row>
    <row r="31" spans="1:29" ht="15">
      <c r="A31" s="428"/>
      <c r="B31" s="456" t="s">
        <v>2648</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6"/>
      <c r="M31" s="1127"/>
      <c r="N31" s="1127"/>
      <c r="O31" s="1135"/>
      <c r="P31" s="3307"/>
      <c r="Q31" s="3012" t="str">
        <f t="shared" si="8"/>
        <v>临街状况</v>
      </c>
      <c r="R31" s="772" t="s">
        <v>17</v>
      </c>
      <c r="S31" s="773">
        <f t="shared" ref="S31:S45" si="10">F31</f>
        <v>100</v>
      </c>
      <c r="T31" s="772" t="s">
        <v>17</v>
      </c>
      <c r="U31" s="773">
        <f t="shared" ref="U31:U45" si="11">H31</f>
        <v>100</v>
      </c>
      <c r="V31" s="772" t="s">
        <v>17</v>
      </c>
      <c r="W31" s="773">
        <f t="shared" ref="W31:W45" si="12">J31</f>
        <v>100</v>
      </c>
      <c r="X31" s="3011"/>
      <c r="Y31" s="3307"/>
      <c r="Z31" s="3013" t="str">
        <f t="shared" ref="Z31:Z45" si="13">Q31</f>
        <v>临街状况</v>
      </c>
      <c r="AA31" s="3015">
        <f t="shared" si="3"/>
        <v>1</v>
      </c>
      <c r="AB31" s="3015">
        <f t="shared" si="4"/>
        <v>1</v>
      </c>
      <c r="AC31" s="3015">
        <f t="shared" si="5"/>
        <v>1</v>
      </c>
    </row>
    <row r="32" spans="1:29" ht="27">
      <c r="A32" s="428"/>
      <c r="B32" s="1380"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6"/>
      <c r="M32" s="1127"/>
      <c r="N32" s="1127"/>
      <c r="O32" s="1135"/>
      <c r="P32" s="3307"/>
      <c r="Q32" s="3012" t="str">
        <f t="shared" si="8"/>
        <v>毗邻道路的类型与等级</v>
      </c>
      <c r="R32" s="772" t="s">
        <v>17</v>
      </c>
      <c r="S32" s="773">
        <f t="shared" si="10"/>
        <v>100</v>
      </c>
      <c r="T32" s="772" t="s">
        <v>17</v>
      </c>
      <c r="U32" s="773">
        <f t="shared" si="11"/>
        <v>100</v>
      </c>
      <c r="V32" s="772" t="s">
        <v>17</v>
      </c>
      <c r="W32" s="773">
        <f t="shared" si="12"/>
        <v>100</v>
      </c>
      <c r="X32" s="3011"/>
      <c r="Y32" s="3307"/>
      <c r="Z32" s="3013" t="str">
        <f t="shared" si="13"/>
        <v>毗邻道路的类型与等级</v>
      </c>
      <c r="AA32" s="3015">
        <f t="shared" si="3"/>
        <v>1</v>
      </c>
      <c r="AB32" s="3015">
        <f t="shared" si="4"/>
        <v>1</v>
      </c>
      <c r="AC32" s="3015">
        <f t="shared" si="5"/>
        <v>1</v>
      </c>
    </row>
    <row r="33" spans="1:29" ht="15">
      <c r="A33" s="428"/>
      <c r="B33" s="456"/>
      <c r="C33" s="447"/>
      <c r="D33" s="448"/>
      <c r="E33" s="2604"/>
      <c r="F33" s="448"/>
      <c r="G33" s="2604"/>
      <c r="H33" s="448"/>
      <c r="I33" s="447"/>
      <c r="J33" s="448"/>
      <c r="K33" s="613"/>
      <c r="L33" s="1136"/>
      <c r="M33" s="1127"/>
      <c r="N33" s="1127"/>
      <c r="O33" s="1135"/>
      <c r="P33" s="3307"/>
      <c r="Q33" s="3012"/>
      <c r="R33" s="772"/>
      <c r="S33" s="773"/>
      <c r="T33" s="772"/>
      <c r="U33" s="773"/>
      <c r="V33" s="772"/>
      <c r="W33" s="773"/>
      <c r="X33" s="3011"/>
      <c r="Y33" s="3307"/>
      <c r="Z33" s="3013"/>
      <c r="AA33" s="3015">
        <v>1</v>
      </c>
      <c r="AB33" s="3015">
        <v>1</v>
      </c>
      <c r="AC33" s="3015">
        <v>1</v>
      </c>
    </row>
    <row r="34" spans="1:29" ht="15">
      <c r="A34" s="428"/>
      <c r="B34" s="3010" t="s">
        <v>2742</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6"/>
      <c r="M34" s="1127"/>
      <c r="N34" s="1127"/>
      <c r="O34" s="1135"/>
      <c r="P34" s="3307"/>
      <c r="Q34" s="3012" t="str">
        <f t="shared" si="8"/>
        <v>土地级别</v>
      </c>
      <c r="R34" s="772" t="s">
        <v>17</v>
      </c>
      <c r="S34" s="773">
        <f t="shared" si="10"/>
        <v>100</v>
      </c>
      <c r="T34" s="772" t="s">
        <v>17</v>
      </c>
      <c r="U34" s="773">
        <f t="shared" si="11"/>
        <v>100</v>
      </c>
      <c r="V34" s="772" t="s">
        <v>17</v>
      </c>
      <c r="W34" s="773">
        <f t="shared" si="12"/>
        <v>100</v>
      </c>
      <c r="X34" s="3011"/>
      <c r="Y34" s="3307"/>
      <c r="Z34" s="3013" t="str">
        <f t="shared" si="13"/>
        <v>土地级别</v>
      </c>
      <c r="AA34" s="3015">
        <f t="shared" si="3"/>
        <v>1</v>
      </c>
      <c r="AB34" s="3015">
        <f t="shared" si="4"/>
        <v>1</v>
      </c>
      <c r="AC34" s="3015">
        <f t="shared" si="5"/>
        <v>1</v>
      </c>
    </row>
    <row r="35" spans="1:29" ht="15">
      <c r="A35" s="404"/>
      <c r="B35" s="1382"/>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6"/>
      <c r="M35" s="1127"/>
      <c r="N35" s="1127"/>
      <c r="O35" s="1135"/>
      <c r="P35" s="3307"/>
      <c r="Q35" s="3012">
        <f t="shared" si="8"/>
        <v>0</v>
      </c>
      <c r="R35" s="772" t="s">
        <v>17</v>
      </c>
      <c r="S35" s="773">
        <f t="shared" si="10"/>
        <v>100</v>
      </c>
      <c r="T35" s="772" t="s">
        <v>17</v>
      </c>
      <c r="U35" s="773">
        <f t="shared" si="11"/>
        <v>100</v>
      </c>
      <c r="V35" s="772" t="s">
        <v>17</v>
      </c>
      <c r="W35" s="773">
        <f t="shared" si="12"/>
        <v>100</v>
      </c>
      <c r="X35" s="3011"/>
      <c r="Y35" s="3307"/>
      <c r="Z35" s="3013">
        <f t="shared" si="13"/>
        <v>0</v>
      </c>
      <c r="AA35" s="3015">
        <f t="shared" si="3"/>
        <v>1</v>
      </c>
      <c r="AB35" s="3015">
        <f t="shared" si="4"/>
        <v>1</v>
      </c>
      <c r="AC35" s="3015">
        <f t="shared" si="5"/>
        <v>1</v>
      </c>
    </row>
    <row r="36" spans="1:29" ht="15">
      <c r="A36" s="674"/>
      <c r="B36" s="1383"/>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6"/>
      <c r="M36" s="1127"/>
      <c r="N36" s="1127"/>
      <c r="O36" s="1135"/>
      <c r="P36" s="3308" t="s">
        <v>2557</v>
      </c>
      <c r="Q36" s="3012">
        <f t="shared" si="8"/>
        <v>0</v>
      </c>
      <c r="R36" s="772" t="s">
        <v>17</v>
      </c>
      <c r="S36" s="773">
        <f t="shared" si="10"/>
        <v>100</v>
      </c>
      <c r="T36" s="772" t="s">
        <v>17</v>
      </c>
      <c r="U36" s="773">
        <f t="shared" si="11"/>
        <v>100</v>
      </c>
      <c r="V36" s="772" t="s">
        <v>17</v>
      </c>
      <c r="W36" s="773">
        <f t="shared" si="12"/>
        <v>100</v>
      </c>
      <c r="X36" s="3011"/>
      <c r="Y36" s="3309" t="s">
        <v>2557</v>
      </c>
      <c r="Z36" s="3013">
        <f t="shared" si="13"/>
        <v>0</v>
      </c>
      <c r="AA36" s="3015">
        <f t="shared" si="3"/>
        <v>1</v>
      </c>
      <c r="AB36" s="3015">
        <f t="shared" si="4"/>
        <v>1</v>
      </c>
      <c r="AC36" s="3015">
        <f t="shared" si="5"/>
        <v>1</v>
      </c>
    </row>
    <row r="37" spans="1:29" s="471" customFormat="1" ht="15.75" thickBot="1">
      <c r="A37" s="675"/>
      <c r="B37" s="1384"/>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4"/>
      <c r="M37" s="1137"/>
      <c r="N37" s="1137"/>
      <c r="O37" s="1138"/>
      <c r="P37" s="3309"/>
      <c r="Q37" s="3012">
        <f t="shared" si="8"/>
        <v>0</v>
      </c>
      <c r="R37" s="775" t="s">
        <v>17</v>
      </c>
      <c r="S37" s="776">
        <f t="shared" si="10"/>
        <v>100</v>
      </c>
      <c r="T37" s="775" t="s">
        <v>17</v>
      </c>
      <c r="U37" s="776">
        <f t="shared" si="11"/>
        <v>100</v>
      </c>
      <c r="V37" s="775" t="s">
        <v>17</v>
      </c>
      <c r="W37" s="776">
        <f t="shared" si="12"/>
        <v>100</v>
      </c>
      <c r="X37" s="777"/>
      <c r="Y37" s="3309"/>
      <c r="Z37" s="778">
        <f t="shared" si="13"/>
        <v>0</v>
      </c>
      <c r="AA37" s="3015">
        <f t="shared" si="3"/>
        <v>1</v>
      </c>
      <c r="AB37" s="3015">
        <f t="shared" si="4"/>
        <v>1</v>
      </c>
      <c r="AC37" s="3015">
        <f t="shared" si="5"/>
        <v>1</v>
      </c>
    </row>
    <row r="38" spans="1:29" ht="15">
      <c r="A38" s="472" t="s">
        <v>2555</v>
      </c>
      <c r="B38" s="456" t="s">
        <v>2743</v>
      </c>
      <c r="C38" s="678">
        <f>'数据-汇总表'!D3</f>
        <v>25136</v>
      </c>
      <c r="D38" s="467">
        <v>100</v>
      </c>
      <c r="E38" s="678">
        <f>'2017年所用商业案例'!I9</f>
        <v>9972</v>
      </c>
      <c r="F38" s="467">
        <f>LOOKUP(E38,117:117,118:118)-LOOKUP(C38,117:117,118:118)+100</f>
        <v>100</v>
      </c>
      <c r="G38" s="678">
        <f>'2017年所用商业案例'!I16</f>
        <v>7768</v>
      </c>
      <c r="H38" s="467">
        <f>LOOKUP(G38,117:117,118:118)-LOOKUP(C38,117:117,118:118)+100</f>
        <v>100</v>
      </c>
      <c r="I38" s="530">
        <f>'2017年所用商业案例'!I19</f>
        <v>15277</v>
      </c>
      <c r="J38" s="467">
        <f>LOOKUP(I38,117:117,118:118)-LOOKUP(C38,117:117,118:118)+100</f>
        <v>100</v>
      </c>
      <c r="K38" s="613"/>
      <c r="L38" s="1136"/>
      <c r="M38" s="1127"/>
      <c r="N38" s="1127"/>
      <c r="O38" s="1135"/>
      <c r="P38" s="3309"/>
      <c r="Q38" s="3012" t="str">
        <f>B38</f>
        <v>宗地面积</v>
      </c>
      <c r="R38" s="772" t="s">
        <v>17</v>
      </c>
      <c r="S38" s="773">
        <f t="shared" si="10"/>
        <v>100</v>
      </c>
      <c r="T38" s="772" t="s">
        <v>17</v>
      </c>
      <c r="U38" s="773">
        <f t="shared" si="11"/>
        <v>100</v>
      </c>
      <c r="V38" s="772" t="s">
        <v>17</v>
      </c>
      <c r="W38" s="773">
        <f t="shared" si="12"/>
        <v>100</v>
      </c>
      <c r="X38" s="3011"/>
      <c r="Y38" s="3309"/>
      <c r="Z38" s="3013" t="str">
        <f t="shared" si="13"/>
        <v>宗地面积</v>
      </c>
      <c r="AA38" s="3015">
        <f t="shared" si="3"/>
        <v>1</v>
      </c>
      <c r="AB38" s="3015">
        <f t="shared" si="4"/>
        <v>1</v>
      </c>
      <c r="AC38" s="3015">
        <f t="shared" si="5"/>
        <v>1</v>
      </c>
    </row>
    <row r="39" spans="1:29" ht="15">
      <c r="A39" s="472"/>
      <c r="B39" s="3010" t="s">
        <v>2744</v>
      </c>
      <c r="C39" s="2606" t="s">
        <v>4072</v>
      </c>
      <c r="D39" s="435">
        <v>100</v>
      </c>
      <c r="E39" s="2606" t="s">
        <v>4072</v>
      </c>
      <c r="F39" s="435">
        <f>SUMIF(119:119,E39,120:120)-SUMIF(119:119,C39,120:120)+100</f>
        <v>100</v>
      </c>
      <c r="G39" s="2606" t="s">
        <v>4072</v>
      </c>
      <c r="H39" s="435">
        <f>SUMIF(119:119,G39,120:120)-SUMIF(119:119,C39,120:120)+100</f>
        <v>100</v>
      </c>
      <c r="I39" s="2606" t="s">
        <v>4072</v>
      </c>
      <c r="J39" s="435">
        <f>SUMIF(119:119,I39,120:120)-SUMIF(119:119,C39,120:120)+100</f>
        <v>100</v>
      </c>
      <c r="K39" s="612">
        <v>2</v>
      </c>
      <c r="L39" s="1136"/>
      <c r="M39" s="1127"/>
      <c r="N39" s="1127"/>
      <c r="O39" s="1135"/>
      <c r="P39" s="3309"/>
      <c r="Q39" s="3012" t="str">
        <f t="shared" ref="Q39:Q45" si="14">B39</f>
        <v>宗地形状</v>
      </c>
      <c r="R39" s="772" t="s">
        <v>17</v>
      </c>
      <c r="S39" s="773">
        <f t="shared" si="10"/>
        <v>100</v>
      </c>
      <c r="T39" s="772" t="s">
        <v>17</v>
      </c>
      <c r="U39" s="773">
        <f t="shared" si="11"/>
        <v>100</v>
      </c>
      <c r="V39" s="772" t="s">
        <v>17</v>
      </c>
      <c r="W39" s="773">
        <f t="shared" si="12"/>
        <v>100</v>
      </c>
      <c r="X39" s="3011"/>
      <c r="Y39" s="3309"/>
      <c r="Z39" s="3013" t="str">
        <f t="shared" si="13"/>
        <v>宗地形状</v>
      </c>
      <c r="AA39" s="3015">
        <f t="shared" si="3"/>
        <v>1</v>
      </c>
      <c r="AB39" s="3015">
        <f t="shared" si="4"/>
        <v>1</v>
      </c>
      <c r="AC39" s="3015">
        <f t="shared" si="5"/>
        <v>1</v>
      </c>
    </row>
    <row r="40" spans="1:29" ht="15">
      <c r="A40" s="472"/>
      <c r="B40" s="3010" t="s">
        <v>2745</v>
      </c>
      <c r="C40" s="2606" t="s">
        <v>4074</v>
      </c>
      <c r="D40" s="435">
        <v>100</v>
      </c>
      <c r="E40" s="2606" t="s">
        <v>4074</v>
      </c>
      <c r="F40" s="435">
        <f>SUMIF(121:121,E40,122:122)-SUMIF(121:121,C40,122:122)+100</f>
        <v>100</v>
      </c>
      <c r="G40" s="2606" t="s">
        <v>4074</v>
      </c>
      <c r="H40" s="435">
        <f>SUMIF(121:121,G40,122:122)-SUMIF(121:121,C40,122:122)+100</f>
        <v>100</v>
      </c>
      <c r="I40" s="2606" t="s">
        <v>4074</v>
      </c>
      <c r="J40" s="435">
        <f>SUMIF(121:121,I40,122:122)-SUMIF(121:121,C40,122:122)+100</f>
        <v>100</v>
      </c>
      <c r="K40" s="612">
        <v>2</v>
      </c>
      <c r="L40" s="1136"/>
      <c r="M40" s="1127"/>
      <c r="N40" s="1127"/>
      <c r="O40" s="1135"/>
      <c r="P40" s="3309"/>
      <c r="Q40" s="3012" t="str">
        <f t="shared" si="14"/>
        <v>临街宽度及深度</v>
      </c>
      <c r="R40" s="772" t="s">
        <v>17</v>
      </c>
      <c r="S40" s="773">
        <f t="shared" si="10"/>
        <v>100</v>
      </c>
      <c r="T40" s="772" t="s">
        <v>17</v>
      </c>
      <c r="U40" s="773">
        <f t="shared" si="11"/>
        <v>100</v>
      </c>
      <c r="V40" s="772" t="s">
        <v>17</v>
      </c>
      <c r="W40" s="773">
        <f t="shared" si="12"/>
        <v>100</v>
      </c>
      <c r="X40" s="3011"/>
      <c r="Y40" s="3309"/>
      <c r="Z40" s="3013" t="str">
        <f t="shared" si="13"/>
        <v>临街宽度及深度</v>
      </c>
      <c r="AA40" s="3015">
        <f t="shared" si="3"/>
        <v>1</v>
      </c>
      <c r="AB40" s="3015">
        <f t="shared" si="4"/>
        <v>1</v>
      </c>
      <c r="AC40" s="3015">
        <f t="shared" si="5"/>
        <v>1</v>
      </c>
    </row>
    <row r="41" spans="1:29" s="117" customFormat="1" ht="15">
      <c r="A41" s="473"/>
      <c r="B41" s="3010" t="s">
        <v>2746</v>
      </c>
      <c r="C41" s="2693" t="s">
        <v>4076</v>
      </c>
      <c r="D41" s="136">
        <v>100</v>
      </c>
      <c r="E41" s="2693" t="s">
        <v>4076</v>
      </c>
      <c r="F41" s="435">
        <f>SUMIF(123:123,E41,124:124)-SUMIF(123:123,C41,124:124)+100</f>
        <v>100</v>
      </c>
      <c r="G41" s="2693" t="s">
        <v>4076</v>
      </c>
      <c r="H41" s="435">
        <f>SUMIF(123:123,G41,124:124)-SUMIF(123:123,C41,124:124)+100</f>
        <v>100</v>
      </c>
      <c r="I41" s="2693" t="s">
        <v>4076</v>
      </c>
      <c r="J41" s="435">
        <f>SUMIF(123:123,I41,124:124)-SUMIF(123:123,C41,124:124)+100</f>
        <v>100</v>
      </c>
      <c r="K41" s="612">
        <v>2</v>
      </c>
      <c r="L41" s="1128"/>
      <c r="M41" s="1129"/>
      <c r="N41" s="1129"/>
      <c r="O41" s="1130"/>
      <c r="P41" s="3309"/>
      <c r="Q41" s="3012" t="str">
        <f t="shared" si="14"/>
        <v>宗地开发程度</v>
      </c>
      <c r="R41" s="768" t="s">
        <v>17</v>
      </c>
      <c r="S41" s="769">
        <f t="shared" si="10"/>
        <v>100</v>
      </c>
      <c r="T41" s="768" t="s">
        <v>17</v>
      </c>
      <c r="U41" s="769">
        <f t="shared" si="11"/>
        <v>100</v>
      </c>
      <c r="V41" s="768" t="s">
        <v>17</v>
      </c>
      <c r="W41" s="769">
        <f t="shared" si="12"/>
        <v>100</v>
      </c>
      <c r="X41" s="770"/>
      <c r="Y41" s="3309"/>
      <c r="Z41" s="3009" t="str">
        <f t="shared" si="13"/>
        <v>宗地开发程度</v>
      </c>
      <c r="AA41" s="771">
        <f t="shared" si="3"/>
        <v>1</v>
      </c>
      <c r="AB41" s="771">
        <f t="shared" si="4"/>
        <v>1</v>
      </c>
      <c r="AC41" s="771">
        <f t="shared" si="5"/>
        <v>1</v>
      </c>
    </row>
    <row r="42" spans="1:29" ht="15">
      <c r="A42" s="472"/>
      <c r="B42" s="3010" t="s">
        <v>2747</v>
      </c>
      <c r="C42" s="2606" t="s">
        <v>4079</v>
      </c>
      <c r="D42" s="435">
        <v>100</v>
      </c>
      <c r="E42" s="2606" t="s">
        <v>4079</v>
      </c>
      <c r="F42" s="435">
        <f>SUMIF(125:125,E42,126:126)-SUMIF(125:125,C42,126:126)+100</f>
        <v>100</v>
      </c>
      <c r="G42" s="2606" t="s">
        <v>4079</v>
      </c>
      <c r="H42" s="435">
        <f>SUMIF(125:125,G42,126:126)-SUMIF(125:125,C42,126:126)+100</f>
        <v>100</v>
      </c>
      <c r="I42" s="2606" t="s">
        <v>4079</v>
      </c>
      <c r="J42" s="435">
        <f>SUMIF(125:125,I42,126:126)-SUMIF(125:125,C42,126:126)+100</f>
        <v>100</v>
      </c>
      <c r="K42" s="612">
        <v>2</v>
      </c>
      <c r="L42" s="1136"/>
      <c r="M42" s="1127"/>
      <c r="N42" s="1127"/>
      <c r="O42" s="1135"/>
      <c r="P42" s="3309" t="s">
        <v>2557</v>
      </c>
      <c r="Q42" s="3012" t="str">
        <f t="shared" si="14"/>
        <v>工程地质条件</v>
      </c>
      <c r="R42" s="772" t="s">
        <v>17</v>
      </c>
      <c r="S42" s="773">
        <f t="shared" si="10"/>
        <v>100</v>
      </c>
      <c r="T42" s="772" t="s">
        <v>17</v>
      </c>
      <c r="U42" s="773">
        <f t="shared" si="11"/>
        <v>100</v>
      </c>
      <c r="V42" s="772" t="s">
        <v>17</v>
      </c>
      <c r="W42" s="773">
        <f t="shared" si="12"/>
        <v>100</v>
      </c>
      <c r="X42" s="3011"/>
      <c r="Y42" s="3309" t="s">
        <v>2557</v>
      </c>
      <c r="Z42" s="3013" t="str">
        <f t="shared" si="13"/>
        <v>工程地质条件</v>
      </c>
      <c r="AA42" s="3015">
        <f t="shared" si="3"/>
        <v>1</v>
      </c>
      <c r="AB42" s="3015">
        <f t="shared" si="4"/>
        <v>1</v>
      </c>
      <c r="AC42" s="3015">
        <f t="shared" si="5"/>
        <v>1</v>
      </c>
    </row>
    <row r="43" spans="1:29" ht="15">
      <c r="A43" s="472"/>
      <c r="B43" s="1383"/>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6"/>
      <c r="M43" s="1127"/>
      <c r="N43" s="1127"/>
      <c r="O43" s="1135"/>
      <c r="P43" s="3309"/>
      <c r="Q43" s="3012">
        <f t="shared" si="14"/>
        <v>0</v>
      </c>
      <c r="R43" s="772" t="s">
        <v>17</v>
      </c>
      <c r="S43" s="773">
        <f t="shared" si="10"/>
        <v>100</v>
      </c>
      <c r="T43" s="772" t="s">
        <v>17</v>
      </c>
      <c r="U43" s="773">
        <f t="shared" si="11"/>
        <v>100</v>
      </c>
      <c r="V43" s="772" t="s">
        <v>17</v>
      </c>
      <c r="W43" s="773">
        <f t="shared" si="12"/>
        <v>100</v>
      </c>
      <c r="X43" s="3011"/>
      <c r="Y43" s="3309"/>
      <c r="Z43" s="3013">
        <f t="shared" si="13"/>
        <v>0</v>
      </c>
      <c r="AA43" s="3015">
        <f t="shared" si="3"/>
        <v>1</v>
      </c>
      <c r="AB43" s="3015">
        <f t="shared" si="4"/>
        <v>1</v>
      </c>
      <c r="AC43" s="3015">
        <f t="shared" si="5"/>
        <v>1</v>
      </c>
    </row>
    <row r="44" spans="1:29" ht="15">
      <c r="A44" s="472"/>
      <c r="B44" s="1383"/>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6"/>
      <c r="M44" s="1127"/>
      <c r="N44" s="1127"/>
      <c r="O44" s="1135"/>
      <c r="P44" s="3309"/>
      <c r="Q44" s="3012">
        <f t="shared" si="14"/>
        <v>0</v>
      </c>
      <c r="R44" s="772" t="s">
        <v>17</v>
      </c>
      <c r="S44" s="773">
        <f t="shared" si="10"/>
        <v>100</v>
      </c>
      <c r="T44" s="772" t="s">
        <v>17</v>
      </c>
      <c r="U44" s="773">
        <f t="shared" si="11"/>
        <v>100</v>
      </c>
      <c r="V44" s="772" t="s">
        <v>17</v>
      </c>
      <c r="W44" s="773">
        <f t="shared" si="12"/>
        <v>100</v>
      </c>
      <c r="X44" s="3011"/>
      <c r="Y44" s="3309"/>
      <c r="Z44" s="3013">
        <f t="shared" si="13"/>
        <v>0</v>
      </c>
      <c r="AA44" s="3015">
        <f t="shared" si="3"/>
        <v>1</v>
      </c>
      <c r="AB44" s="3015">
        <f t="shared" si="4"/>
        <v>1</v>
      </c>
      <c r="AC44" s="3015">
        <f t="shared" si="5"/>
        <v>1</v>
      </c>
    </row>
    <row r="45" spans="1:29" s="471" customFormat="1" ht="15.75" thickBot="1">
      <c r="A45" s="468"/>
      <c r="B45" s="1383"/>
      <c r="C45" s="2694"/>
      <c r="D45" s="679">
        <v>100</v>
      </c>
      <c r="E45" s="673"/>
      <c r="F45" s="438">
        <f>SUMIF(131:131,E45,132:132)-SUMIF(131:131,C45,132:132)+100</f>
        <v>100</v>
      </c>
      <c r="G45" s="673"/>
      <c r="H45" s="438">
        <f>SUMIF(131:131,G45,132:132)-SUMIF(131:131,C45,132:132)+100</f>
        <v>100</v>
      </c>
      <c r="I45" s="673"/>
      <c r="J45" s="438">
        <f>SUMIF(131:131,I45,132:132)-SUMIF(131:131,C45,132:132)+100</f>
        <v>100</v>
      </c>
      <c r="K45" s="680"/>
      <c r="L45" s="1134"/>
      <c r="M45" s="1137"/>
      <c r="N45" s="1137"/>
      <c r="O45" s="1138"/>
      <c r="P45" s="3309"/>
      <c r="Q45" s="3012">
        <f t="shared" si="14"/>
        <v>0</v>
      </c>
      <c r="R45" s="775" t="s">
        <v>17</v>
      </c>
      <c r="S45" s="776">
        <f t="shared" si="10"/>
        <v>100</v>
      </c>
      <c r="T45" s="775" t="s">
        <v>17</v>
      </c>
      <c r="U45" s="776">
        <f t="shared" si="11"/>
        <v>100</v>
      </c>
      <c r="V45" s="775" t="s">
        <v>17</v>
      </c>
      <c r="W45" s="776">
        <f t="shared" si="12"/>
        <v>100</v>
      </c>
      <c r="X45" s="777"/>
      <c r="Y45" s="3309"/>
      <c r="Z45" s="778">
        <f t="shared" si="13"/>
        <v>0</v>
      </c>
      <c r="AA45" s="3015">
        <f t="shared" si="3"/>
        <v>1</v>
      </c>
      <c r="AB45" s="3015">
        <f t="shared" si="4"/>
        <v>1</v>
      </c>
      <c r="AC45" s="3015">
        <f t="shared" si="5"/>
        <v>1</v>
      </c>
    </row>
    <row r="46" spans="1:29" ht="15">
      <c r="A46" s="479" t="s">
        <v>2712</v>
      </c>
      <c r="B46" s="2695" t="s">
        <v>2748</v>
      </c>
      <c r="C46" s="681" t="s">
        <v>1</v>
      </c>
      <c r="D46" s="481"/>
      <c r="E46" s="482">
        <v>7029</v>
      </c>
      <c r="F46" s="483"/>
      <c r="G46" s="482">
        <v>8269</v>
      </c>
      <c r="H46" s="485"/>
      <c r="I46" s="482">
        <v>8899</v>
      </c>
      <c r="J46" s="485"/>
      <c r="K46" s="781"/>
      <c r="L46" s="1139"/>
      <c r="M46" s="1140"/>
      <c r="N46" s="1127"/>
      <c r="O46" s="1140"/>
      <c r="P46" s="3291" t="str">
        <f>A46</f>
        <v>成交单价</v>
      </c>
      <c r="Q46" s="3291"/>
      <c r="R46" s="3304">
        <f>E46</f>
        <v>7029</v>
      </c>
      <c r="S46" s="3304"/>
      <c r="T46" s="3304">
        <f>G46</f>
        <v>8269</v>
      </c>
      <c r="U46" s="3304"/>
      <c r="V46" s="3304">
        <f>I46</f>
        <v>8899</v>
      </c>
      <c r="W46" s="3304"/>
      <c r="X46" s="757"/>
      <c r="Y46" s="779"/>
      <c r="Z46" s="757"/>
      <c r="AA46" s="757"/>
      <c r="AB46" s="757"/>
      <c r="AC46" s="757"/>
    </row>
    <row r="47" spans="1:29" ht="15.75" thickBot="1">
      <c r="A47" s="486" t="s">
        <v>2570</v>
      </c>
      <c r="B47" s="682"/>
      <c r="C47" s="490">
        <f>R48</f>
        <v>8687</v>
      </c>
      <c r="D47" s="489"/>
      <c r="E47" s="490">
        <f>R47</f>
        <v>7120</v>
      </c>
      <c r="F47" s="491"/>
      <c r="G47" s="488">
        <f>T47</f>
        <v>8944</v>
      </c>
      <c r="H47" s="489"/>
      <c r="I47" s="490">
        <f>V47</f>
        <v>9996</v>
      </c>
      <c r="J47" s="489"/>
      <c r="K47" s="782"/>
      <c r="L47" s="1139"/>
      <c r="M47" s="1140"/>
      <c r="N47" s="1140"/>
      <c r="O47" s="1140"/>
      <c r="P47" s="3291" t="str">
        <f>A47</f>
        <v>比较价值（元/平方米）</v>
      </c>
      <c r="Q47" s="3291"/>
      <c r="R47" s="3310">
        <f>ROUND(PRODUCT(R46,AA7:AA45),0)</f>
        <v>7120</v>
      </c>
      <c r="S47" s="3310"/>
      <c r="T47" s="3310">
        <f>ROUND(PRODUCT(T46,AB7:AB45),0)</f>
        <v>8944</v>
      </c>
      <c r="U47" s="3310"/>
      <c r="V47" s="3310">
        <f>ROUND(PRODUCT(V46,AC7:AC45),0)</f>
        <v>9996</v>
      </c>
      <c r="W47" s="3310"/>
      <c r="X47" s="757"/>
      <c r="Y47" s="757"/>
      <c r="Z47" s="757"/>
      <c r="AA47" s="757"/>
      <c r="AB47" s="757"/>
      <c r="AC47" s="757"/>
    </row>
    <row r="48" spans="1:29" ht="15.75" thickBot="1">
      <c r="A48" s="492" t="s">
        <v>2749</v>
      </c>
      <c r="B48" s="493"/>
      <c r="C48" s="494">
        <f>R48</f>
        <v>8687</v>
      </c>
      <c r="D48" s="494"/>
      <c r="E48" s="494"/>
      <c r="F48" s="494"/>
      <c r="G48" s="494"/>
      <c r="H48" s="494"/>
      <c r="I48" s="494"/>
      <c r="J48" s="494"/>
      <c r="K48" s="783"/>
      <c r="L48" s="1139"/>
      <c r="M48" s="1140"/>
      <c r="N48" s="1140"/>
      <c r="O48" s="1140"/>
      <c r="P48" s="3311" t="str">
        <f>A48</f>
        <v>估价对象XX用房的比较价值（楼面单价，元/平方米）</v>
      </c>
      <c r="Q48" s="3312"/>
      <c r="R48" s="3313">
        <f>ROUND(AVERAGE(R47:V47),0)</f>
        <v>8687</v>
      </c>
      <c r="S48" s="3313"/>
      <c r="T48" s="3313"/>
      <c r="U48" s="3313"/>
      <c r="V48" s="3313"/>
      <c r="W48" s="3313"/>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2572</v>
      </c>
      <c r="D51" s="498"/>
      <c r="E51" s="499">
        <f>IF(E46&lt;E47,E47/E46-1,E46/E47-1)</f>
        <v>1.2946365059041121E-2</v>
      </c>
      <c r="F51" s="500" t="str">
        <f>IF(OR(E51&gt;=0.3,E51&lt;=-0.3),"超过30%","")</f>
        <v/>
      </c>
      <c r="G51" s="499">
        <f>IF(G46&lt;G47,G47/G46-1,G46/G47-1)</f>
        <v>8.1630185028419344E-2</v>
      </c>
      <c r="H51" s="500" t="str">
        <f>IF(OR(G51&gt;=0.3,G51&lt;=-0.3),"超过30%","")</f>
        <v/>
      </c>
      <c r="I51" s="499">
        <f>IF(I46&lt;I47,I47/I46-1,I46/I47-1)</f>
        <v>0.12327227778402072</v>
      </c>
      <c r="J51" s="500" t="str">
        <f>IF(OR(I51&gt;=0.3,I51&lt;=-0.3),"超过30%","")</f>
        <v/>
      </c>
      <c r="K51" s="1101"/>
      <c r="L51" s="1102"/>
      <c r="M51" s="1140"/>
      <c r="N51" s="1140"/>
      <c r="O51" s="1140"/>
    </row>
    <row r="52" spans="1:15" ht="13.5" customHeight="1">
      <c r="A52" s="1140"/>
      <c r="B52" s="1140"/>
      <c r="C52" s="497" t="s">
        <v>2573</v>
      </c>
      <c r="D52" s="501"/>
      <c r="E52" s="499">
        <f>IF(E47&lt;G47,G47/E47-1,E47/G47-1)</f>
        <v>0.25617977528089897</v>
      </c>
      <c r="F52" s="500" t="str">
        <f>IF(OR(E52&gt;=0.2,E52&lt;=-0.2),"超过20%","")</f>
        <v>超过20%</v>
      </c>
      <c r="G52" s="499">
        <f>IF(G47&lt;I47,I47/G47-1,G47/I47-1)</f>
        <v>0.1176207513416816</v>
      </c>
      <c r="H52" s="500" t="str">
        <f>IF(OR(G52&gt;=0.2,G52&lt;=-0.2),"超过20%","")</f>
        <v/>
      </c>
      <c r="I52" s="499">
        <f>IF(I47&lt;E47,E47/I47-1,I47/E47-1)</f>
        <v>0.40393258426966283</v>
      </c>
      <c r="J52" s="500" t="str">
        <f>IF(OR(I52&gt;=0.2,I52&lt;=-0.2),"超过20%","")</f>
        <v>超过20%</v>
      </c>
      <c r="K52" s="1101"/>
      <c r="L52" s="1102"/>
      <c r="M52" s="1140"/>
      <c r="N52" s="1140"/>
      <c r="O52" s="1140"/>
    </row>
    <row r="53" spans="1:15" s="502" customFormat="1" ht="13.5" customHeight="1">
      <c r="A53" s="1141"/>
      <c r="B53" s="1141"/>
      <c r="C53" s="497" t="s">
        <v>2574</v>
      </c>
      <c r="D53" s="501"/>
      <c r="E53" s="499">
        <f>IF(E46&lt;G46,G46/E46-1,E46/G46-1)</f>
        <v>0.17641200739792295</v>
      </c>
      <c r="F53" s="500" t="str">
        <f>IF(OR(E53&gt;=0.3,E53&lt;=-0.3),"超过30%","")</f>
        <v/>
      </c>
      <c r="G53" s="499">
        <f>IF(G46&lt;I46,I46/G46-1,G46/I46-1)</f>
        <v>7.6188172693191447E-2</v>
      </c>
      <c r="H53" s="500" t="str">
        <f>IF(OR(G53&gt;=0.3,G53&lt;=-0.3),"超过30%","")</f>
        <v/>
      </c>
      <c r="I53" s="499">
        <f>IF(I46&lt;E46,E46/I46-1,I46/E46-1)</f>
        <v>0.26604068857589991</v>
      </c>
      <c r="J53" s="500" t="str">
        <f>IF(OR(I53&gt;=0.3,I53&lt;=-0.3),"超过30%","")</f>
        <v/>
      </c>
      <c r="K53" s="1144"/>
      <c r="L53" s="1145"/>
      <c r="M53" s="1141"/>
      <c r="N53" s="1141"/>
      <c r="O53" s="1141"/>
    </row>
    <row r="54" spans="1:15" s="502" customFormat="1" ht="15" thickBot="1">
      <c r="A54" s="1141"/>
      <c r="B54" s="1142"/>
      <c r="C54" s="760"/>
      <c r="D54" s="758"/>
      <c r="E54" s="758"/>
      <c r="F54" s="758"/>
      <c r="G54" s="758"/>
      <c r="H54" s="758"/>
      <c r="I54" s="758"/>
      <c r="J54" s="758"/>
      <c r="K54" s="1144"/>
      <c r="L54" s="1145"/>
      <c r="M54" s="1141"/>
      <c r="N54" s="1141"/>
      <c r="O54" s="1141"/>
    </row>
    <row r="55" spans="1:15" ht="27" customHeight="1">
      <c r="A55" s="683" t="s">
        <v>2750</v>
      </c>
      <c r="B55" s="684" t="s">
        <v>2751</v>
      </c>
      <c r="C55" s="2696" t="s">
        <v>3608</v>
      </c>
      <c r="D55" s="2697" t="s">
        <v>2753</v>
      </c>
      <c r="E55" s="3016" t="s">
        <v>2754</v>
      </c>
      <c r="F55" s="1103" t="s">
        <v>2755</v>
      </c>
      <c r="G55" s="3292" t="s">
        <v>2756</v>
      </c>
      <c r="H55" s="3314"/>
      <c r="I55" s="144" t="s">
        <v>2757</v>
      </c>
      <c r="J55" s="2698">
        <f>项目基本情况!F35</f>
        <v>0</v>
      </c>
      <c r="K55" s="2699" t="s">
        <v>2758</v>
      </c>
      <c r="L55" s="1102"/>
      <c r="M55" s="1140"/>
      <c r="N55" s="1140"/>
      <c r="O55" s="1140"/>
    </row>
    <row r="56" spans="1:15" s="691" customFormat="1">
      <c r="A56" s="687" t="s">
        <v>2759</v>
      </c>
      <c r="B56" s="688">
        <f>C48</f>
        <v>8687</v>
      </c>
      <c r="C56" s="689">
        <v>1</v>
      </c>
      <c r="D56" s="1159">
        <v>1</v>
      </c>
      <c r="E56" s="689">
        <f>'数据-汇总表'!E8+'数据-汇总表'!E9</f>
        <v>218042.81</v>
      </c>
      <c r="F56" s="1099">
        <f t="shared" ref="F56:F65" si="15">ROUND(B56*E56/10000,0)</f>
        <v>189414</v>
      </c>
      <c r="G56" s="3315"/>
      <c r="H56" s="3291"/>
      <c r="I56" s="1104">
        <v>1</v>
      </c>
      <c r="J56" s="1107">
        <v>1</v>
      </c>
      <c r="K56" s="1141"/>
      <c r="L56" s="937"/>
      <c r="M56" s="937"/>
      <c r="N56" s="937"/>
      <c r="O56" s="937"/>
    </row>
    <row r="57" spans="1:15" s="691" customFormat="1">
      <c r="A57" s="692" t="s">
        <v>2760</v>
      </c>
      <c r="B57" s="262">
        <f>ROUND($C$48*C57*D57,0)</f>
        <v>6081</v>
      </c>
      <c r="C57" s="200">
        <f t="shared" ref="C57:C65" si="16">IF($C$55="北京市系数",I57,J57)</f>
        <v>0.7</v>
      </c>
      <c r="D57" s="1160">
        <v>1</v>
      </c>
      <c r="E57" s="693">
        <f>抵押物汇总表!H51</f>
        <v>17319.87</v>
      </c>
      <c r="F57" s="1099">
        <f t="shared" si="15"/>
        <v>10532</v>
      </c>
      <c r="G57" s="3316" t="s">
        <v>2761</v>
      </c>
      <c r="H57" s="1100">
        <f>项目基本情况!B37</f>
        <v>0</v>
      </c>
      <c r="I57" s="1104">
        <f>SUMIF(修正!A45:A56,H57,修正!B45:B56)</f>
        <v>0</v>
      </c>
      <c r="J57" s="1108">
        <v>0.7</v>
      </c>
      <c r="K57" s="1140"/>
      <c r="L57" s="937"/>
      <c r="M57" s="937"/>
      <c r="N57" s="937"/>
      <c r="O57" s="937"/>
    </row>
    <row r="58" spans="1:15" s="691" customFormat="1">
      <c r="A58" s="692" t="s">
        <v>2762</v>
      </c>
      <c r="B58" s="262">
        <f t="shared" ref="B58:B65" si="17">ROUND($C$48*C58*D58,0)</f>
        <v>3909</v>
      </c>
      <c r="C58" s="200">
        <f t="shared" si="16"/>
        <v>0.45</v>
      </c>
      <c r="D58" s="1160">
        <v>1</v>
      </c>
      <c r="E58" s="693">
        <f>抵押物汇总表!I51</f>
        <v>15298.45</v>
      </c>
      <c r="F58" s="1099">
        <f t="shared" si="15"/>
        <v>5980</v>
      </c>
      <c r="G58" s="3316"/>
      <c r="H58" s="1100">
        <f>项目基本情况!B37</f>
        <v>0</v>
      </c>
      <c r="I58" s="1104">
        <f>SUMIF(修正!A45:A56,H58,修正!C45:C56)</f>
        <v>0</v>
      </c>
      <c r="J58" s="1108">
        <v>0.45</v>
      </c>
      <c r="K58" s="1141"/>
      <c r="L58" s="937"/>
      <c r="M58" s="937"/>
      <c r="N58" s="937"/>
      <c r="O58" s="937"/>
    </row>
    <row r="59" spans="1:15" s="691" customFormat="1">
      <c r="A59" s="692" t="s">
        <v>2763</v>
      </c>
      <c r="B59" s="262">
        <f t="shared" si="17"/>
        <v>0</v>
      </c>
      <c r="C59" s="200">
        <f t="shared" si="16"/>
        <v>0</v>
      </c>
      <c r="D59" s="1160">
        <v>0.25</v>
      </c>
      <c r="E59" s="693"/>
      <c r="F59" s="1099">
        <f t="shared" si="15"/>
        <v>0</v>
      </c>
      <c r="G59" s="3316"/>
      <c r="H59" s="1100">
        <f>项目基本情况!B37</f>
        <v>0</v>
      </c>
      <c r="I59" s="1104">
        <f>SUMIF(修正!A45:A56,H59,修正!D45:D56)</f>
        <v>0</v>
      </c>
      <c r="J59" s="1108"/>
      <c r="K59" s="1140"/>
      <c r="L59" s="937"/>
      <c r="M59" s="937"/>
      <c r="N59" s="937"/>
      <c r="O59" s="937"/>
    </row>
    <row r="60" spans="1:15" s="691" customFormat="1">
      <c r="A60" s="692" t="s">
        <v>2764</v>
      </c>
      <c r="B60" s="262">
        <f t="shared" si="17"/>
        <v>8687</v>
      </c>
      <c r="C60" s="200">
        <f t="shared" si="16"/>
        <v>1</v>
      </c>
      <c r="D60" s="1160">
        <v>1</v>
      </c>
      <c r="E60" s="693">
        <f>'数据-汇总表'!F20+'数据-汇总表'!F21</f>
        <v>126442.81</v>
      </c>
      <c r="F60" s="1099">
        <f t="shared" si="15"/>
        <v>109841</v>
      </c>
      <c r="G60" s="3316"/>
      <c r="H60" s="1100">
        <f>项目基本情况!B37</f>
        <v>0</v>
      </c>
      <c r="I60" s="1104">
        <f>SUMIF(修正!A45:A56,H60,修正!E45:E56)</f>
        <v>0</v>
      </c>
      <c r="J60" s="1108">
        <v>1</v>
      </c>
      <c r="K60" s="1141"/>
      <c r="L60" s="937"/>
      <c r="M60" s="937"/>
      <c r="N60" s="937"/>
      <c r="O60" s="937"/>
    </row>
    <row r="61" spans="1:15" s="691" customFormat="1">
      <c r="A61" s="692" t="s">
        <v>2765</v>
      </c>
      <c r="B61" s="262">
        <f t="shared" si="17"/>
        <v>0</v>
      </c>
      <c r="C61" s="200">
        <f t="shared" si="16"/>
        <v>0</v>
      </c>
      <c r="D61" s="1160">
        <v>0.25</v>
      </c>
      <c r="E61" s="261">
        <f>'数据-汇总表'!E11</f>
        <v>0</v>
      </c>
      <c r="F61" s="1099">
        <f t="shared" si="15"/>
        <v>0</v>
      </c>
      <c r="G61" s="3014" t="s">
        <v>2766</v>
      </c>
      <c r="H61" s="1100">
        <f>项目基本情况!C37</f>
        <v>0</v>
      </c>
      <c r="I61" s="1104">
        <f>SUMIF(修正!A45:A56,H61,修正!F45:F56)</f>
        <v>0</v>
      </c>
      <c r="J61" s="1108"/>
      <c r="K61" s="1140"/>
      <c r="L61" s="937"/>
      <c r="M61" s="937"/>
      <c r="N61" s="937"/>
      <c r="O61" s="937"/>
    </row>
    <row r="62" spans="1:15" s="691" customFormat="1">
      <c r="A62" s="692" t="s">
        <v>2767</v>
      </c>
      <c r="B62" s="262">
        <f t="shared" si="17"/>
        <v>0</v>
      </c>
      <c r="C62" s="200">
        <f t="shared" si="16"/>
        <v>0</v>
      </c>
      <c r="D62" s="1160">
        <v>0.25</v>
      </c>
      <c r="E62" s="261">
        <f>'数据-汇总表'!E12</f>
        <v>0</v>
      </c>
      <c r="F62" s="1099">
        <f t="shared" si="15"/>
        <v>0</v>
      </c>
      <c r="G62" s="1105" t="s">
        <v>2768</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1" customFormat="1">
      <c r="A63" s="692" t="s">
        <v>2769</v>
      </c>
      <c r="B63" s="262">
        <f t="shared" si="17"/>
        <v>0</v>
      </c>
      <c r="C63" s="200">
        <f t="shared" si="16"/>
        <v>0</v>
      </c>
      <c r="D63" s="1160">
        <v>0.25</v>
      </c>
      <c r="E63" s="261">
        <f>'数据-汇总表'!E13</f>
        <v>115386.06</v>
      </c>
      <c r="F63" s="1099">
        <f t="shared" si="15"/>
        <v>0</v>
      </c>
      <c r="G63" s="1105" t="s">
        <v>2770</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2771</v>
      </c>
      <c r="B64" s="262">
        <f t="shared" si="17"/>
        <v>0</v>
      </c>
      <c r="C64" s="200">
        <f t="shared" si="16"/>
        <v>0</v>
      </c>
      <c r="D64" s="1160">
        <v>0.25</v>
      </c>
      <c r="E64" s="261">
        <f>'数据-汇总表'!E14</f>
        <v>0</v>
      </c>
      <c r="F64" s="1099">
        <f t="shared" si="15"/>
        <v>0</v>
      </c>
      <c r="G64" s="3014" t="s">
        <v>2761</v>
      </c>
      <c r="H64" s="1100">
        <f>项目基本情况!B37</f>
        <v>0</v>
      </c>
      <c r="I64" s="1104">
        <f>SUMIF(修正!A45:A56,H64,修正!H45:H56)</f>
        <v>0</v>
      </c>
      <c r="J64" s="1108"/>
      <c r="K64" s="1141"/>
      <c r="L64" s="937"/>
      <c r="M64" s="937"/>
      <c r="N64" s="937"/>
      <c r="O64" s="937"/>
    </row>
    <row r="65" spans="1:22" s="691" customFormat="1" ht="15" thickBot="1">
      <c r="A65" s="692" t="s">
        <v>2772</v>
      </c>
      <c r="B65" s="262">
        <f t="shared" si="17"/>
        <v>0</v>
      </c>
      <c r="C65" s="200">
        <f t="shared" si="16"/>
        <v>0</v>
      </c>
      <c r="D65" s="1160">
        <v>0.25</v>
      </c>
      <c r="E65" s="261">
        <f>'数据-汇总表'!E15</f>
        <v>0</v>
      </c>
      <c r="F65" s="1099">
        <f t="shared" si="15"/>
        <v>0</v>
      </c>
      <c r="G65" s="2701" t="s">
        <v>2766</v>
      </c>
      <c r="H65" s="1110">
        <f>项目基本情况!C37</f>
        <v>0</v>
      </c>
      <c r="I65" s="1106">
        <f>SUMIF(修正!A45:A56,H65,修正!H45:H56)</f>
        <v>0</v>
      </c>
      <c r="J65" s="1109"/>
      <c r="K65" s="1140"/>
      <c r="L65" s="937"/>
      <c r="M65" s="937"/>
      <c r="N65" s="937"/>
      <c r="O65" s="937"/>
    </row>
    <row r="66" spans="1:22" s="691" customFormat="1" ht="13.5" thickBot="1">
      <c r="A66" s="694" t="s">
        <v>2773</v>
      </c>
      <c r="B66" s="695" t="s">
        <v>28</v>
      </c>
      <c r="C66" s="695" t="s">
        <v>29</v>
      </c>
      <c r="D66" s="695" t="s">
        <v>1026</v>
      </c>
      <c r="E66" s="695">
        <f>IF(B46="楼面地价",SUM(E56:E65),'数据-汇总表'!D3)</f>
        <v>492490</v>
      </c>
      <c r="F66" s="696">
        <f>IF(B46="楼面地价",SUM(F56:F65),ROUND(C48*E66/10000,0))</f>
        <v>315767</v>
      </c>
      <c r="G66" s="785"/>
      <c r="H66" s="785"/>
      <c r="I66" s="785"/>
      <c r="J66" s="785"/>
      <c r="K66" s="1154"/>
      <c r="L66" s="937"/>
      <c r="M66" s="937"/>
      <c r="N66" s="937"/>
      <c r="O66" s="937"/>
    </row>
    <row r="67" spans="1:22">
      <c r="A67" s="757"/>
      <c r="B67" s="759"/>
      <c r="C67" s="760"/>
      <c r="D67" s="757"/>
      <c r="E67" s="757"/>
      <c r="F67" s="757"/>
      <c r="G67" s="757"/>
      <c r="H67" s="757"/>
      <c r="I67" s="757"/>
      <c r="J67" s="1140"/>
      <c r="K67" s="1101"/>
      <c r="L67" s="1102"/>
      <c r="M67" s="1140"/>
      <c r="N67" s="1140"/>
      <c r="O67" s="1140"/>
    </row>
    <row r="68" spans="1:22">
      <c r="A68" s="757"/>
      <c r="B68" s="759"/>
      <c r="C68" s="759" t="str">
        <f>YEAR(C7)&amp;"-"&amp;MONTH(C7)&amp;"-1"</f>
        <v>2019-11-1</v>
      </c>
      <c r="D68" s="759">
        <f>EDATE(C68,-3)</f>
        <v>43678</v>
      </c>
      <c r="E68" s="759">
        <f>EDATE(D68,-3)</f>
        <v>43586</v>
      </c>
      <c r="F68" s="759">
        <f t="shared" ref="F68:O68" si="18">EDATE(E68,-3)</f>
        <v>43497</v>
      </c>
      <c r="G68" s="759">
        <f t="shared" si="18"/>
        <v>43405</v>
      </c>
      <c r="H68" s="759">
        <f t="shared" si="18"/>
        <v>43313</v>
      </c>
      <c r="I68" s="759">
        <f t="shared" si="18"/>
        <v>43221</v>
      </c>
      <c r="J68" s="759">
        <f t="shared" si="18"/>
        <v>43132</v>
      </c>
      <c r="K68" s="759">
        <f t="shared" si="18"/>
        <v>43040</v>
      </c>
      <c r="L68" s="759">
        <f t="shared" si="18"/>
        <v>42948</v>
      </c>
      <c r="M68" s="759">
        <f t="shared" si="18"/>
        <v>42856</v>
      </c>
      <c r="N68" s="759">
        <f t="shared" si="18"/>
        <v>42767</v>
      </c>
      <c r="O68" s="759">
        <f t="shared" si="18"/>
        <v>42675</v>
      </c>
    </row>
    <row r="69" spans="1:22" ht="21.75" thickBot="1">
      <c r="A69" s="761" t="s">
        <v>2575</v>
      </c>
      <c r="B69" s="757"/>
      <c r="C69" s="762"/>
      <c r="D69" s="762"/>
      <c r="E69" s="762"/>
      <c r="F69" s="763"/>
      <c r="G69" s="763"/>
      <c r="H69" s="762"/>
      <c r="I69" s="762"/>
      <c r="J69" s="1155"/>
      <c r="K69" s="1156"/>
      <c r="L69" s="1157"/>
      <c r="M69" s="1155"/>
      <c r="N69" s="1155"/>
      <c r="O69" s="1155"/>
      <c r="P69" s="503"/>
      <c r="Q69" s="504"/>
    </row>
    <row r="70" spans="1:22" s="508" customFormat="1" ht="15">
      <c r="A70" s="2702" t="s">
        <v>2774</v>
      </c>
      <c r="B70" s="1355"/>
      <c r="C70" s="1567" t="str">
        <f>YEAR(C68)&amp;"-"&amp;ROUNDUP(MONTH(C68)/3,0)</f>
        <v>2019-4</v>
      </c>
      <c r="D70" s="1567" t="str">
        <f>YEAR(D68)&amp;"-"&amp;ROUNDUP(MONTH(D68)/3,0)</f>
        <v>2019-3</v>
      </c>
      <c r="E70" s="1567" t="str">
        <f t="shared" ref="E70:O70" si="19">YEAR(E68)&amp;"-"&amp;ROUNDUP(MONTH(E68)/3,0)</f>
        <v>2019-2</v>
      </c>
      <c r="F70" s="1567" t="str">
        <f t="shared" si="19"/>
        <v>2019-1</v>
      </c>
      <c r="G70" s="1567" t="str">
        <f t="shared" si="19"/>
        <v>2018-4</v>
      </c>
      <c r="H70" s="1567" t="str">
        <f t="shared" si="19"/>
        <v>2018-3</v>
      </c>
      <c r="I70" s="1567" t="str">
        <f t="shared" si="19"/>
        <v>2018-2</v>
      </c>
      <c r="J70" s="1567" t="str">
        <f t="shared" si="19"/>
        <v>2018-1</v>
      </c>
      <c r="K70" s="1567" t="str">
        <f t="shared" si="19"/>
        <v>2017-4</v>
      </c>
      <c r="L70" s="1567" t="str">
        <f t="shared" si="19"/>
        <v>2017-3</v>
      </c>
      <c r="M70" s="1567" t="str">
        <f t="shared" si="19"/>
        <v>2017-2</v>
      </c>
      <c r="N70" s="1567" t="str">
        <f t="shared" si="19"/>
        <v>2017-1</v>
      </c>
      <c r="O70" s="1567" t="str">
        <f t="shared" si="19"/>
        <v>2016-4</v>
      </c>
      <c r="P70" s="507" t="s">
        <v>4055</v>
      </c>
      <c r="Q70" s="508" t="s">
        <v>4056</v>
      </c>
      <c r="R70" s="508" t="s">
        <v>4057</v>
      </c>
      <c r="S70" s="508" t="s">
        <v>4058</v>
      </c>
      <c r="T70" s="508" t="s">
        <v>4059</v>
      </c>
      <c r="U70" s="508" t="s">
        <v>4060</v>
      </c>
      <c r="V70" s="508" t="s">
        <v>4061</v>
      </c>
    </row>
    <row r="71" spans="1:22" s="117" customFormat="1" ht="30" customHeight="1">
      <c r="A71" s="2703" t="s">
        <v>1373</v>
      </c>
      <c r="B71" s="332" t="str">
        <f>"北京市平均增长率"&amp;TEXT(SUMIF(基准地价修正!N21:N25,A71,基准地价修正!P21:P25),"0.00%")</f>
        <v>北京市平均增长率1.41%</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95">
        <f t="shared" ref="P71" si="21">O71-$C$72</f>
        <v>93.5</v>
      </c>
      <c r="Q71" s="595">
        <f t="shared" ref="Q71" si="22">P71-$C$72</f>
        <v>93</v>
      </c>
      <c r="R71" s="595">
        <f t="shared" ref="R71" si="23">Q71-$C$72</f>
        <v>92.5</v>
      </c>
      <c r="S71" s="595">
        <f t="shared" ref="S71" si="24">R71-$C$72</f>
        <v>92</v>
      </c>
      <c r="T71" s="595">
        <f t="shared" ref="T71" si="25">S71-$C$72</f>
        <v>91.5</v>
      </c>
      <c r="U71" s="595">
        <f t="shared" ref="U71" si="26">T71-$C$72</f>
        <v>91</v>
      </c>
      <c r="V71" s="595">
        <f t="shared" ref="V71" si="27">U71-$C$72</f>
        <v>90.5</v>
      </c>
    </row>
    <row r="72" spans="1:22" s="117" customFormat="1" ht="15.75" thickBot="1">
      <c r="A72" s="515" t="s">
        <v>2577</v>
      </c>
      <c r="B72" s="516"/>
      <c r="C72" s="517">
        <v>0.5</v>
      </c>
      <c r="D72" s="518"/>
      <c r="E72" s="518"/>
      <c r="F72" s="518"/>
      <c r="G72" s="518"/>
      <c r="H72" s="518"/>
      <c r="I72" s="518"/>
      <c r="J72" s="518"/>
      <c r="K72" s="518"/>
      <c r="L72" s="518"/>
      <c r="M72" s="519"/>
      <c r="N72" s="518"/>
      <c r="O72" s="1158"/>
      <c r="P72" s="504"/>
      <c r="Q72" s="504"/>
    </row>
    <row r="73" spans="1:22" s="117" customFormat="1" ht="15">
      <c r="A73" s="521" t="s">
        <v>2542</v>
      </c>
      <c r="B73" s="510"/>
      <c r="C73" s="522" t="s">
        <v>2579</v>
      </c>
      <c r="D73" s="523"/>
      <c r="E73" s="523"/>
      <c r="F73" s="523"/>
      <c r="G73" s="523"/>
      <c r="H73" s="523"/>
      <c r="I73" s="523"/>
      <c r="J73" s="523"/>
      <c r="K73" s="523"/>
      <c r="L73" s="524"/>
      <c r="M73" s="525"/>
      <c r="N73" s="1147"/>
      <c r="O73" s="1147"/>
      <c r="P73" s="526"/>
      <c r="Q73" s="504"/>
    </row>
    <row r="74" spans="1:22" s="117" customFormat="1" ht="15.75" thickBot="1">
      <c r="A74" s="521"/>
      <c r="B74" s="510"/>
      <c r="C74" s="638">
        <v>100</v>
      </c>
      <c r="D74" s="512"/>
      <c r="E74" s="512"/>
      <c r="F74" s="512"/>
      <c r="G74" s="512"/>
      <c r="H74" s="512"/>
      <c r="I74" s="512"/>
      <c r="J74" s="512"/>
      <c r="K74" s="512"/>
      <c r="L74" s="512"/>
      <c r="M74" s="514"/>
      <c r="N74" s="1147"/>
      <c r="O74" s="1147"/>
      <c r="P74" s="504"/>
      <c r="Q74" s="504"/>
    </row>
    <row r="75" spans="1:22" ht="42.75">
      <c r="A75" s="527" t="s">
        <v>2580</v>
      </c>
      <c r="B75" s="528" t="s">
        <v>2546</v>
      </c>
      <c r="C75" s="2985" t="s">
        <v>3804</v>
      </c>
      <c r="D75" s="530" t="str">
        <f>'2017年所用商业案例'!H9</f>
        <v>商业用地、商务用地、社会停车场用地</v>
      </c>
      <c r="E75" s="530" t="str">
        <f>'2017年所用商业案例'!H16</f>
        <v>文化设施用地、娱乐用地、商业用地、商务用地</v>
      </c>
      <c r="F75" s="530" t="str">
        <f>'2017年所用商业案例'!H19</f>
        <v>商业用地、商务用地</v>
      </c>
      <c r="G75" s="530"/>
      <c r="H75" s="530"/>
      <c r="I75" s="530"/>
      <c r="J75" s="530"/>
      <c r="K75" s="531"/>
      <c r="L75" s="532"/>
      <c r="M75" s="533"/>
      <c r="N75" s="1148"/>
      <c r="O75" s="1148"/>
      <c r="P75" s="45"/>
      <c r="Q75" s="504"/>
    </row>
    <row r="76" spans="1:22" ht="15.75" thickBot="1">
      <c r="A76" s="534"/>
      <c r="B76" s="535"/>
      <c r="C76" s="536">
        <v>100</v>
      </c>
      <c r="D76" s="536">
        <v>100</v>
      </c>
      <c r="E76" s="536">
        <v>100</v>
      </c>
      <c r="F76" s="536">
        <v>100</v>
      </c>
      <c r="G76" s="536"/>
      <c r="H76" s="536"/>
      <c r="I76" s="536"/>
      <c r="J76" s="536"/>
      <c r="K76" s="536"/>
      <c r="L76" s="536"/>
      <c r="M76" s="537"/>
      <c r="N76" s="1149"/>
      <c r="O76" s="1149"/>
      <c r="P76" s="45"/>
      <c r="Q76" s="504"/>
    </row>
    <row r="77" spans="1:22" ht="27.75" thickTop="1">
      <c r="A77" s="534"/>
      <c r="B77" s="538" t="s">
        <v>2549</v>
      </c>
      <c r="C77" s="539"/>
      <c r="D77" s="539"/>
      <c r="E77" s="539"/>
      <c r="F77" s="539"/>
      <c r="G77" s="539"/>
      <c r="H77" s="539"/>
      <c r="I77" s="539"/>
      <c r="J77" s="539"/>
      <c r="K77" s="540"/>
      <c r="L77" s="541"/>
      <c r="M77" s="542"/>
      <c r="N77" s="1148"/>
      <c r="O77" s="1148"/>
      <c r="P77" s="45"/>
      <c r="Q77" s="504"/>
    </row>
    <row r="78" spans="1:22" ht="15.75" thickBot="1">
      <c r="A78" s="534"/>
      <c r="B78" s="543"/>
      <c r="C78" s="544"/>
      <c r="D78" s="544"/>
      <c r="E78" s="544"/>
      <c r="F78" s="544"/>
      <c r="G78" s="544"/>
      <c r="H78" s="544"/>
      <c r="I78" s="544"/>
      <c r="J78" s="544"/>
      <c r="K78" s="544"/>
      <c r="L78" s="544"/>
      <c r="M78" s="545"/>
      <c r="N78" s="1149"/>
      <c r="O78" s="1149"/>
      <c r="P78" s="45"/>
      <c r="Q78" s="504"/>
    </row>
    <row r="79" spans="1:22" ht="15.75" thickTop="1">
      <c r="A79" s="534"/>
      <c r="B79" s="546" t="s">
        <v>2550</v>
      </c>
      <c r="C79" s="547" t="str">
        <f>C80&amp;"（含）"&amp;"-"&amp;D80</f>
        <v>0（含）-3</v>
      </c>
      <c r="D79" s="547" t="str">
        <f t="shared" ref="D79:L79" si="28">D80&amp;"（含）"&amp;"-"&amp;E80</f>
        <v>3（含）-6</v>
      </c>
      <c r="E79" s="547" t="str">
        <f t="shared" si="28"/>
        <v>6（含）-9</v>
      </c>
      <c r="F79" s="547" t="str">
        <f t="shared" si="28"/>
        <v>9（含）-18</v>
      </c>
      <c r="G79" s="547" t="str">
        <f t="shared" si="28"/>
        <v>18（含）-</v>
      </c>
      <c r="H79" s="547" t="str">
        <f t="shared" si="28"/>
        <v>（含）-</v>
      </c>
      <c r="I79" s="547" t="str">
        <f t="shared" si="28"/>
        <v>（含）-</v>
      </c>
      <c r="J79" s="547" t="str">
        <f t="shared" si="28"/>
        <v>（含）-</v>
      </c>
      <c r="K79" s="547" t="str">
        <f t="shared" si="28"/>
        <v>（含）-</v>
      </c>
      <c r="L79" s="547" t="str">
        <f t="shared" si="28"/>
        <v>（含）-</v>
      </c>
      <c r="M79" s="448" t="str">
        <f>M80&amp;"（含）"&amp;"-"&amp;P80</f>
        <v>（含）-</v>
      </c>
      <c r="N79" s="1149"/>
      <c r="O79" s="1149"/>
      <c r="P79" s="45"/>
      <c r="Q79" s="504"/>
    </row>
    <row r="80" spans="1:22" ht="15">
      <c r="A80" s="534"/>
      <c r="B80" s="548"/>
      <c r="C80" s="549">
        <v>0</v>
      </c>
      <c r="D80" s="549">
        <v>3</v>
      </c>
      <c r="E80" s="549">
        <v>6</v>
      </c>
      <c r="F80" s="549">
        <v>9</v>
      </c>
      <c r="G80" s="549">
        <v>18</v>
      </c>
      <c r="H80" s="549"/>
      <c r="I80" s="549"/>
      <c r="J80" s="549"/>
      <c r="K80" s="550"/>
      <c r="L80" s="551"/>
      <c r="M80" s="552"/>
      <c r="N80" s="1148"/>
      <c r="O80" s="1148"/>
      <c r="P80" s="45"/>
      <c r="Q80" s="504"/>
    </row>
    <row r="81" spans="1:17" ht="15.75" thickBot="1">
      <c r="A81" s="534"/>
      <c r="B81" s="535"/>
      <c r="C81" s="544">
        <v>100</v>
      </c>
      <c r="D81" s="544">
        <f t="shared" ref="D81:M81" si="29">IF($B$46="单位面积地价",C81+$K11,C81-$K11)</f>
        <v>95</v>
      </c>
      <c r="E81" s="544">
        <f t="shared" si="29"/>
        <v>90</v>
      </c>
      <c r="F81" s="544">
        <f t="shared" si="29"/>
        <v>85</v>
      </c>
      <c r="G81" s="544">
        <f t="shared" si="29"/>
        <v>80</v>
      </c>
      <c r="H81" s="544">
        <f t="shared" si="29"/>
        <v>75</v>
      </c>
      <c r="I81" s="544">
        <f t="shared" si="29"/>
        <v>70</v>
      </c>
      <c r="J81" s="544">
        <f t="shared" si="29"/>
        <v>65</v>
      </c>
      <c r="K81" s="544">
        <f t="shared" si="29"/>
        <v>60</v>
      </c>
      <c r="L81" s="544">
        <f t="shared" si="29"/>
        <v>55</v>
      </c>
      <c r="M81" s="544">
        <f t="shared" si="29"/>
        <v>50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0</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0</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48"/>
      <c r="O90" s="1148"/>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49"/>
      <c r="O91" s="1149"/>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48"/>
      <c r="O92" s="1148"/>
      <c r="P92" s="45"/>
      <c r="Q92" s="504"/>
    </row>
    <row r="93" spans="1:17" ht="15.75" thickBot="1">
      <c r="A93" s="534"/>
      <c r="B93" s="543"/>
      <c r="C93" s="544">
        <v>100</v>
      </c>
      <c r="D93" s="544">
        <f>C93-$K19</f>
        <v>97</v>
      </c>
      <c r="E93" s="544">
        <f>D93-$K19</f>
        <v>94</v>
      </c>
      <c r="F93" s="544">
        <f>E93-$K19</f>
        <v>91</v>
      </c>
      <c r="G93" s="544">
        <f>F93-$K19</f>
        <v>88</v>
      </c>
      <c r="H93" s="544"/>
      <c r="I93" s="544"/>
      <c r="J93" s="544"/>
      <c r="K93" s="544"/>
      <c r="L93" s="544"/>
      <c r="M93" s="545"/>
      <c r="N93" s="1149"/>
      <c r="O93" s="1149"/>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48"/>
      <c r="O94" s="1148"/>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49"/>
      <c r="O95" s="1149"/>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7"/>
      <c r="M96" s="621"/>
      <c r="N96" s="1147"/>
      <c r="O96" s="1147"/>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49"/>
      <c r="O97" s="1149"/>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1"/>
      <c r="N98" s="1147"/>
      <c r="O98" s="1147"/>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49"/>
      <c r="O99" s="1149"/>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0"/>
      <c r="O100" s="1150"/>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0"/>
      <c r="O101" s="1150"/>
      <c r="P101" s="558"/>
      <c r="Q101" s="559"/>
    </row>
    <row r="102" spans="1:17" s="471" customFormat="1" ht="15.75" thickTop="1">
      <c r="A102" s="553"/>
      <c r="B102" s="546" t="s">
        <v>2647</v>
      </c>
      <c r="C102" s="659" t="s">
        <v>2667</v>
      </c>
      <c r="D102" s="659" t="s">
        <v>2668</v>
      </c>
      <c r="E102" s="659" t="s">
        <v>2669</v>
      </c>
      <c r="F102" s="659" t="s">
        <v>2670</v>
      </c>
      <c r="G102" s="659" t="s">
        <v>2671</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30">D105-$K31</f>
        <v>100</v>
      </c>
      <c r="F105" s="544">
        <f t="shared" si="30"/>
        <v>100</v>
      </c>
      <c r="G105" s="544">
        <f t="shared" si="30"/>
        <v>100</v>
      </c>
      <c r="H105" s="544">
        <f t="shared" si="30"/>
        <v>100</v>
      </c>
      <c r="I105" s="544">
        <f t="shared" si="30"/>
        <v>100</v>
      </c>
      <c r="J105" s="544">
        <f t="shared" si="30"/>
        <v>100</v>
      </c>
      <c r="K105" s="544">
        <f t="shared" si="30"/>
        <v>100</v>
      </c>
      <c r="L105" s="544">
        <f t="shared" si="30"/>
        <v>100</v>
      </c>
      <c r="M105" s="544">
        <f t="shared" si="30"/>
        <v>100</v>
      </c>
      <c r="N105" s="1149"/>
      <c r="O105" s="1149"/>
      <c r="P105" s="45"/>
      <c r="Q105" s="504"/>
    </row>
    <row r="106" spans="1:17" ht="27.75" thickTop="1">
      <c r="A106" s="534"/>
      <c r="B106" s="538" t="s">
        <v>2683</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31">D107-$K32</f>
        <v>100</v>
      </c>
      <c r="F107" s="544">
        <f t="shared" si="31"/>
        <v>100</v>
      </c>
      <c r="G107" s="544">
        <f t="shared" si="31"/>
        <v>100</v>
      </c>
      <c r="H107" s="544">
        <f t="shared" si="31"/>
        <v>100</v>
      </c>
      <c r="I107" s="544">
        <f t="shared" si="31"/>
        <v>100</v>
      </c>
      <c r="J107" s="544">
        <f t="shared" si="31"/>
        <v>100</v>
      </c>
      <c r="K107" s="544">
        <f t="shared" si="31"/>
        <v>100</v>
      </c>
      <c r="L107" s="544">
        <f t="shared" si="31"/>
        <v>100</v>
      </c>
      <c r="M107" s="544">
        <f t="shared" si="31"/>
        <v>100</v>
      </c>
      <c r="N107" s="1149"/>
      <c r="O107" s="1149"/>
      <c r="P107" s="45"/>
      <c r="Q107" s="504"/>
    </row>
    <row r="108" spans="1:17" ht="15.75" thickTop="1">
      <c r="A108" s="534"/>
      <c r="B108" s="538" t="s">
        <v>2742</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32">D109-$K34</f>
        <v>100</v>
      </c>
      <c r="F109" s="544">
        <f t="shared" si="32"/>
        <v>100</v>
      </c>
      <c r="G109" s="544">
        <f t="shared" si="32"/>
        <v>100</v>
      </c>
      <c r="H109" s="544">
        <f t="shared" si="32"/>
        <v>100</v>
      </c>
      <c r="I109" s="544">
        <f t="shared" si="32"/>
        <v>100</v>
      </c>
      <c r="J109" s="544">
        <f t="shared" si="32"/>
        <v>100</v>
      </c>
      <c r="K109" s="544">
        <f t="shared" si="32"/>
        <v>100</v>
      </c>
      <c r="L109" s="544">
        <f t="shared" si="32"/>
        <v>100</v>
      </c>
      <c r="M109" s="544">
        <f t="shared" si="32"/>
        <v>100</v>
      </c>
      <c r="N109" s="1149"/>
      <c r="O109" s="1149"/>
      <c r="P109" s="45"/>
      <c r="Q109" s="504"/>
    </row>
    <row r="110" spans="1:17" ht="15.75" thickTop="1">
      <c r="A110" s="534"/>
      <c r="B110" s="546">
        <f>B35</f>
        <v>0</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4"/>
      <c r="B112" s="538">
        <f>B36</f>
        <v>0</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0</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6"/>
      <c r="E115" s="676"/>
      <c r="F115" s="676"/>
      <c r="G115" s="676"/>
      <c r="H115" s="676"/>
      <c r="I115" s="676"/>
      <c r="J115" s="676"/>
      <c r="K115" s="676"/>
      <c r="L115" s="676"/>
      <c r="M115" s="698"/>
      <c r="N115" s="1149"/>
      <c r="O115" s="1149"/>
      <c r="P115" s="558"/>
      <c r="Q115" s="559"/>
    </row>
    <row r="116" spans="1:17">
      <c r="A116" s="527" t="s">
        <v>2555</v>
      </c>
      <c r="B116" s="528" t="s">
        <v>2783</v>
      </c>
      <c r="C116" s="529" t="str">
        <f>C117&amp;"(含)"&amp;"-"&amp;D117</f>
        <v>0(含)-30000</v>
      </c>
      <c r="D116" s="529" t="str">
        <f t="shared" ref="D116:M116" si="33">D117&amp;"(含)"&amp;"-"&amp;E117</f>
        <v>30000(含)-</v>
      </c>
      <c r="E116" s="529" t="str">
        <f t="shared" si="33"/>
        <v>(含)-</v>
      </c>
      <c r="F116" s="529" t="str">
        <f t="shared" si="33"/>
        <v>(含)-</v>
      </c>
      <c r="G116" s="529" t="str">
        <f t="shared" si="33"/>
        <v>(含)-</v>
      </c>
      <c r="H116" s="529" t="str">
        <f t="shared" si="33"/>
        <v>(含)-</v>
      </c>
      <c r="I116" s="529" t="str">
        <f t="shared" si="33"/>
        <v>(含)-</v>
      </c>
      <c r="J116" s="529" t="str">
        <f t="shared" si="33"/>
        <v>(含)-</v>
      </c>
      <c r="K116" s="529" t="str">
        <f t="shared" si="33"/>
        <v>(含)-</v>
      </c>
      <c r="L116" s="529" t="str">
        <f t="shared" si="33"/>
        <v>(含)-</v>
      </c>
      <c r="M116" s="529" t="str">
        <f t="shared" si="33"/>
        <v>(含)-</v>
      </c>
      <c r="N116" s="1148"/>
      <c r="O116" s="1148"/>
      <c r="P116" s="45"/>
      <c r="Q116" s="504"/>
    </row>
    <row r="117" spans="1:17" ht="15">
      <c r="A117" s="534"/>
      <c r="B117" s="546"/>
      <c r="C117" s="595">
        <v>0</v>
      </c>
      <c r="D117" s="595">
        <v>30000</v>
      </c>
      <c r="E117" s="595"/>
      <c r="F117" s="595"/>
      <c r="G117" s="595"/>
      <c r="H117" s="595"/>
      <c r="I117" s="595"/>
      <c r="J117" s="596"/>
      <c r="K117" s="596"/>
      <c r="L117" s="597"/>
      <c r="M117" s="598"/>
      <c r="N117" s="1148"/>
      <c r="O117" s="1148"/>
      <c r="P117" s="45"/>
      <c r="Q117" s="504"/>
    </row>
    <row r="118" spans="1:17" ht="15.75" thickBot="1">
      <c r="A118" s="534"/>
      <c r="B118" s="543"/>
      <c r="C118" s="570">
        <v>100</v>
      </c>
      <c r="D118" s="591"/>
      <c r="E118" s="591"/>
      <c r="F118" s="591"/>
      <c r="G118" s="591"/>
      <c r="H118" s="591"/>
      <c r="I118" s="591"/>
      <c r="J118" s="591"/>
      <c r="K118" s="591"/>
      <c r="L118" s="591"/>
      <c r="M118" s="592"/>
      <c r="N118" s="1149"/>
      <c r="O118" s="1149"/>
      <c r="P118" s="45"/>
      <c r="Q118" s="504"/>
    </row>
    <row r="119" spans="1:17" ht="15" thickTop="1">
      <c r="A119" s="599"/>
      <c r="B119" s="538" t="s">
        <v>2784</v>
      </c>
      <c r="C119" s="3006" t="s">
        <v>4073</v>
      </c>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34">C120-$K39</f>
        <v>98</v>
      </c>
      <c r="E120" s="544">
        <f t="shared" si="34"/>
        <v>96</v>
      </c>
      <c r="F120" s="544">
        <f t="shared" si="34"/>
        <v>94</v>
      </c>
      <c r="G120" s="544">
        <f t="shared" si="34"/>
        <v>92</v>
      </c>
      <c r="H120" s="544">
        <f t="shared" si="34"/>
        <v>90</v>
      </c>
      <c r="I120" s="544">
        <f t="shared" si="34"/>
        <v>88</v>
      </c>
      <c r="J120" s="544">
        <f t="shared" si="34"/>
        <v>86</v>
      </c>
      <c r="K120" s="544">
        <f t="shared" si="34"/>
        <v>84</v>
      </c>
      <c r="L120" s="544">
        <f t="shared" si="34"/>
        <v>82</v>
      </c>
      <c r="M120" s="545">
        <f t="shared" si="34"/>
        <v>80</v>
      </c>
      <c r="N120" s="1149"/>
      <c r="O120" s="1149"/>
      <c r="P120" s="45"/>
      <c r="Q120" s="504"/>
    </row>
    <row r="121" spans="1:17" ht="15" thickTop="1">
      <c r="A121" s="599"/>
      <c r="B121" s="538" t="s">
        <v>2785</v>
      </c>
      <c r="C121" s="3005" t="s">
        <v>4075</v>
      </c>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35">C122-$K40</f>
        <v>98</v>
      </c>
      <c r="E122" s="544">
        <f t="shared" si="35"/>
        <v>96</v>
      </c>
      <c r="F122" s="544">
        <f t="shared" si="35"/>
        <v>94</v>
      </c>
      <c r="G122" s="544">
        <f t="shared" si="35"/>
        <v>92</v>
      </c>
      <c r="H122" s="544">
        <f t="shared" si="35"/>
        <v>90</v>
      </c>
      <c r="I122" s="544">
        <f t="shared" si="35"/>
        <v>88</v>
      </c>
      <c r="J122" s="544">
        <f t="shared" si="35"/>
        <v>86</v>
      </c>
      <c r="K122" s="544">
        <f t="shared" si="35"/>
        <v>84</v>
      </c>
      <c r="L122" s="544">
        <f t="shared" si="35"/>
        <v>82</v>
      </c>
      <c r="M122" s="545">
        <f t="shared" si="35"/>
        <v>80</v>
      </c>
      <c r="N122" s="1149"/>
      <c r="O122" s="1149"/>
      <c r="P122" s="45"/>
      <c r="Q122" s="504"/>
    </row>
    <row r="123" spans="1:17" s="471" customFormat="1" ht="15" thickTop="1">
      <c r="A123" s="593"/>
      <c r="B123" s="538" t="s">
        <v>2786</v>
      </c>
      <c r="C123" s="3005" t="s">
        <v>4077</v>
      </c>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98</v>
      </c>
      <c r="E124" s="544">
        <f t="shared" ref="E124:M124" si="36">D124-$K41</f>
        <v>96</v>
      </c>
      <c r="F124" s="544">
        <f t="shared" si="36"/>
        <v>94</v>
      </c>
      <c r="G124" s="544">
        <f t="shared" si="36"/>
        <v>92</v>
      </c>
      <c r="H124" s="544">
        <f t="shared" si="36"/>
        <v>90</v>
      </c>
      <c r="I124" s="544">
        <f t="shared" si="36"/>
        <v>88</v>
      </c>
      <c r="J124" s="544">
        <f t="shared" si="36"/>
        <v>86</v>
      </c>
      <c r="K124" s="544">
        <f t="shared" si="36"/>
        <v>84</v>
      </c>
      <c r="L124" s="544">
        <f t="shared" si="36"/>
        <v>82</v>
      </c>
      <c r="M124" s="545">
        <f t="shared" si="36"/>
        <v>80</v>
      </c>
      <c r="N124" s="1150"/>
      <c r="O124" s="1150"/>
      <c r="P124" s="558"/>
      <c r="Q124" s="559"/>
    </row>
    <row r="125" spans="1:17" ht="15" thickTop="1">
      <c r="A125" s="599"/>
      <c r="B125" s="538" t="s">
        <v>2787</v>
      </c>
      <c r="C125" s="3005" t="s">
        <v>4078</v>
      </c>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37">C126-$K42</f>
        <v>98</v>
      </c>
      <c r="E126" s="544">
        <f t="shared" si="37"/>
        <v>96</v>
      </c>
      <c r="F126" s="544">
        <f t="shared" si="37"/>
        <v>94</v>
      </c>
      <c r="G126" s="544">
        <f t="shared" si="37"/>
        <v>92</v>
      </c>
      <c r="H126" s="544">
        <f t="shared" si="37"/>
        <v>90</v>
      </c>
      <c r="I126" s="544">
        <f t="shared" si="37"/>
        <v>88</v>
      </c>
      <c r="J126" s="544">
        <f t="shared" si="37"/>
        <v>86</v>
      </c>
      <c r="K126" s="544">
        <f t="shared" si="37"/>
        <v>84</v>
      </c>
      <c r="L126" s="544">
        <f t="shared" si="37"/>
        <v>82</v>
      </c>
      <c r="M126" s="545">
        <f t="shared" si="37"/>
        <v>80</v>
      </c>
      <c r="N126" s="1149"/>
      <c r="O126" s="1149"/>
      <c r="P126" s="45"/>
      <c r="Q126" s="504"/>
    </row>
    <row r="127" spans="1:17" ht="15" thickTop="1">
      <c r="A127" s="599"/>
      <c r="B127" s="538">
        <f>B43</f>
        <v>0</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0</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0</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699"/>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143" type="noConversion"/>
  <conditionalFormatting sqref="F51 H51 J51">
    <cfRule type="containsText" dxfId="156" priority="14" stopIfTrue="1" operator="containsText" text="超过">
      <formula>NOT(ISERROR(SEARCH("超过",F51)))</formula>
    </cfRule>
  </conditionalFormatting>
  <conditionalFormatting sqref="J53">
    <cfRule type="containsText" dxfId="155" priority="13" stopIfTrue="1" operator="containsText" text="超过">
      <formula>NOT(ISERROR(SEARCH("超过",J53)))</formula>
    </cfRule>
  </conditionalFormatting>
  <conditionalFormatting sqref="H53">
    <cfRule type="containsText" dxfId="154" priority="12" stopIfTrue="1" operator="containsText" text="超过">
      <formula>NOT(ISERROR(SEARCH("超过",H53)))</formula>
    </cfRule>
  </conditionalFormatting>
  <conditionalFormatting sqref="F53">
    <cfRule type="containsText" dxfId="153" priority="11" stopIfTrue="1" operator="containsText" text="超过">
      <formula>NOT(ISERROR(SEARCH("超过",F53)))</formula>
    </cfRule>
  </conditionalFormatting>
  <conditionalFormatting sqref="F52 H52 J52">
    <cfRule type="containsText" dxfId="152" priority="10" stopIfTrue="1" operator="containsText" text="超过">
      <formula>NOT(ISERROR(SEARCH("超过",F52)))</formula>
    </cfRule>
  </conditionalFormatting>
  <conditionalFormatting sqref="E51">
    <cfRule type="expression" dxfId="151" priority="9" stopIfTrue="1">
      <formula>$F$51="超过30%"</formula>
    </cfRule>
  </conditionalFormatting>
  <conditionalFormatting sqref="G53">
    <cfRule type="expression" dxfId="150" priority="8" stopIfTrue="1">
      <formula>$H$53="超过30%"</formula>
    </cfRule>
  </conditionalFormatting>
  <conditionalFormatting sqref="E52">
    <cfRule type="expression" dxfId="149" priority="7" stopIfTrue="1">
      <formula>$F$52="超过20%"</formula>
    </cfRule>
  </conditionalFormatting>
  <conditionalFormatting sqref="E53">
    <cfRule type="expression" dxfId="148" priority="6" stopIfTrue="1">
      <formula>$F$53="超过30%"</formula>
    </cfRule>
  </conditionalFormatting>
  <conditionalFormatting sqref="G51">
    <cfRule type="expression" dxfId="147" priority="5" stopIfTrue="1">
      <formula>$H$53+$H$51="超过30%"</formula>
    </cfRule>
  </conditionalFormatting>
  <conditionalFormatting sqref="G52">
    <cfRule type="expression" dxfId="146" priority="4" stopIfTrue="1">
      <formula>$H$52="超过20%"</formula>
    </cfRule>
  </conditionalFormatting>
  <conditionalFormatting sqref="I51">
    <cfRule type="expression" dxfId="145" priority="3" stopIfTrue="1">
      <formula>$J$51="超过30%"</formula>
    </cfRule>
  </conditionalFormatting>
  <conditionalFormatting sqref="I52">
    <cfRule type="expression" dxfId="144" priority="2" stopIfTrue="1">
      <formula>$J$52="超过20%"</formula>
    </cfRule>
  </conditionalFormatting>
  <conditionalFormatting sqref="I53">
    <cfRule type="expression" dxfId="14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topLeftCell="J1" workbookViewId="0">
      <selection activeCell="N49" sqref="N49"/>
    </sheetView>
  </sheetViews>
  <sheetFormatPr defaultRowHeight="13.5"/>
  <cols>
    <col min="1" max="4" width="0" hidden="1" customWidth="1"/>
    <col min="5" max="5" width="49.875" customWidth="1"/>
    <col min="6" max="6" width="0" hidden="1" customWidth="1"/>
    <col min="8" max="8" width="39.125" customWidth="1"/>
    <col min="9" max="10" width="14.5" customWidth="1"/>
    <col min="11" max="11" width="26.375" customWidth="1"/>
    <col min="12" max="12" width="12.375" customWidth="1"/>
    <col min="13" max="13" width="0" hidden="1" customWidth="1"/>
    <col min="14" max="14" width="32" customWidth="1"/>
    <col min="15" max="17" width="16.5" customWidth="1"/>
  </cols>
  <sheetData>
    <row r="1" spans="1:20">
      <c r="A1" s="3023" t="s">
        <v>3164</v>
      </c>
      <c r="B1" s="3023" t="s">
        <v>3165</v>
      </c>
      <c r="C1" s="3023" t="s">
        <v>3166</v>
      </c>
      <c r="D1" s="3023" t="s">
        <v>3167</v>
      </c>
      <c r="E1" s="3023" t="s">
        <v>3168</v>
      </c>
      <c r="F1" s="3023" t="s">
        <v>3169</v>
      </c>
      <c r="G1" s="3023" t="s">
        <v>3170</v>
      </c>
      <c r="H1" s="3023" t="s">
        <v>3171</v>
      </c>
      <c r="I1" s="3023" t="s">
        <v>3172</v>
      </c>
      <c r="J1" s="3023" t="s">
        <v>3173</v>
      </c>
      <c r="K1" s="3023" t="s">
        <v>3174</v>
      </c>
      <c r="L1" s="3023" t="s">
        <v>3175</v>
      </c>
      <c r="M1" s="3023" t="s">
        <v>3176</v>
      </c>
      <c r="N1" s="3023" t="s">
        <v>3177</v>
      </c>
      <c r="O1" s="3023" t="s">
        <v>3178</v>
      </c>
      <c r="P1" s="3023" t="s">
        <v>3179</v>
      </c>
      <c r="Q1" s="3023" t="s">
        <v>3180</v>
      </c>
      <c r="R1" s="3023" t="s">
        <v>3181</v>
      </c>
      <c r="S1" s="3023" t="s">
        <v>3182</v>
      </c>
      <c r="T1" s="3023" t="s">
        <v>3183</v>
      </c>
    </row>
    <row r="2" spans="1:20" hidden="1">
      <c r="A2" s="3023" t="s">
        <v>3614</v>
      </c>
      <c r="B2" s="3023" t="s">
        <v>3185</v>
      </c>
      <c r="C2" s="3023" t="s">
        <v>3615</v>
      </c>
      <c r="D2" s="3023" t="s">
        <v>1327</v>
      </c>
      <c r="E2" s="3023" t="s">
        <v>3614</v>
      </c>
      <c r="F2" s="3023" t="s">
        <v>3187</v>
      </c>
      <c r="G2" s="3023">
        <v>19080</v>
      </c>
      <c r="H2" s="3023" t="s">
        <v>3616</v>
      </c>
      <c r="I2" s="3023">
        <v>3546.21</v>
      </c>
      <c r="J2" s="3023">
        <v>5319.32</v>
      </c>
      <c r="K2" s="3023" t="s">
        <v>3561</v>
      </c>
      <c r="L2" s="3023" t="s">
        <v>3312</v>
      </c>
      <c r="M2" s="3023" t="s">
        <v>3617</v>
      </c>
      <c r="N2" s="3023" t="s">
        <v>3618</v>
      </c>
      <c r="O2" s="3023">
        <v>1910</v>
      </c>
      <c r="P2" s="3023">
        <v>359.07</v>
      </c>
      <c r="Q2" s="3023">
        <v>3590.67</v>
      </c>
      <c r="R2" s="3023">
        <v>0</v>
      </c>
      <c r="S2" s="3023" t="s">
        <v>3216</v>
      </c>
      <c r="T2" s="3023" t="s">
        <v>3619</v>
      </c>
    </row>
    <row r="3" spans="1:20" hidden="1">
      <c r="A3" s="3023" t="s">
        <v>3620</v>
      </c>
      <c r="B3" s="3023" t="s">
        <v>3185</v>
      </c>
      <c r="C3" s="3023" t="s">
        <v>3615</v>
      </c>
      <c r="D3" s="3023" t="s">
        <v>1327</v>
      </c>
      <c r="E3" s="3023" t="s">
        <v>3620</v>
      </c>
      <c r="F3" s="3023" t="s">
        <v>3187</v>
      </c>
      <c r="G3" s="3023">
        <v>18080</v>
      </c>
      <c r="H3" s="3023" t="s">
        <v>3616</v>
      </c>
      <c r="I3" s="3023">
        <v>3646</v>
      </c>
      <c r="J3" s="3023">
        <v>5469</v>
      </c>
      <c r="K3" s="3023">
        <v>1.5</v>
      </c>
      <c r="L3" s="3023" t="s">
        <v>3621</v>
      </c>
      <c r="M3" s="3023" t="s">
        <v>3622</v>
      </c>
      <c r="N3" s="3023" t="s">
        <v>3623</v>
      </c>
      <c r="O3" s="3023">
        <v>2406</v>
      </c>
      <c r="P3" s="3023">
        <v>439.93</v>
      </c>
      <c r="Q3" s="3023">
        <v>4399.34</v>
      </c>
      <c r="R3" s="3023">
        <v>0</v>
      </c>
      <c r="S3" s="3023" t="s">
        <v>3216</v>
      </c>
      <c r="T3" s="3023" t="s">
        <v>3203</v>
      </c>
    </row>
    <row r="4" spans="1:20" hidden="1">
      <c r="A4" s="3023" t="s">
        <v>3624</v>
      </c>
      <c r="B4" s="3023" t="s">
        <v>3185</v>
      </c>
      <c r="C4" s="3023" t="s">
        <v>3615</v>
      </c>
      <c r="D4" s="3023" t="s">
        <v>1327</v>
      </c>
      <c r="E4" s="3023" t="s">
        <v>3624</v>
      </c>
      <c r="F4" s="3023" t="s">
        <v>3197</v>
      </c>
      <c r="G4" s="3023">
        <v>18023</v>
      </c>
      <c r="H4" s="3023" t="s">
        <v>3625</v>
      </c>
      <c r="I4" s="3023">
        <v>11896</v>
      </c>
      <c r="J4" s="3023">
        <v>17844</v>
      </c>
      <c r="K4" s="3023" t="s">
        <v>3240</v>
      </c>
      <c r="L4" s="3023" t="s">
        <v>3418</v>
      </c>
      <c r="M4" s="3023" t="s">
        <v>3626</v>
      </c>
      <c r="N4" s="3023" t="s">
        <v>3627</v>
      </c>
      <c r="O4" s="3023">
        <v>2100</v>
      </c>
      <c r="P4" s="3023">
        <v>117.69</v>
      </c>
      <c r="Q4" s="3023">
        <v>1176.8599999999999</v>
      </c>
      <c r="R4" s="3023">
        <v>45.83</v>
      </c>
      <c r="S4" s="3023" t="s">
        <v>3216</v>
      </c>
      <c r="T4" s="3023" t="s">
        <v>3300</v>
      </c>
    </row>
    <row r="5" spans="1:20" hidden="1">
      <c r="A5" s="3023" t="s">
        <v>3628</v>
      </c>
      <c r="B5" s="3023" t="s">
        <v>3185</v>
      </c>
      <c r="C5" s="3023" t="s">
        <v>3615</v>
      </c>
      <c r="D5" s="3023" t="s">
        <v>1327</v>
      </c>
      <c r="E5" s="3023" t="s">
        <v>3628</v>
      </c>
      <c r="F5" s="3023" t="s">
        <v>3187</v>
      </c>
      <c r="G5" s="3023">
        <v>17159</v>
      </c>
      <c r="H5" s="3023" t="s">
        <v>3616</v>
      </c>
      <c r="I5" s="3023">
        <v>3296.9</v>
      </c>
      <c r="J5" s="3023">
        <v>4945.3500000000004</v>
      </c>
      <c r="K5" s="3023" t="s">
        <v>3240</v>
      </c>
      <c r="L5" s="3023" t="s">
        <v>3629</v>
      </c>
      <c r="M5" s="3023" t="s">
        <v>3630</v>
      </c>
      <c r="N5" s="3023" t="s">
        <v>3631</v>
      </c>
      <c r="O5" s="3023">
        <v>1514</v>
      </c>
      <c r="P5" s="3023">
        <v>306.14999999999998</v>
      </c>
      <c r="Q5" s="3023">
        <v>3061.46</v>
      </c>
      <c r="R5" s="3023">
        <v>0</v>
      </c>
      <c r="S5" s="3023" t="s">
        <v>3216</v>
      </c>
      <c r="T5" s="3023" t="s">
        <v>3203</v>
      </c>
    </row>
    <row r="6" spans="1:20">
      <c r="A6" s="3023" t="s">
        <v>3632</v>
      </c>
      <c r="B6" s="3023" t="s">
        <v>3185</v>
      </c>
      <c r="C6" s="3023" t="s">
        <v>3615</v>
      </c>
      <c r="D6" s="3023" t="s">
        <v>1327</v>
      </c>
      <c r="E6" s="3023" t="s">
        <v>3632</v>
      </c>
      <c r="F6" s="3023" t="s">
        <v>3187</v>
      </c>
      <c r="G6" s="3023">
        <v>17042</v>
      </c>
      <c r="H6" s="3023" t="s">
        <v>3633</v>
      </c>
      <c r="I6" s="3023">
        <v>5230</v>
      </c>
      <c r="J6" s="3023">
        <v>23535</v>
      </c>
      <c r="K6" s="3023" t="s">
        <v>3634</v>
      </c>
      <c r="L6" s="3023" t="s">
        <v>3635</v>
      </c>
      <c r="M6" s="3023" t="s">
        <v>3636</v>
      </c>
      <c r="N6" s="3023" t="s">
        <v>3637</v>
      </c>
      <c r="O6" s="3023">
        <v>11109</v>
      </c>
      <c r="P6" s="3023">
        <v>1416.06</v>
      </c>
      <c r="Q6" s="3023">
        <v>4720.1899999999996</v>
      </c>
      <c r="R6" s="3023">
        <v>0</v>
      </c>
      <c r="S6" s="3023" t="s">
        <v>3216</v>
      </c>
      <c r="T6" s="3023" t="s">
        <v>3194</v>
      </c>
    </row>
    <row r="7" spans="1:20">
      <c r="A7" s="3023" t="s">
        <v>3871</v>
      </c>
      <c r="B7" s="3023" t="s">
        <v>3185</v>
      </c>
      <c r="C7" s="3023" t="s">
        <v>3615</v>
      </c>
      <c r="D7" s="3023" t="s">
        <v>1327</v>
      </c>
      <c r="E7" s="3023" t="s">
        <v>3871</v>
      </c>
      <c r="F7" s="3023" t="s">
        <v>3197</v>
      </c>
      <c r="G7" s="3023">
        <v>16075</v>
      </c>
      <c r="H7" s="3023" t="s">
        <v>3872</v>
      </c>
      <c r="I7" s="3023">
        <v>58634</v>
      </c>
      <c r="J7" s="3023">
        <v>80926</v>
      </c>
      <c r="K7" s="3023" t="s">
        <v>3873</v>
      </c>
      <c r="L7" s="3023" t="s">
        <v>3874</v>
      </c>
      <c r="M7" s="3023" t="s">
        <v>3875</v>
      </c>
      <c r="N7" s="3023" t="s">
        <v>3876</v>
      </c>
      <c r="O7" s="3023">
        <v>57824</v>
      </c>
      <c r="P7" s="3023">
        <v>657.46</v>
      </c>
      <c r="Q7" s="3023">
        <v>7145.28</v>
      </c>
      <c r="R7" s="3023">
        <v>0</v>
      </c>
      <c r="S7" s="3023" t="s">
        <v>3877</v>
      </c>
      <c r="T7" s="3023" t="s">
        <v>3194</v>
      </c>
    </row>
    <row r="8" spans="1:20" hidden="1">
      <c r="A8" s="3023" t="s">
        <v>3878</v>
      </c>
      <c r="B8" s="3023" t="s">
        <v>3185</v>
      </c>
      <c r="C8" s="3023" t="s">
        <v>3615</v>
      </c>
      <c r="D8" s="3023" t="s">
        <v>1327</v>
      </c>
      <c r="E8" s="3023" t="s">
        <v>3878</v>
      </c>
      <c r="F8" s="3023" t="s">
        <v>3197</v>
      </c>
      <c r="G8" s="3023">
        <v>16059</v>
      </c>
      <c r="H8" s="3023" t="s">
        <v>3616</v>
      </c>
      <c r="I8" s="3023">
        <v>2585</v>
      </c>
      <c r="J8" s="3023" t="s">
        <v>1327</v>
      </c>
      <c r="K8" s="3023" t="s">
        <v>3800</v>
      </c>
      <c r="L8" s="3023" t="s">
        <v>3879</v>
      </c>
      <c r="M8" s="3023" t="s">
        <v>3880</v>
      </c>
      <c r="N8" s="3023" t="s">
        <v>3881</v>
      </c>
      <c r="O8" s="3023">
        <v>1630</v>
      </c>
      <c r="P8" s="3023">
        <v>420.37</v>
      </c>
      <c r="Q8" s="3023" t="s">
        <v>1327</v>
      </c>
      <c r="R8" s="3023">
        <v>0</v>
      </c>
      <c r="S8" s="3023" t="s">
        <v>3216</v>
      </c>
      <c r="T8" s="3023" t="s">
        <v>3259</v>
      </c>
    </row>
    <row r="9" spans="1:20" s="3021" customFormat="1">
      <c r="A9" s="3022" t="s">
        <v>3882</v>
      </c>
      <c r="B9" s="3022" t="s">
        <v>3185</v>
      </c>
      <c r="C9" s="3022" t="s">
        <v>3615</v>
      </c>
      <c r="D9" s="3022" t="s">
        <v>1327</v>
      </c>
      <c r="E9" s="3022" t="s">
        <v>3882</v>
      </c>
      <c r="F9" s="3022" t="s">
        <v>3197</v>
      </c>
      <c r="G9" s="3022">
        <v>16038</v>
      </c>
      <c r="H9" s="3022" t="s">
        <v>3883</v>
      </c>
      <c r="I9" s="3022">
        <v>9972</v>
      </c>
      <c r="J9" s="3022">
        <v>13657</v>
      </c>
      <c r="K9" s="3022" t="s">
        <v>3884</v>
      </c>
      <c r="L9" s="3022" t="s">
        <v>3885</v>
      </c>
      <c r="M9" s="3022" t="s">
        <v>3886</v>
      </c>
      <c r="N9" s="3022" t="s">
        <v>3887</v>
      </c>
      <c r="O9" s="3022">
        <v>9600</v>
      </c>
      <c r="P9" s="3022">
        <v>641.79999999999995</v>
      </c>
      <c r="Q9" s="3022">
        <v>7029.35</v>
      </c>
      <c r="R9" s="3022">
        <v>2.71</v>
      </c>
      <c r="S9" s="3022" t="s">
        <v>3216</v>
      </c>
      <c r="T9" s="3022" t="s">
        <v>3194</v>
      </c>
    </row>
    <row r="10" spans="1:20">
      <c r="A10" s="3023" t="s">
        <v>3888</v>
      </c>
      <c r="B10" s="3023" t="s">
        <v>3185</v>
      </c>
      <c r="C10" s="3023" t="s">
        <v>3615</v>
      </c>
      <c r="D10" s="3023" t="s">
        <v>1327</v>
      </c>
      <c r="E10" s="3023" t="s">
        <v>3888</v>
      </c>
      <c r="F10" s="3023" t="s">
        <v>3197</v>
      </c>
      <c r="G10" s="3023">
        <v>16016</v>
      </c>
      <c r="H10" s="3023" t="s">
        <v>3633</v>
      </c>
      <c r="I10" s="3023">
        <v>19974</v>
      </c>
      <c r="J10" s="3023">
        <v>45000</v>
      </c>
      <c r="K10" s="3023" t="s">
        <v>3889</v>
      </c>
      <c r="L10" s="3023" t="s">
        <v>3890</v>
      </c>
      <c r="M10" s="3023" t="s">
        <v>3891</v>
      </c>
      <c r="N10" s="3023" t="s">
        <v>3892</v>
      </c>
      <c r="O10" s="3023">
        <v>15281</v>
      </c>
      <c r="P10" s="3023">
        <v>510.03</v>
      </c>
      <c r="Q10" s="3023">
        <v>3395.78</v>
      </c>
      <c r="R10" s="3023">
        <v>0</v>
      </c>
      <c r="S10" s="3023" t="s">
        <v>3216</v>
      </c>
      <c r="T10" s="3023" t="s">
        <v>3194</v>
      </c>
    </row>
    <row r="11" spans="1:20">
      <c r="A11" s="3023" t="s">
        <v>3893</v>
      </c>
      <c r="B11" s="3023" t="s">
        <v>3185</v>
      </c>
      <c r="C11" s="3023" t="s">
        <v>3615</v>
      </c>
      <c r="D11" s="3023" t="s">
        <v>1327</v>
      </c>
      <c r="E11" s="3023" t="s">
        <v>3893</v>
      </c>
      <c r="F11" s="3023" t="s">
        <v>3197</v>
      </c>
      <c r="G11" s="3023">
        <v>15162</v>
      </c>
      <c r="H11" s="3023" t="s">
        <v>3633</v>
      </c>
      <c r="I11" s="3023">
        <v>15798</v>
      </c>
      <c r="J11" s="3023">
        <v>12638</v>
      </c>
      <c r="K11" s="3023" t="s">
        <v>3770</v>
      </c>
      <c r="L11" s="3023" t="s">
        <v>3894</v>
      </c>
      <c r="M11" s="3023" t="s">
        <v>3895</v>
      </c>
      <c r="N11" s="3023" t="s">
        <v>3896</v>
      </c>
      <c r="O11" s="3023">
        <v>4440</v>
      </c>
      <c r="P11" s="3023">
        <v>187.37</v>
      </c>
      <c r="Q11" s="3023">
        <v>3513.21</v>
      </c>
      <c r="R11" s="3023">
        <v>0</v>
      </c>
      <c r="S11" s="3023" t="s">
        <v>1327</v>
      </c>
      <c r="T11" s="3023" t="s">
        <v>3300</v>
      </c>
    </row>
    <row r="12" spans="1:20">
      <c r="A12" s="3023" t="s">
        <v>3897</v>
      </c>
      <c r="B12" s="3023" t="s">
        <v>3185</v>
      </c>
      <c r="C12" s="3023" t="s">
        <v>3615</v>
      </c>
      <c r="D12" s="3023" t="s">
        <v>1327</v>
      </c>
      <c r="E12" s="3023" t="s">
        <v>3897</v>
      </c>
      <c r="F12" s="3023" t="s">
        <v>3197</v>
      </c>
      <c r="G12" s="3023">
        <v>15161</v>
      </c>
      <c r="H12" s="3023" t="s">
        <v>3633</v>
      </c>
      <c r="I12" s="3023">
        <v>4168</v>
      </c>
      <c r="J12" s="3023">
        <v>10420</v>
      </c>
      <c r="K12" s="3023" t="s">
        <v>3598</v>
      </c>
      <c r="L12" s="3023" t="s">
        <v>3894</v>
      </c>
      <c r="M12" s="3023" t="s">
        <v>3898</v>
      </c>
      <c r="N12" s="3023" t="s">
        <v>3896</v>
      </c>
      <c r="O12" s="3023">
        <v>1297</v>
      </c>
      <c r="P12" s="3023">
        <v>207.45</v>
      </c>
      <c r="Q12" s="3023">
        <v>1244.72</v>
      </c>
      <c r="R12" s="3023">
        <v>0</v>
      </c>
      <c r="S12" s="3023" t="s">
        <v>1327</v>
      </c>
      <c r="T12" s="3023" t="s">
        <v>3300</v>
      </c>
    </row>
    <row r="13" spans="1:20">
      <c r="A13" s="3023" t="s">
        <v>3899</v>
      </c>
      <c r="B13" s="3023" t="s">
        <v>3185</v>
      </c>
      <c r="C13" s="3023" t="s">
        <v>3615</v>
      </c>
      <c r="D13" s="3023" t="s">
        <v>1327</v>
      </c>
      <c r="E13" s="3023" t="s">
        <v>3899</v>
      </c>
      <c r="F13" s="3023" t="s">
        <v>3197</v>
      </c>
      <c r="G13" s="3023">
        <v>15134</v>
      </c>
      <c r="H13" s="3023" t="s">
        <v>3900</v>
      </c>
      <c r="I13" s="3023">
        <v>15433</v>
      </c>
      <c r="J13" s="3023">
        <v>30866</v>
      </c>
      <c r="K13" s="3023" t="s">
        <v>3901</v>
      </c>
      <c r="L13" s="3023" t="s">
        <v>3902</v>
      </c>
      <c r="M13" s="3023" t="s">
        <v>3903</v>
      </c>
      <c r="N13" s="3023" t="s">
        <v>3896</v>
      </c>
      <c r="O13" s="3023">
        <v>4322</v>
      </c>
      <c r="P13" s="3023">
        <v>186.7</v>
      </c>
      <c r="Q13" s="3023">
        <v>1400.25</v>
      </c>
      <c r="R13" s="3023">
        <v>0</v>
      </c>
      <c r="S13" s="3023" t="s">
        <v>3216</v>
      </c>
      <c r="T13" s="3023" t="s">
        <v>3300</v>
      </c>
    </row>
    <row r="14" spans="1:20">
      <c r="A14" s="3023" t="s">
        <v>3904</v>
      </c>
      <c r="B14" s="3023" t="s">
        <v>3185</v>
      </c>
      <c r="C14" s="3023" t="s">
        <v>3615</v>
      </c>
      <c r="D14" s="3023" t="s">
        <v>1327</v>
      </c>
      <c r="E14" s="3023" t="s">
        <v>3904</v>
      </c>
      <c r="F14" s="3023" t="s">
        <v>3197</v>
      </c>
      <c r="G14" s="3023">
        <v>15117</v>
      </c>
      <c r="H14" s="3023" t="s">
        <v>3633</v>
      </c>
      <c r="I14" s="3023">
        <v>79927</v>
      </c>
      <c r="J14" s="3023">
        <v>199817.5</v>
      </c>
      <c r="K14" s="3023" t="s">
        <v>3905</v>
      </c>
      <c r="L14" s="3023" t="s">
        <v>3906</v>
      </c>
      <c r="M14" s="3023" t="s">
        <v>3907</v>
      </c>
      <c r="N14" s="3023" t="s">
        <v>3553</v>
      </c>
      <c r="O14" s="3023">
        <v>24698</v>
      </c>
      <c r="P14" s="3023">
        <v>206</v>
      </c>
      <c r="Q14" s="3023">
        <v>1236.02</v>
      </c>
      <c r="R14" s="3023">
        <v>0</v>
      </c>
      <c r="S14" s="3023" t="s">
        <v>3216</v>
      </c>
      <c r="T14" s="3023" t="s">
        <v>3203</v>
      </c>
    </row>
    <row r="15" spans="1:20">
      <c r="A15" s="3023" t="s">
        <v>3908</v>
      </c>
      <c r="B15" s="3023" t="s">
        <v>3185</v>
      </c>
      <c r="C15" s="3023" t="s">
        <v>3615</v>
      </c>
      <c r="D15" s="3023" t="s">
        <v>1327</v>
      </c>
      <c r="E15" s="3023" t="s">
        <v>3908</v>
      </c>
      <c r="F15" s="3023" t="s">
        <v>3197</v>
      </c>
      <c r="G15" s="3023">
        <v>15115</v>
      </c>
      <c r="H15" s="3023" t="s">
        <v>3633</v>
      </c>
      <c r="I15" s="3023">
        <v>52840</v>
      </c>
      <c r="J15" s="3023">
        <v>110046</v>
      </c>
      <c r="K15" s="3023" t="s">
        <v>3909</v>
      </c>
      <c r="L15" s="3023" t="s">
        <v>3910</v>
      </c>
      <c r="M15" s="3023" t="s">
        <v>3911</v>
      </c>
      <c r="N15" s="3023" t="s">
        <v>3912</v>
      </c>
      <c r="O15" s="3023">
        <v>12101</v>
      </c>
      <c r="P15" s="3023">
        <v>152.66999999999999</v>
      </c>
      <c r="Q15" s="3023">
        <v>1099.6300000000001</v>
      </c>
      <c r="R15" s="3023">
        <v>0</v>
      </c>
      <c r="S15" s="3023" t="s">
        <v>3216</v>
      </c>
      <c r="T15" s="3023" t="s">
        <v>3300</v>
      </c>
    </row>
    <row r="16" spans="1:20" s="3021" customFormat="1">
      <c r="A16" s="3022" t="s">
        <v>3913</v>
      </c>
      <c r="B16" s="3022" t="s">
        <v>3185</v>
      </c>
      <c r="C16" s="3022" t="s">
        <v>3615</v>
      </c>
      <c r="D16" s="3022" t="s">
        <v>1327</v>
      </c>
      <c r="E16" s="3022" t="s">
        <v>3913</v>
      </c>
      <c r="F16" s="3022" t="s">
        <v>3187</v>
      </c>
      <c r="G16" s="3022">
        <v>15096</v>
      </c>
      <c r="H16" s="3022" t="s">
        <v>3914</v>
      </c>
      <c r="I16" s="3022">
        <v>7768</v>
      </c>
      <c r="J16" s="3022">
        <v>154000</v>
      </c>
      <c r="K16" s="3022" t="s">
        <v>3915</v>
      </c>
      <c r="L16" s="3022" t="s">
        <v>3916</v>
      </c>
      <c r="M16" s="3022" t="s">
        <v>3917</v>
      </c>
      <c r="N16" s="3022" t="s">
        <v>3918</v>
      </c>
      <c r="O16" s="3022">
        <v>127350</v>
      </c>
      <c r="P16" s="3022">
        <v>10929.45</v>
      </c>
      <c r="Q16" s="3022">
        <v>8269.4699999999993</v>
      </c>
      <c r="R16" s="3022">
        <v>0</v>
      </c>
      <c r="S16" s="3022" t="s">
        <v>3216</v>
      </c>
      <c r="T16" s="3022" t="s">
        <v>3194</v>
      </c>
    </row>
    <row r="17" spans="1:20">
      <c r="A17" s="3023" t="s">
        <v>3919</v>
      </c>
      <c r="B17" s="3023" t="s">
        <v>3185</v>
      </c>
      <c r="C17" s="3023" t="s">
        <v>3615</v>
      </c>
      <c r="D17" s="3023" t="s">
        <v>1327</v>
      </c>
      <c r="E17" s="3023" t="s">
        <v>3919</v>
      </c>
      <c r="F17" s="3023" t="s">
        <v>3187</v>
      </c>
      <c r="G17" s="3023">
        <v>15090</v>
      </c>
      <c r="H17" s="3023" t="s">
        <v>3633</v>
      </c>
      <c r="I17" s="3023">
        <v>9953</v>
      </c>
      <c r="J17" s="3023">
        <v>19910</v>
      </c>
      <c r="K17" s="3023" t="s">
        <v>3712</v>
      </c>
      <c r="L17" s="3023" t="s">
        <v>3916</v>
      </c>
      <c r="M17" s="3023" t="s">
        <v>3920</v>
      </c>
      <c r="N17" s="3023" t="s">
        <v>3921</v>
      </c>
      <c r="O17" s="3023">
        <v>4081</v>
      </c>
      <c r="P17" s="3023">
        <v>273.35000000000002</v>
      </c>
      <c r="Q17" s="3023">
        <v>2049.71</v>
      </c>
      <c r="R17" s="3023">
        <v>0</v>
      </c>
      <c r="S17" s="3023" t="s">
        <v>3216</v>
      </c>
      <c r="T17" s="3023" t="s">
        <v>3203</v>
      </c>
    </row>
    <row r="18" spans="1:20">
      <c r="A18" s="3023" t="s">
        <v>3922</v>
      </c>
      <c r="B18" s="3023" t="s">
        <v>3185</v>
      </c>
      <c r="C18" s="3023" t="s">
        <v>3615</v>
      </c>
      <c r="D18" s="3023" t="s">
        <v>1327</v>
      </c>
      <c r="E18" s="3023" t="s">
        <v>3922</v>
      </c>
      <c r="F18" s="3023" t="s">
        <v>3187</v>
      </c>
      <c r="G18" s="3023">
        <v>15097</v>
      </c>
      <c r="H18" s="3023" t="s">
        <v>3625</v>
      </c>
      <c r="I18" s="3023">
        <v>41797</v>
      </c>
      <c r="J18" s="3023">
        <v>62696</v>
      </c>
      <c r="K18" s="3023" t="s">
        <v>3561</v>
      </c>
      <c r="L18" s="3023" t="s">
        <v>3916</v>
      </c>
      <c r="M18" s="3023" t="s">
        <v>3923</v>
      </c>
      <c r="N18" s="3023" t="s">
        <v>3924</v>
      </c>
      <c r="O18" s="3023">
        <v>4515</v>
      </c>
      <c r="P18" s="3023">
        <v>72.010000000000005</v>
      </c>
      <c r="Q18" s="3023">
        <v>720.13</v>
      </c>
      <c r="R18" s="3023">
        <v>0</v>
      </c>
      <c r="S18" s="3023" t="s">
        <v>3216</v>
      </c>
      <c r="T18" s="3023" t="s">
        <v>3300</v>
      </c>
    </row>
    <row r="19" spans="1:20" s="3021" customFormat="1">
      <c r="A19" s="3022" t="s">
        <v>3925</v>
      </c>
      <c r="B19" s="3022" t="s">
        <v>3185</v>
      </c>
      <c r="C19" s="3022" t="s">
        <v>3615</v>
      </c>
      <c r="D19" s="3022" t="s">
        <v>1327</v>
      </c>
      <c r="E19" s="3022" t="s">
        <v>4071</v>
      </c>
      <c r="F19" s="3022" t="s">
        <v>3197</v>
      </c>
      <c r="G19" s="3022">
        <v>15004</v>
      </c>
      <c r="H19" s="3022" t="s">
        <v>3633</v>
      </c>
      <c r="I19" s="3022">
        <v>15277</v>
      </c>
      <c r="J19" s="3022">
        <v>114578</v>
      </c>
      <c r="K19" s="3022" t="s">
        <v>3926</v>
      </c>
      <c r="L19" s="3022" t="s">
        <v>3927</v>
      </c>
      <c r="M19" s="3022" t="s">
        <v>3928</v>
      </c>
      <c r="N19" s="3022" t="s">
        <v>3929</v>
      </c>
      <c r="O19" s="3022">
        <v>101968</v>
      </c>
      <c r="P19" s="3022">
        <v>4449.74</v>
      </c>
      <c r="Q19" s="3022">
        <v>8899.44</v>
      </c>
      <c r="R19" s="3022">
        <v>0</v>
      </c>
      <c r="S19" s="3022" t="s">
        <v>3216</v>
      </c>
      <c r="T19" s="3022" t="s">
        <v>3194</v>
      </c>
    </row>
    <row r="20" spans="1:20">
      <c r="A20" s="3023" t="s">
        <v>3930</v>
      </c>
      <c r="B20" s="3023" t="s">
        <v>3185</v>
      </c>
      <c r="C20" s="3023" t="s">
        <v>3615</v>
      </c>
      <c r="D20" s="3023" t="s">
        <v>1327</v>
      </c>
      <c r="E20" s="3023" t="s">
        <v>3930</v>
      </c>
      <c r="F20" s="3023" t="s">
        <v>3197</v>
      </c>
      <c r="G20" s="3023">
        <v>15003</v>
      </c>
      <c r="H20" s="3023" t="s">
        <v>3931</v>
      </c>
      <c r="I20" s="3023">
        <v>52846</v>
      </c>
      <c r="J20" s="3023">
        <v>154603</v>
      </c>
      <c r="K20" s="3023" t="s">
        <v>3932</v>
      </c>
      <c r="L20" s="3023" t="s">
        <v>3933</v>
      </c>
      <c r="M20" s="3023" t="s">
        <v>3934</v>
      </c>
      <c r="N20" s="3023" t="s">
        <v>3935</v>
      </c>
      <c r="O20" s="3023">
        <v>16729</v>
      </c>
      <c r="P20" s="3023">
        <v>211.04</v>
      </c>
      <c r="Q20" s="3023">
        <v>1082.05</v>
      </c>
      <c r="R20" s="3023">
        <v>0</v>
      </c>
      <c r="S20" s="3023" t="s">
        <v>3216</v>
      </c>
      <c r="T20" s="3023" t="s">
        <v>3300</v>
      </c>
    </row>
    <row r="21" spans="1:20" hidden="1">
      <c r="A21" s="3023" t="s">
        <v>3936</v>
      </c>
      <c r="B21" s="3023" t="s">
        <v>3185</v>
      </c>
      <c r="C21" s="3023" t="s">
        <v>3615</v>
      </c>
      <c r="D21" s="3023" t="s">
        <v>1327</v>
      </c>
      <c r="E21" s="3023" t="s">
        <v>3936</v>
      </c>
      <c r="F21" s="3023" t="s">
        <v>3197</v>
      </c>
      <c r="G21" s="3023">
        <v>14129</v>
      </c>
      <c r="H21" s="3023" t="s">
        <v>3672</v>
      </c>
      <c r="I21" s="3023">
        <v>4645</v>
      </c>
      <c r="J21" s="3023" t="s">
        <v>1327</v>
      </c>
      <c r="K21" s="3023" t="s">
        <v>3800</v>
      </c>
      <c r="L21" s="3023" t="s">
        <v>3937</v>
      </c>
      <c r="M21" s="3023" t="s">
        <v>3938</v>
      </c>
      <c r="N21" s="3023" t="s">
        <v>3631</v>
      </c>
      <c r="O21" s="3023">
        <v>2108</v>
      </c>
      <c r="P21" s="3023">
        <v>302.55</v>
      </c>
      <c r="Q21" s="3023" t="s">
        <v>1327</v>
      </c>
      <c r="R21" s="3023">
        <v>0</v>
      </c>
      <c r="S21" s="3023" t="s">
        <v>3216</v>
      </c>
      <c r="T21" s="3023" t="s">
        <v>3203</v>
      </c>
    </row>
    <row r="22" spans="1:20">
      <c r="A22" s="3023" t="s">
        <v>3939</v>
      </c>
      <c r="B22" s="3023" t="s">
        <v>3185</v>
      </c>
      <c r="C22" s="3023" t="s">
        <v>3615</v>
      </c>
      <c r="D22" s="3023" t="s">
        <v>1327</v>
      </c>
      <c r="E22" s="3023" t="s">
        <v>3939</v>
      </c>
      <c r="F22" s="3023" t="s">
        <v>3197</v>
      </c>
      <c r="G22" s="3023">
        <v>14119</v>
      </c>
      <c r="H22" s="3023" t="s">
        <v>3625</v>
      </c>
      <c r="I22" s="3023">
        <v>11636</v>
      </c>
      <c r="J22" s="3023">
        <v>17454</v>
      </c>
      <c r="K22" s="3023" t="s">
        <v>3940</v>
      </c>
      <c r="L22" s="3023" t="s">
        <v>3941</v>
      </c>
      <c r="M22" s="3023" t="s">
        <v>3942</v>
      </c>
      <c r="N22" s="3023" t="s">
        <v>3943</v>
      </c>
      <c r="O22" s="3023">
        <v>1050</v>
      </c>
      <c r="P22" s="3023">
        <v>60.16</v>
      </c>
      <c r="Q22" s="3023">
        <v>601.58000000000004</v>
      </c>
      <c r="R22" s="3023">
        <v>0</v>
      </c>
      <c r="S22" s="3023" t="s">
        <v>3216</v>
      </c>
      <c r="T22" s="3023" t="s">
        <v>3300</v>
      </c>
    </row>
    <row r="23" spans="1:20">
      <c r="A23" s="3023" t="s">
        <v>3944</v>
      </c>
      <c r="B23" s="3023" t="s">
        <v>3185</v>
      </c>
      <c r="C23" s="3023" t="s">
        <v>3615</v>
      </c>
      <c r="D23" s="3023" t="s">
        <v>1327</v>
      </c>
      <c r="E23" s="3023" t="s">
        <v>3944</v>
      </c>
      <c r="F23" s="3023" t="s">
        <v>3197</v>
      </c>
      <c r="G23" s="3023">
        <v>14120</v>
      </c>
      <c r="H23" s="3023" t="s">
        <v>3625</v>
      </c>
      <c r="I23" s="3023">
        <v>13467</v>
      </c>
      <c r="J23" s="3023">
        <v>20200.5</v>
      </c>
      <c r="K23" s="3023" t="s">
        <v>3940</v>
      </c>
      <c r="L23" s="3023" t="s">
        <v>3941</v>
      </c>
      <c r="M23" s="3023" t="s">
        <v>3945</v>
      </c>
      <c r="N23" s="3023" t="s">
        <v>3946</v>
      </c>
      <c r="O23" s="3023">
        <v>1220</v>
      </c>
      <c r="P23" s="3023">
        <v>60.39</v>
      </c>
      <c r="Q23" s="3023">
        <v>603.95000000000005</v>
      </c>
      <c r="R23" s="3023">
        <v>0.41</v>
      </c>
      <c r="S23" s="3023" t="s">
        <v>3216</v>
      </c>
      <c r="T23" s="3023" t="s">
        <v>3203</v>
      </c>
    </row>
    <row r="24" spans="1:20">
      <c r="A24" s="3023" t="s">
        <v>3947</v>
      </c>
      <c r="B24" s="3023" t="s">
        <v>3185</v>
      </c>
      <c r="C24" s="3023" t="s">
        <v>3615</v>
      </c>
      <c r="D24" s="3023" t="s">
        <v>1327</v>
      </c>
      <c r="E24" s="3023" t="s">
        <v>3947</v>
      </c>
      <c r="F24" s="3023" t="s">
        <v>3197</v>
      </c>
      <c r="G24" s="3023">
        <v>14118</v>
      </c>
      <c r="H24" s="3023" t="s">
        <v>3625</v>
      </c>
      <c r="I24" s="3023">
        <v>25003</v>
      </c>
      <c r="J24" s="3023">
        <v>37504.5</v>
      </c>
      <c r="K24" s="3023" t="s">
        <v>3940</v>
      </c>
      <c r="L24" s="3023" t="s">
        <v>3941</v>
      </c>
      <c r="M24" s="3023" t="s">
        <v>3948</v>
      </c>
      <c r="N24" s="3023" t="s">
        <v>3949</v>
      </c>
      <c r="O24" s="3023">
        <v>2254</v>
      </c>
      <c r="P24" s="3023">
        <v>60.1</v>
      </c>
      <c r="Q24" s="3023">
        <v>600.99</v>
      </c>
      <c r="R24" s="3023">
        <v>0</v>
      </c>
      <c r="S24" s="3023" t="s">
        <v>3216</v>
      </c>
      <c r="T24" s="3023" t="s">
        <v>3300</v>
      </c>
    </row>
    <row r="25" spans="1:20">
      <c r="A25" s="3023" t="s">
        <v>3950</v>
      </c>
      <c r="B25" s="3023" t="s">
        <v>3185</v>
      </c>
      <c r="C25" s="3023" t="s">
        <v>3615</v>
      </c>
      <c r="D25" s="3023" t="s">
        <v>1327</v>
      </c>
      <c r="E25" s="3023" t="s">
        <v>3950</v>
      </c>
      <c r="F25" s="3023" t="s">
        <v>3197</v>
      </c>
      <c r="G25" s="3023">
        <v>14025</v>
      </c>
      <c r="H25" s="3023" t="s">
        <v>3951</v>
      </c>
      <c r="I25" s="3023">
        <v>41901</v>
      </c>
      <c r="J25" s="3023">
        <v>96372.3</v>
      </c>
      <c r="K25" s="3023" t="s">
        <v>3952</v>
      </c>
      <c r="L25" s="3023" t="s">
        <v>3953</v>
      </c>
      <c r="M25" s="3023" t="s">
        <v>3954</v>
      </c>
      <c r="N25" s="3023" t="s">
        <v>3955</v>
      </c>
      <c r="O25" s="3023">
        <v>35825</v>
      </c>
      <c r="P25" s="3023">
        <v>569.99</v>
      </c>
      <c r="Q25" s="3023">
        <v>3717.34</v>
      </c>
      <c r="R25" s="3023">
        <v>0</v>
      </c>
      <c r="S25" s="3023" t="s">
        <v>3216</v>
      </c>
      <c r="T25" s="3023" t="s">
        <v>3300</v>
      </c>
    </row>
    <row r="26" spans="1:20" hidden="1">
      <c r="A26" s="3023" t="s">
        <v>3956</v>
      </c>
      <c r="B26" s="3023" t="s">
        <v>3185</v>
      </c>
      <c r="C26" s="3023" t="s">
        <v>3615</v>
      </c>
      <c r="D26" s="3023" t="s">
        <v>1327</v>
      </c>
      <c r="E26" s="3023" t="s">
        <v>3956</v>
      </c>
      <c r="F26" s="3023" t="s">
        <v>3197</v>
      </c>
      <c r="G26" s="3023">
        <v>14027</v>
      </c>
      <c r="H26" s="3023" t="s">
        <v>3616</v>
      </c>
      <c r="I26" s="3023">
        <v>3360</v>
      </c>
      <c r="J26" s="3023" t="s">
        <v>1327</v>
      </c>
      <c r="K26" s="3023" t="s">
        <v>1327</v>
      </c>
      <c r="L26" s="3023" t="s">
        <v>3953</v>
      </c>
      <c r="M26" s="3023" t="s">
        <v>3957</v>
      </c>
      <c r="N26" s="3023" t="s">
        <v>3689</v>
      </c>
      <c r="O26" s="3023">
        <v>1443</v>
      </c>
      <c r="P26" s="3023">
        <v>286.31</v>
      </c>
      <c r="Q26" s="3023" t="s">
        <v>1327</v>
      </c>
      <c r="R26" s="3023">
        <v>0</v>
      </c>
      <c r="S26" s="3023" t="s">
        <v>3216</v>
      </c>
      <c r="T26" s="3023" t="s">
        <v>3300</v>
      </c>
    </row>
    <row r="27" spans="1:20" hidden="1">
      <c r="A27" s="3023" t="s">
        <v>3958</v>
      </c>
      <c r="B27" s="3023" t="s">
        <v>3185</v>
      </c>
      <c r="C27" s="3023" t="s">
        <v>3615</v>
      </c>
      <c r="D27" s="3023" t="s">
        <v>1327</v>
      </c>
      <c r="E27" s="3023" t="s">
        <v>3958</v>
      </c>
      <c r="F27" s="3023" t="s">
        <v>3197</v>
      </c>
      <c r="G27" s="3023">
        <v>14026</v>
      </c>
      <c r="H27" s="3023" t="s">
        <v>3616</v>
      </c>
      <c r="I27" s="3023">
        <v>2496</v>
      </c>
      <c r="J27" s="3023" t="s">
        <v>1327</v>
      </c>
      <c r="K27" s="3023" t="s">
        <v>1327</v>
      </c>
      <c r="L27" s="3023" t="s">
        <v>3953</v>
      </c>
      <c r="M27" s="3023" t="s">
        <v>3959</v>
      </c>
      <c r="N27" s="3023" t="s">
        <v>3631</v>
      </c>
      <c r="O27" s="3023">
        <v>936</v>
      </c>
      <c r="P27" s="3023">
        <v>250</v>
      </c>
      <c r="Q27" s="3023" t="s">
        <v>1327</v>
      </c>
      <c r="R27" s="3023">
        <v>0</v>
      </c>
      <c r="S27" s="3023" t="s">
        <v>3216</v>
      </c>
      <c r="T27" s="3023" t="s">
        <v>3300</v>
      </c>
    </row>
    <row r="28" spans="1:20">
      <c r="A28" s="3023" t="s">
        <v>3960</v>
      </c>
      <c r="B28" s="3023" t="s">
        <v>3185</v>
      </c>
      <c r="C28" s="3023" t="s">
        <v>3615</v>
      </c>
      <c r="D28" s="3023" t="s">
        <v>1327</v>
      </c>
      <c r="E28" s="3023" t="s">
        <v>3960</v>
      </c>
      <c r="F28" s="3023" t="s">
        <v>3197</v>
      </c>
      <c r="G28" s="3023">
        <v>13259</v>
      </c>
      <c r="H28" s="3023" t="s">
        <v>3649</v>
      </c>
      <c r="I28" s="3023">
        <v>96365</v>
      </c>
      <c r="J28" s="3023">
        <v>164186.70000000001</v>
      </c>
      <c r="K28" s="3023" t="s">
        <v>3961</v>
      </c>
      <c r="L28" s="3023" t="s">
        <v>3962</v>
      </c>
      <c r="M28" s="3023" t="s">
        <v>3963</v>
      </c>
      <c r="N28" s="3023" t="s">
        <v>3912</v>
      </c>
      <c r="O28" s="3023">
        <v>9852</v>
      </c>
      <c r="P28" s="3023">
        <v>68.16</v>
      </c>
      <c r="Q28" s="3023">
        <v>600.04</v>
      </c>
      <c r="R28" s="3023">
        <v>0</v>
      </c>
      <c r="S28" s="3023" t="s">
        <v>3216</v>
      </c>
      <c r="T28" s="3023" t="s">
        <v>3300</v>
      </c>
    </row>
    <row r="29" spans="1:20">
      <c r="A29" s="3023" t="s">
        <v>3964</v>
      </c>
      <c r="B29" s="3023" t="s">
        <v>3185</v>
      </c>
      <c r="C29" s="3023" t="s">
        <v>3615</v>
      </c>
      <c r="D29" s="3023" t="s">
        <v>1327</v>
      </c>
      <c r="E29" s="3023" t="s">
        <v>3964</v>
      </c>
      <c r="F29" s="3023" t="s">
        <v>3197</v>
      </c>
      <c r="G29" s="3023">
        <v>13204</v>
      </c>
      <c r="H29" s="3023" t="s">
        <v>3633</v>
      </c>
      <c r="I29" s="3023">
        <v>116680</v>
      </c>
      <c r="J29" s="3023">
        <v>106502</v>
      </c>
      <c r="K29" s="3023" t="s">
        <v>3965</v>
      </c>
      <c r="L29" s="3023" t="s">
        <v>3966</v>
      </c>
      <c r="M29" s="3023" t="s">
        <v>3967</v>
      </c>
      <c r="N29" s="3023" t="s">
        <v>3968</v>
      </c>
      <c r="O29" s="3023">
        <v>145093</v>
      </c>
      <c r="P29" s="3023">
        <v>829.01</v>
      </c>
      <c r="Q29" s="3023">
        <v>13623.5</v>
      </c>
      <c r="R29" s="3023">
        <v>0</v>
      </c>
      <c r="S29" s="3023" t="s">
        <v>3216</v>
      </c>
      <c r="T29" s="3023" t="s">
        <v>3194</v>
      </c>
    </row>
    <row r="30" spans="1:20">
      <c r="A30" s="3023" t="s">
        <v>3969</v>
      </c>
      <c r="B30" s="3023" t="s">
        <v>3185</v>
      </c>
      <c r="C30" s="3023" t="s">
        <v>3615</v>
      </c>
      <c r="D30" s="3023" t="s">
        <v>1327</v>
      </c>
      <c r="E30" s="3023" t="s">
        <v>3969</v>
      </c>
      <c r="F30" s="3023" t="s">
        <v>3197</v>
      </c>
      <c r="G30" s="3023">
        <v>13188</v>
      </c>
      <c r="H30" s="3023" t="s">
        <v>3739</v>
      </c>
      <c r="I30" s="3023">
        <v>50127</v>
      </c>
      <c r="J30" s="3023">
        <v>75190.5</v>
      </c>
      <c r="K30" s="3023" t="s">
        <v>3970</v>
      </c>
      <c r="L30" s="3023" t="s">
        <v>3971</v>
      </c>
      <c r="M30" s="3023" t="s">
        <v>3972</v>
      </c>
      <c r="N30" s="3023" t="s">
        <v>3553</v>
      </c>
      <c r="O30" s="3023">
        <v>8027</v>
      </c>
      <c r="P30" s="3023">
        <v>106.76</v>
      </c>
      <c r="Q30" s="3023">
        <v>1067.55</v>
      </c>
      <c r="R30" s="3023">
        <v>0</v>
      </c>
      <c r="S30" s="3023" t="s">
        <v>3216</v>
      </c>
      <c r="T30" s="3023" t="s">
        <v>3203</v>
      </c>
    </row>
    <row r="31" spans="1:20">
      <c r="A31" s="3023" t="s">
        <v>3973</v>
      </c>
      <c r="B31" s="3023" t="s">
        <v>3185</v>
      </c>
      <c r="C31" s="3023" t="s">
        <v>3615</v>
      </c>
      <c r="D31" s="3023" t="s">
        <v>1327</v>
      </c>
      <c r="E31" s="3023" t="s">
        <v>3973</v>
      </c>
      <c r="F31" s="3023" t="s">
        <v>3197</v>
      </c>
      <c r="G31" s="3023">
        <v>13165</v>
      </c>
      <c r="H31" s="3023" t="s">
        <v>3633</v>
      </c>
      <c r="I31" s="3023">
        <v>4997</v>
      </c>
      <c r="J31" s="3023">
        <v>9994.4</v>
      </c>
      <c r="K31" s="3023" t="s">
        <v>3974</v>
      </c>
      <c r="L31" s="3023" t="s">
        <v>3975</v>
      </c>
      <c r="M31" s="3023" t="s">
        <v>3976</v>
      </c>
      <c r="N31" s="3023" t="s">
        <v>3977</v>
      </c>
      <c r="O31" s="3023">
        <v>6519</v>
      </c>
      <c r="P31" s="3023">
        <v>869.72</v>
      </c>
      <c r="Q31" s="3023">
        <v>6522.64</v>
      </c>
      <c r="R31" s="3023">
        <v>0</v>
      </c>
      <c r="S31" s="3023" t="s">
        <v>3216</v>
      </c>
      <c r="T31" s="3023" t="s">
        <v>3194</v>
      </c>
    </row>
    <row r="32" spans="1:20">
      <c r="A32" s="3023" t="s">
        <v>3978</v>
      </c>
      <c r="B32" s="3023" t="s">
        <v>3185</v>
      </c>
      <c r="C32" s="3023" t="s">
        <v>3615</v>
      </c>
      <c r="D32" s="3023" t="s">
        <v>1327</v>
      </c>
      <c r="E32" s="3023" t="s">
        <v>3978</v>
      </c>
      <c r="F32" s="3023" t="s">
        <v>3197</v>
      </c>
      <c r="G32" s="3023">
        <v>13159</v>
      </c>
      <c r="H32" s="3023" t="s">
        <v>3633</v>
      </c>
      <c r="I32" s="3023">
        <v>18080</v>
      </c>
      <c r="J32" s="3023">
        <v>182800</v>
      </c>
      <c r="K32" s="3023" t="s">
        <v>3979</v>
      </c>
      <c r="L32" s="3023" t="s">
        <v>3975</v>
      </c>
      <c r="M32" s="3023" t="s">
        <v>3980</v>
      </c>
      <c r="N32" s="3023" t="s">
        <v>3981</v>
      </c>
      <c r="O32" s="3023">
        <v>128176</v>
      </c>
      <c r="P32" s="3023">
        <v>4726.25</v>
      </c>
      <c r="Q32" s="3023">
        <v>7011.81</v>
      </c>
      <c r="R32" s="3023">
        <v>0</v>
      </c>
      <c r="S32" s="3023" t="s">
        <v>3216</v>
      </c>
      <c r="T32" s="3023" t="s">
        <v>3194</v>
      </c>
    </row>
    <row r="33" spans="1:20">
      <c r="A33" s="3023" t="s">
        <v>3982</v>
      </c>
      <c r="B33" s="3023" t="s">
        <v>3185</v>
      </c>
      <c r="C33" s="3023" t="s">
        <v>3615</v>
      </c>
      <c r="D33" s="3023" t="s">
        <v>1327</v>
      </c>
      <c r="E33" s="3023" t="s">
        <v>3982</v>
      </c>
      <c r="F33" s="3023" t="s">
        <v>3197</v>
      </c>
      <c r="G33" s="3023">
        <v>13157</v>
      </c>
      <c r="H33" s="3023" t="s">
        <v>3633</v>
      </c>
      <c r="I33" s="3023">
        <v>72069</v>
      </c>
      <c r="J33" s="3023">
        <v>172965.6</v>
      </c>
      <c r="K33" s="3023" t="s">
        <v>3983</v>
      </c>
      <c r="L33" s="3023" t="s">
        <v>3984</v>
      </c>
      <c r="M33" s="3023" t="s">
        <v>3985</v>
      </c>
      <c r="N33" s="3023" t="s">
        <v>3986</v>
      </c>
      <c r="O33" s="3023">
        <v>54725</v>
      </c>
      <c r="P33" s="3023">
        <v>506.23</v>
      </c>
      <c r="Q33" s="3023">
        <v>3163.92</v>
      </c>
      <c r="R33" s="3023">
        <v>0</v>
      </c>
      <c r="S33" s="3023" t="s">
        <v>3216</v>
      </c>
      <c r="T33" s="3023" t="s">
        <v>3194</v>
      </c>
    </row>
    <row r="34" spans="1:20">
      <c r="A34" s="3023" t="s">
        <v>3987</v>
      </c>
      <c r="B34" s="3023" t="s">
        <v>3185</v>
      </c>
      <c r="C34" s="3023" t="s">
        <v>3615</v>
      </c>
      <c r="D34" s="3023" t="s">
        <v>1327</v>
      </c>
      <c r="E34" s="3023" t="s">
        <v>3987</v>
      </c>
      <c r="F34" s="3023" t="s">
        <v>3197</v>
      </c>
      <c r="G34" s="3023">
        <v>13117</v>
      </c>
      <c r="H34" s="3023" t="s">
        <v>3649</v>
      </c>
      <c r="I34" s="3023">
        <v>55650</v>
      </c>
      <c r="J34" s="3023">
        <v>127995</v>
      </c>
      <c r="K34" s="3023" t="s">
        <v>3988</v>
      </c>
      <c r="L34" s="3023" t="s">
        <v>3989</v>
      </c>
      <c r="M34" s="3023" t="s">
        <v>3990</v>
      </c>
      <c r="N34" s="3023" t="s">
        <v>3912</v>
      </c>
      <c r="O34" s="3023">
        <v>7834</v>
      </c>
      <c r="P34" s="3023">
        <v>93.85</v>
      </c>
      <c r="Q34" s="3023">
        <v>612.04999999999995</v>
      </c>
      <c r="R34" s="3023">
        <v>0</v>
      </c>
      <c r="S34" s="3023" t="s">
        <v>3216</v>
      </c>
      <c r="T34" s="3023" t="s">
        <v>3300</v>
      </c>
    </row>
    <row r="35" spans="1:20">
      <c r="A35" s="3023" t="s">
        <v>3991</v>
      </c>
      <c r="B35" s="3023" t="s">
        <v>3185</v>
      </c>
      <c r="C35" s="3023" t="s">
        <v>3615</v>
      </c>
      <c r="D35" s="3023" t="s">
        <v>1327</v>
      </c>
      <c r="E35" s="3023" t="s">
        <v>3991</v>
      </c>
      <c r="F35" s="3023" t="s">
        <v>3197</v>
      </c>
      <c r="G35" s="3023">
        <v>13118</v>
      </c>
      <c r="H35" s="3023" t="s">
        <v>3649</v>
      </c>
      <c r="I35" s="3023">
        <v>112255</v>
      </c>
      <c r="J35" s="3023">
        <v>202059</v>
      </c>
      <c r="K35" s="3023" t="s">
        <v>3992</v>
      </c>
      <c r="L35" s="3023" t="s">
        <v>3989</v>
      </c>
      <c r="M35" s="3023" t="s">
        <v>3993</v>
      </c>
      <c r="N35" s="3023" t="s">
        <v>3994</v>
      </c>
      <c r="O35" s="3023">
        <v>12124</v>
      </c>
      <c r="P35" s="3023">
        <v>72</v>
      </c>
      <c r="Q35" s="3023">
        <v>600.01</v>
      </c>
      <c r="R35" s="3023">
        <v>0</v>
      </c>
      <c r="S35" s="3023" t="s">
        <v>3216</v>
      </c>
      <c r="T35" s="3023" t="s">
        <v>3300</v>
      </c>
    </row>
    <row r="36" spans="1:20">
      <c r="A36" s="3023" t="s">
        <v>3995</v>
      </c>
      <c r="B36" s="3023" t="s">
        <v>3185</v>
      </c>
      <c r="C36" s="3023" t="s">
        <v>3615</v>
      </c>
      <c r="D36" s="3023" t="s">
        <v>1327</v>
      </c>
      <c r="E36" s="3023" t="s">
        <v>3995</v>
      </c>
      <c r="F36" s="3023" t="s">
        <v>3197</v>
      </c>
      <c r="G36" s="3023">
        <v>13110</v>
      </c>
      <c r="H36" s="3023" t="s">
        <v>3649</v>
      </c>
      <c r="I36" s="3023">
        <v>43298</v>
      </c>
      <c r="J36" s="3023">
        <v>64947</v>
      </c>
      <c r="K36" s="3023" t="s">
        <v>3970</v>
      </c>
      <c r="L36" s="3023" t="s">
        <v>3996</v>
      </c>
      <c r="M36" s="3023" t="s">
        <v>3997</v>
      </c>
      <c r="N36" s="3023" t="s">
        <v>3998</v>
      </c>
      <c r="O36" s="3023">
        <v>3787</v>
      </c>
      <c r="P36" s="3023">
        <v>58.31</v>
      </c>
      <c r="Q36" s="3023">
        <v>583.09</v>
      </c>
      <c r="R36" s="3023">
        <v>0</v>
      </c>
      <c r="S36" s="3023" t="s">
        <v>3216</v>
      </c>
      <c r="T36" s="3023" t="s">
        <v>3619</v>
      </c>
    </row>
    <row r="37" spans="1:20">
      <c r="A37" s="3023" t="s">
        <v>3999</v>
      </c>
      <c r="B37" s="3023" t="s">
        <v>3185</v>
      </c>
      <c r="C37" s="3023" t="s">
        <v>3615</v>
      </c>
      <c r="D37" s="3023" t="s">
        <v>1327</v>
      </c>
      <c r="E37" s="3023" t="s">
        <v>3999</v>
      </c>
      <c r="F37" s="3023" t="s">
        <v>3197</v>
      </c>
      <c r="G37" s="3023">
        <v>13108</v>
      </c>
      <c r="H37" s="3023" t="s">
        <v>3633</v>
      </c>
      <c r="I37" s="3023">
        <v>9507</v>
      </c>
      <c r="J37" s="3023">
        <v>101000</v>
      </c>
      <c r="K37" s="3023" t="s">
        <v>4000</v>
      </c>
      <c r="L37" s="3023" t="s">
        <v>4001</v>
      </c>
      <c r="M37" s="3023" t="s">
        <v>4002</v>
      </c>
      <c r="N37" s="3023" t="s">
        <v>4003</v>
      </c>
      <c r="O37" s="3023">
        <v>72877</v>
      </c>
      <c r="P37" s="3023">
        <v>5110.41</v>
      </c>
      <c r="Q37" s="3023">
        <v>7215.53</v>
      </c>
      <c r="R37" s="3023">
        <v>0</v>
      </c>
      <c r="S37" s="3023" t="s">
        <v>3216</v>
      </c>
      <c r="T37" s="3023" t="s">
        <v>3194</v>
      </c>
    </row>
    <row r="38" spans="1:20">
      <c r="A38" s="3023" t="s">
        <v>4004</v>
      </c>
      <c r="B38" s="3023" t="s">
        <v>3185</v>
      </c>
      <c r="C38" s="3023" t="s">
        <v>3615</v>
      </c>
      <c r="D38" s="3023" t="s">
        <v>1327</v>
      </c>
      <c r="E38" s="3023" t="s">
        <v>4004</v>
      </c>
      <c r="F38" s="3023" t="s">
        <v>3197</v>
      </c>
      <c r="G38" s="3023">
        <v>13107</v>
      </c>
      <c r="H38" s="3023" t="s">
        <v>3649</v>
      </c>
      <c r="I38" s="3023">
        <v>39978</v>
      </c>
      <c r="J38" s="3023">
        <v>59967</v>
      </c>
      <c r="K38" s="3023" t="s">
        <v>3561</v>
      </c>
      <c r="L38" s="3023" t="s">
        <v>4005</v>
      </c>
      <c r="M38" s="3023" t="s">
        <v>4006</v>
      </c>
      <c r="N38" s="3023" t="s">
        <v>4007</v>
      </c>
      <c r="O38" s="3023">
        <v>3650</v>
      </c>
      <c r="P38" s="3023">
        <v>60.87</v>
      </c>
      <c r="Q38" s="3023">
        <v>608.66</v>
      </c>
      <c r="R38" s="3023">
        <v>4.38</v>
      </c>
      <c r="S38" s="3023" t="s">
        <v>3216</v>
      </c>
      <c r="T38" s="3023" t="s">
        <v>3619</v>
      </c>
    </row>
    <row r="39" spans="1:20">
      <c r="A39" s="3023" t="s">
        <v>4008</v>
      </c>
      <c r="B39" s="3023" t="s">
        <v>3185</v>
      </c>
      <c r="C39" s="3023" t="s">
        <v>3615</v>
      </c>
      <c r="D39" s="3023" t="s">
        <v>1327</v>
      </c>
      <c r="E39" s="3023" t="s">
        <v>4008</v>
      </c>
      <c r="F39" s="3023" t="s">
        <v>3197</v>
      </c>
      <c r="G39" s="3023">
        <v>13105</v>
      </c>
      <c r="H39" s="3023" t="s">
        <v>3649</v>
      </c>
      <c r="I39" s="3023">
        <v>39847</v>
      </c>
      <c r="J39" s="3023">
        <v>71724.600000000006</v>
      </c>
      <c r="K39" s="3023" t="s">
        <v>4009</v>
      </c>
      <c r="L39" s="3023" t="s">
        <v>4005</v>
      </c>
      <c r="M39" s="3023" t="s">
        <v>4010</v>
      </c>
      <c r="N39" s="3023" t="s">
        <v>4007</v>
      </c>
      <c r="O39" s="3023">
        <v>4850</v>
      </c>
      <c r="P39" s="3023">
        <v>81.14</v>
      </c>
      <c r="Q39" s="3023">
        <v>676.2</v>
      </c>
      <c r="R39" s="3023">
        <v>15.97</v>
      </c>
      <c r="S39" s="3023" t="s">
        <v>3216</v>
      </c>
      <c r="T39" s="3023" t="s">
        <v>3300</v>
      </c>
    </row>
    <row r="40" spans="1:20">
      <c r="A40" s="3023" t="s">
        <v>4011</v>
      </c>
      <c r="B40" s="3023" t="s">
        <v>3185</v>
      </c>
      <c r="C40" s="3023" t="s">
        <v>3615</v>
      </c>
      <c r="D40" s="3023" t="s">
        <v>1327</v>
      </c>
      <c r="E40" s="3023" t="s">
        <v>4011</v>
      </c>
      <c r="F40" s="3023" t="s">
        <v>3197</v>
      </c>
      <c r="G40" s="3023">
        <v>12181</v>
      </c>
      <c r="H40" s="3023" t="s">
        <v>4012</v>
      </c>
      <c r="I40" s="3023">
        <v>4580</v>
      </c>
      <c r="J40" s="3023">
        <v>18323.8</v>
      </c>
      <c r="K40" s="3023" t="s">
        <v>4013</v>
      </c>
      <c r="L40" s="3023" t="s">
        <v>4014</v>
      </c>
      <c r="M40" s="3023" t="s">
        <v>4015</v>
      </c>
      <c r="N40" s="3023" t="s">
        <v>4016</v>
      </c>
      <c r="O40" s="3023">
        <v>5200</v>
      </c>
      <c r="P40" s="3023">
        <v>756.91</v>
      </c>
      <c r="Q40" s="3023">
        <v>2837.84</v>
      </c>
      <c r="R40" s="3023">
        <v>0.44</v>
      </c>
      <c r="S40" s="3023" t="s">
        <v>3216</v>
      </c>
      <c r="T40" s="3023" t="s">
        <v>3194</v>
      </c>
    </row>
    <row r="41" spans="1:20">
      <c r="A41" s="3023" t="s">
        <v>4017</v>
      </c>
      <c r="B41" s="3023" t="s">
        <v>3185</v>
      </c>
      <c r="C41" s="3023" t="s">
        <v>3615</v>
      </c>
      <c r="D41" s="3023" t="s">
        <v>1327</v>
      </c>
      <c r="E41" s="3023" t="s">
        <v>4017</v>
      </c>
      <c r="F41" s="3023" t="s">
        <v>3187</v>
      </c>
      <c r="G41" s="3023">
        <v>12131</v>
      </c>
      <c r="H41" s="3023" t="s">
        <v>4012</v>
      </c>
      <c r="I41" s="3023">
        <v>22444</v>
      </c>
      <c r="J41" s="3023" t="s">
        <v>1327</v>
      </c>
      <c r="K41" s="3023" t="s">
        <v>1327</v>
      </c>
      <c r="L41" s="3023" t="s">
        <v>4018</v>
      </c>
      <c r="M41" s="3023" t="s">
        <v>1327</v>
      </c>
      <c r="N41" s="3023" t="s">
        <v>4019</v>
      </c>
      <c r="O41" s="3023">
        <v>12626</v>
      </c>
      <c r="P41" s="3023">
        <v>375.04</v>
      </c>
      <c r="Q41" s="3023" t="s">
        <v>1327</v>
      </c>
      <c r="R41" s="3023">
        <v>0</v>
      </c>
      <c r="S41" s="3023" t="s">
        <v>3216</v>
      </c>
      <c r="T41" s="3023" t="s">
        <v>3300</v>
      </c>
    </row>
    <row r="42" spans="1:20">
      <c r="A42" s="3023" t="s">
        <v>4020</v>
      </c>
      <c r="B42" s="3023" t="s">
        <v>3185</v>
      </c>
      <c r="C42" s="3023" t="s">
        <v>3615</v>
      </c>
      <c r="D42" s="3023" t="s">
        <v>1327</v>
      </c>
      <c r="E42" s="3023" t="s">
        <v>4020</v>
      </c>
      <c r="F42" s="3023" t="s">
        <v>3187</v>
      </c>
      <c r="G42" s="3023">
        <v>12122</v>
      </c>
      <c r="H42" s="3023" t="s">
        <v>3701</v>
      </c>
      <c r="I42" s="3023">
        <v>29126</v>
      </c>
      <c r="J42" s="3023">
        <v>550000</v>
      </c>
      <c r="K42" s="3023" t="s">
        <v>4021</v>
      </c>
      <c r="L42" s="3023" t="s">
        <v>4022</v>
      </c>
      <c r="M42" s="3023" t="s">
        <v>1327</v>
      </c>
      <c r="N42" s="3023" t="s">
        <v>4023</v>
      </c>
      <c r="O42" s="3023">
        <v>174000</v>
      </c>
      <c r="P42" s="3023">
        <v>3982.7</v>
      </c>
      <c r="Q42" s="3023">
        <v>3163.63</v>
      </c>
      <c r="R42" s="3023" t="s">
        <v>1327</v>
      </c>
      <c r="S42" s="3023" t="s">
        <v>3216</v>
      </c>
      <c r="T42" s="3023" t="s">
        <v>3194</v>
      </c>
    </row>
    <row r="43" spans="1:20" hidden="1">
      <c r="A43" s="3023" t="s">
        <v>4024</v>
      </c>
      <c r="B43" s="3023" t="s">
        <v>3185</v>
      </c>
      <c r="C43" s="3023" t="s">
        <v>3615</v>
      </c>
      <c r="D43" s="3023" t="s">
        <v>1327</v>
      </c>
      <c r="E43" s="3023" t="s">
        <v>4024</v>
      </c>
      <c r="F43" s="3023" t="s">
        <v>3187</v>
      </c>
      <c r="G43" s="3023">
        <v>12032</v>
      </c>
      <c r="H43" s="3023" t="s">
        <v>4025</v>
      </c>
      <c r="I43" s="3023">
        <v>2814</v>
      </c>
      <c r="J43" s="3023">
        <v>4221</v>
      </c>
      <c r="K43" s="3023" t="s">
        <v>4026</v>
      </c>
      <c r="L43" s="3023" t="s">
        <v>4027</v>
      </c>
      <c r="M43" s="3023" t="s">
        <v>1327</v>
      </c>
      <c r="N43" s="3023" t="s">
        <v>3689</v>
      </c>
      <c r="O43" s="3023">
        <v>1630</v>
      </c>
      <c r="P43" s="3023">
        <v>386.16</v>
      </c>
      <c r="Q43" s="3023">
        <v>3861.63</v>
      </c>
      <c r="R43" s="3023">
        <v>0</v>
      </c>
      <c r="S43" s="3023" t="s">
        <v>3216</v>
      </c>
      <c r="T43" s="3023" t="s">
        <v>3194</v>
      </c>
    </row>
    <row r="44" spans="1:20">
      <c r="A44" s="3023" t="s">
        <v>4028</v>
      </c>
      <c r="B44" s="3023" t="s">
        <v>3185</v>
      </c>
      <c r="C44" s="3023" t="s">
        <v>3615</v>
      </c>
      <c r="D44" s="3023" t="s">
        <v>1327</v>
      </c>
      <c r="E44" s="3023" t="s">
        <v>4028</v>
      </c>
      <c r="F44" s="3023" t="s">
        <v>3187</v>
      </c>
      <c r="G44" s="3023">
        <v>12007</v>
      </c>
      <c r="H44" s="3023" t="s">
        <v>4012</v>
      </c>
      <c r="I44" s="3023">
        <v>15432</v>
      </c>
      <c r="J44" s="3023">
        <v>30866</v>
      </c>
      <c r="K44" s="3023" t="s">
        <v>4029</v>
      </c>
      <c r="L44" s="3023" t="s">
        <v>4030</v>
      </c>
      <c r="M44" s="3023" t="s">
        <v>1327</v>
      </c>
      <c r="N44" s="3023" t="s">
        <v>4031</v>
      </c>
      <c r="O44" s="3023">
        <v>2590</v>
      </c>
      <c r="P44" s="3023">
        <v>111.89</v>
      </c>
      <c r="Q44" s="3023">
        <v>839.11</v>
      </c>
      <c r="R44" s="3023">
        <v>0</v>
      </c>
      <c r="S44" s="3023" t="s">
        <v>3216</v>
      </c>
      <c r="T44" s="3023" t="s">
        <v>3300</v>
      </c>
    </row>
    <row r="45" spans="1:20">
      <c r="A45" s="3023" t="s">
        <v>4032</v>
      </c>
      <c r="B45" s="3023" t="s">
        <v>3185</v>
      </c>
      <c r="C45" s="3023" t="s">
        <v>3615</v>
      </c>
      <c r="D45" s="3023" t="s">
        <v>1327</v>
      </c>
      <c r="E45" s="3023" t="s">
        <v>4032</v>
      </c>
      <c r="F45" s="3023" t="s">
        <v>3187</v>
      </c>
      <c r="G45" s="3023">
        <v>11209</v>
      </c>
      <c r="H45" s="3023" t="s">
        <v>4012</v>
      </c>
      <c r="I45" s="3023">
        <v>81944</v>
      </c>
      <c r="J45" s="3023">
        <v>204870</v>
      </c>
      <c r="K45" s="3023" t="s">
        <v>3598</v>
      </c>
      <c r="L45" s="3023" t="s">
        <v>4033</v>
      </c>
      <c r="M45" s="3023" t="s">
        <v>1327</v>
      </c>
      <c r="N45" s="3023" t="s">
        <v>3553</v>
      </c>
      <c r="O45" s="3023">
        <v>16362</v>
      </c>
      <c r="P45" s="3023">
        <v>133.12</v>
      </c>
      <c r="Q45" s="3023">
        <v>798.64</v>
      </c>
      <c r="R45" s="3023">
        <v>0</v>
      </c>
      <c r="S45" s="3023" t="s">
        <v>3216</v>
      </c>
      <c r="T45" s="3023" t="s">
        <v>3300</v>
      </c>
    </row>
    <row r="46" spans="1:20">
      <c r="A46" s="3023" t="s">
        <v>4034</v>
      </c>
      <c r="B46" s="3023" t="s">
        <v>3185</v>
      </c>
      <c r="C46" s="3023" t="s">
        <v>3615</v>
      </c>
      <c r="D46" s="3023" t="s">
        <v>1327</v>
      </c>
      <c r="E46" s="3023" t="s">
        <v>4034</v>
      </c>
      <c r="F46" s="3023" t="s">
        <v>3187</v>
      </c>
      <c r="G46" s="3023">
        <v>11190</v>
      </c>
      <c r="H46" s="3023" t="s">
        <v>4012</v>
      </c>
      <c r="I46" s="3023">
        <v>36267</v>
      </c>
      <c r="J46" s="3023">
        <v>163201.5</v>
      </c>
      <c r="K46" s="3023" t="s">
        <v>4035</v>
      </c>
      <c r="L46" s="3023" t="s">
        <v>4036</v>
      </c>
      <c r="M46" s="3023" t="s">
        <v>1327</v>
      </c>
      <c r="N46" s="3023" t="s">
        <v>4037</v>
      </c>
      <c r="O46" s="3023">
        <v>79488</v>
      </c>
      <c r="P46" s="3023">
        <v>1461.16</v>
      </c>
      <c r="Q46" s="3023">
        <v>4870.53</v>
      </c>
      <c r="R46" s="3023">
        <v>0</v>
      </c>
      <c r="S46" s="3023" t="s">
        <v>3216</v>
      </c>
      <c r="T46" s="3023" t="s">
        <v>3194</v>
      </c>
    </row>
    <row r="47" spans="1:20">
      <c r="A47" s="3023" t="s">
        <v>4038</v>
      </c>
      <c r="B47" s="3023" t="s">
        <v>3185</v>
      </c>
      <c r="C47" s="3023" t="s">
        <v>3615</v>
      </c>
      <c r="D47" s="3023" t="s">
        <v>1327</v>
      </c>
      <c r="E47" s="3023" t="s">
        <v>4038</v>
      </c>
      <c r="F47" s="3023" t="s">
        <v>3187</v>
      </c>
      <c r="G47" s="3023">
        <v>11181</v>
      </c>
      <c r="H47" s="3023" t="s">
        <v>4039</v>
      </c>
      <c r="I47" s="3023">
        <v>42617</v>
      </c>
      <c r="J47" s="3023">
        <v>120000</v>
      </c>
      <c r="K47" s="3023" t="s">
        <v>3572</v>
      </c>
      <c r="L47" s="3023" t="s">
        <v>4040</v>
      </c>
      <c r="M47" s="3023" t="s">
        <v>1327</v>
      </c>
      <c r="N47" s="3023" t="s">
        <v>4041</v>
      </c>
      <c r="O47" s="3023">
        <v>23263</v>
      </c>
      <c r="P47" s="3023">
        <v>363.91</v>
      </c>
      <c r="Q47" s="3023">
        <v>1938.57</v>
      </c>
      <c r="R47" s="3023">
        <v>0</v>
      </c>
      <c r="S47" s="3023" t="s">
        <v>3216</v>
      </c>
      <c r="T47" s="3023" t="s">
        <v>3194</v>
      </c>
    </row>
    <row r="48" spans="1:20">
      <c r="A48" s="3023" t="s">
        <v>4042</v>
      </c>
      <c r="B48" s="3023" t="s">
        <v>3185</v>
      </c>
      <c r="C48" s="3023" t="s">
        <v>3615</v>
      </c>
      <c r="D48" s="3023" t="s">
        <v>1327</v>
      </c>
      <c r="E48" s="3023" t="s">
        <v>4042</v>
      </c>
      <c r="F48" s="3023" t="s">
        <v>3187</v>
      </c>
      <c r="G48" s="3023">
        <v>11167</v>
      </c>
      <c r="H48" s="3023" t="s">
        <v>4012</v>
      </c>
      <c r="I48" s="3023">
        <v>28886</v>
      </c>
      <c r="J48" s="3023">
        <v>129987</v>
      </c>
      <c r="K48" s="3023" t="s">
        <v>4035</v>
      </c>
      <c r="L48" s="3023" t="s">
        <v>4043</v>
      </c>
      <c r="M48" s="3023" t="s">
        <v>1327</v>
      </c>
      <c r="N48" s="3023" t="s">
        <v>4044</v>
      </c>
      <c r="O48" s="3023">
        <v>37207</v>
      </c>
      <c r="P48" s="3023">
        <v>858.71</v>
      </c>
      <c r="Q48" s="3023">
        <v>2862.36</v>
      </c>
      <c r="R48" s="3023">
        <v>0</v>
      </c>
      <c r="S48" s="3023" t="s">
        <v>3216</v>
      </c>
      <c r="T48" s="3023" t="s">
        <v>3194</v>
      </c>
    </row>
    <row r="49" spans="1:20">
      <c r="A49" s="3023" t="s">
        <v>4045</v>
      </c>
      <c r="B49" s="3023" t="s">
        <v>3185</v>
      </c>
      <c r="C49" s="3023" t="s">
        <v>3615</v>
      </c>
      <c r="D49" s="3023" t="s">
        <v>1327</v>
      </c>
      <c r="E49" s="3023" t="s">
        <v>4045</v>
      </c>
      <c r="F49" s="3023" t="s">
        <v>3197</v>
      </c>
      <c r="G49" s="3023">
        <v>11159</v>
      </c>
      <c r="H49" s="3023" t="s">
        <v>4012</v>
      </c>
      <c r="I49" s="3023">
        <v>4228</v>
      </c>
      <c r="J49" s="3023">
        <v>16980</v>
      </c>
      <c r="K49" s="3023" t="s">
        <v>4046</v>
      </c>
      <c r="L49" s="3023" t="s">
        <v>4047</v>
      </c>
      <c r="M49" s="3023" t="s">
        <v>1327</v>
      </c>
      <c r="N49" s="3023" t="s">
        <v>4048</v>
      </c>
      <c r="O49" s="3023">
        <v>5400</v>
      </c>
      <c r="P49" s="3023">
        <v>851.47</v>
      </c>
      <c r="Q49" s="3023">
        <v>3180.21</v>
      </c>
      <c r="R49" s="3023">
        <v>2.66</v>
      </c>
      <c r="S49" s="3023" t="s">
        <v>3216</v>
      </c>
      <c r="T49" s="3023" t="s">
        <v>3194</v>
      </c>
    </row>
    <row r="50" spans="1:20">
      <c r="A50" s="3023" t="s">
        <v>4049</v>
      </c>
      <c r="B50" s="3023" t="s">
        <v>3185</v>
      </c>
      <c r="C50" s="3023" t="s">
        <v>3615</v>
      </c>
      <c r="D50" s="3023" t="s">
        <v>1327</v>
      </c>
      <c r="E50" s="3023" t="s">
        <v>4049</v>
      </c>
      <c r="F50" s="3023" t="s">
        <v>3187</v>
      </c>
      <c r="G50" s="3023">
        <v>11148</v>
      </c>
      <c r="H50" s="3023" t="s">
        <v>4012</v>
      </c>
      <c r="I50" s="3023">
        <v>92453</v>
      </c>
      <c r="J50" s="3023">
        <v>129385.2</v>
      </c>
      <c r="K50" s="3023" t="s">
        <v>4050</v>
      </c>
      <c r="L50" s="3023" t="s">
        <v>4051</v>
      </c>
      <c r="M50" s="3023" t="s">
        <v>1327</v>
      </c>
      <c r="N50" s="3023" t="s">
        <v>3896</v>
      </c>
      <c r="O50" s="3023">
        <v>10744</v>
      </c>
      <c r="P50" s="3023">
        <v>77.47</v>
      </c>
      <c r="Q50" s="3023">
        <v>830.38</v>
      </c>
      <c r="R50" s="3023">
        <v>0</v>
      </c>
      <c r="S50" s="3023" t="s">
        <v>3216</v>
      </c>
      <c r="T50" s="3023" t="s">
        <v>3300</v>
      </c>
    </row>
    <row r="51" spans="1:20">
      <c r="A51" s="3023" t="s">
        <v>4052</v>
      </c>
      <c r="B51" s="3023" t="s">
        <v>3185</v>
      </c>
      <c r="C51" s="3023" t="s">
        <v>3615</v>
      </c>
      <c r="D51" s="3023" t="s">
        <v>1327</v>
      </c>
      <c r="E51" s="3023" t="s">
        <v>4052</v>
      </c>
      <c r="F51" s="3023" t="s">
        <v>3187</v>
      </c>
      <c r="G51" s="3023">
        <v>11147</v>
      </c>
      <c r="H51" s="3023" t="s">
        <v>4012</v>
      </c>
      <c r="I51" s="3023">
        <v>64835</v>
      </c>
      <c r="J51" s="3023">
        <v>142677</v>
      </c>
      <c r="K51" s="3023" t="s">
        <v>4053</v>
      </c>
      <c r="L51" s="3023" t="s">
        <v>4051</v>
      </c>
      <c r="M51" s="3023" t="s">
        <v>1327</v>
      </c>
      <c r="N51" s="3023" t="s">
        <v>4054</v>
      </c>
      <c r="O51" s="3023">
        <v>10700</v>
      </c>
      <c r="P51" s="3023">
        <v>110.02</v>
      </c>
      <c r="Q51" s="3023">
        <v>749.95</v>
      </c>
      <c r="R51" s="3023">
        <v>1.17</v>
      </c>
      <c r="S51" s="3023" t="s">
        <v>3216</v>
      </c>
      <c r="T51" s="3023" t="s">
        <v>3300</v>
      </c>
    </row>
  </sheetData>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topLeftCell="E107" zoomScaleNormal="100" workbookViewId="0">
      <selection activeCell="B138" sqref="B138:H138"/>
    </sheetView>
  </sheetViews>
  <sheetFormatPr defaultRowHeight="13.5"/>
  <cols>
    <col min="1" max="7" width="11.125" style="2980" customWidth="1"/>
  </cols>
  <sheetData>
    <row r="1" spans="1:7" ht="19.5" customHeight="1">
      <c r="A1" s="3317" t="s">
        <v>3157</v>
      </c>
      <c r="B1" s="3318"/>
      <c r="C1" s="3318"/>
      <c r="D1" s="3318"/>
      <c r="E1" s="3318"/>
      <c r="F1" s="3318"/>
      <c r="G1" s="3319"/>
    </row>
    <row r="2" spans="1:7" ht="19.5" customHeight="1">
      <c r="A2" s="3320" t="s">
        <v>3158</v>
      </c>
      <c r="B2" s="3024" t="s">
        <v>3161</v>
      </c>
      <c r="C2" s="3024"/>
      <c r="D2" s="3024" t="s">
        <v>3163</v>
      </c>
      <c r="E2" s="3024"/>
      <c r="F2" s="3024" t="s">
        <v>3162</v>
      </c>
      <c r="G2" s="3025"/>
    </row>
    <row r="3" spans="1:7" ht="19.5" customHeight="1">
      <c r="A3" s="3320"/>
      <c r="B3" s="3024" t="s">
        <v>3159</v>
      </c>
      <c r="C3" s="3024" t="s">
        <v>3160</v>
      </c>
      <c r="D3" s="3024" t="s">
        <v>3159</v>
      </c>
      <c r="E3" s="3024" t="s">
        <v>3160</v>
      </c>
      <c r="F3" s="3024" t="s">
        <v>3159</v>
      </c>
      <c r="G3" s="3025" t="s">
        <v>3160</v>
      </c>
    </row>
    <row r="4" spans="1:7" ht="19.5" customHeight="1">
      <c r="A4" s="3026">
        <v>2017.3</v>
      </c>
      <c r="B4" s="3024">
        <v>4630</v>
      </c>
      <c r="C4" s="3024">
        <v>3.23</v>
      </c>
      <c r="D4" s="3024">
        <v>4651</v>
      </c>
      <c r="E4" s="3024">
        <v>4.3499999999999996</v>
      </c>
      <c r="F4" s="3024">
        <v>9118</v>
      </c>
      <c r="G4" s="3025">
        <v>0.97</v>
      </c>
    </row>
    <row r="5" spans="1:7" ht="19.5" customHeight="1">
      <c r="A5" s="3026">
        <v>2017.4</v>
      </c>
      <c r="B5" s="3024">
        <v>4706</v>
      </c>
      <c r="C5" s="3024">
        <v>1.64</v>
      </c>
      <c r="D5" s="3024">
        <v>4795</v>
      </c>
      <c r="E5" s="3024">
        <v>3.1</v>
      </c>
      <c r="F5" s="3024">
        <v>9196</v>
      </c>
      <c r="G5" s="3025">
        <v>0.86</v>
      </c>
    </row>
    <row r="6" spans="1:7" ht="19.5" customHeight="1">
      <c r="A6" s="3026">
        <v>2018.1</v>
      </c>
      <c r="B6" s="3024">
        <v>4787</v>
      </c>
      <c r="C6" s="3024">
        <v>1.72</v>
      </c>
      <c r="D6" s="3024">
        <v>4897</v>
      </c>
      <c r="E6" s="3024">
        <v>2.13</v>
      </c>
      <c r="F6" s="3024">
        <v>9278</v>
      </c>
      <c r="G6" s="3025">
        <v>0.89</v>
      </c>
    </row>
    <row r="7" spans="1:7" ht="19.5" customHeight="1">
      <c r="A7" s="3026">
        <v>2018.2</v>
      </c>
      <c r="B7" s="3024">
        <v>4872</v>
      </c>
      <c r="C7" s="3024">
        <v>1.78</v>
      </c>
      <c r="D7" s="3024">
        <v>5009</v>
      </c>
      <c r="E7" s="3024">
        <v>2.29</v>
      </c>
      <c r="F7" s="3024">
        <v>9336</v>
      </c>
      <c r="G7" s="3025">
        <v>0.63</v>
      </c>
    </row>
    <row r="8" spans="1:7" ht="19.5" customHeight="1">
      <c r="A8" s="3026">
        <v>2018.3</v>
      </c>
      <c r="B8" s="3024">
        <v>4958</v>
      </c>
      <c r="C8" s="3024">
        <v>1.77</v>
      </c>
      <c r="D8" s="3024">
        <v>5124</v>
      </c>
      <c r="E8" s="3024">
        <v>2.2999999999999998</v>
      </c>
      <c r="F8" s="3024">
        <v>9390</v>
      </c>
      <c r="G8" s="3025">
        <v>0.57999999999999996</v>
      </c>
    </row>
    <row r="9" spans="1:7" ht="19.5" customHeight="1">
      <c r="A9" s="3026">
        <v>2018.4</v>
      </c>
      <c r="B9" s="3024">
        <v>5024</v>
      </c>
      <c r="C9" s="3024">
        <v>1.33</v>
      </c>
      <c r="D9" s="3024">
        <v>5214</v>
      </c>
      <c r="E9" s="3024">
        <v>1.76</v>
      </c>
      <c r="F9" s="3024">
        <v>9421</v>
      </c>
      <c r="G9" s="3025">
        <v>0.33</v>
      </c>
    </row>
    <row r="10" spans="1:7" ht="19.5" customHeight="1">
      <c r="A10" s="3026">
        <v>2019.1</v>
      </c>
      <c r="B10" s="3024">
        <v>10639</v>
      </c>
      <c r="C10" s="3024">
        <v>0.79</v>
      </c>
      <c r="D10" s="3024">
        <v>13732</v>
      </c>
      <c r="E10" s="3024">
        <v>0.82</v>
      </c>
      <c r="F10" s="3024">
        <v>14964</v>
      </c>
      <c r="G10" s="3025">
        <v>0.67</v>
      </c>
    </row>
    <row r="11" spans="1:7" ht="19.5" customHeight="1">
      <c r="A11" s="3026">
        <v>2019.2</v>
      </c>
      <c r="B11" s="3024">
        <v>10747</v>
      </c>
      <c r="C11" s="3024">
        <v>1.02</v>
      </c>
      <c r="D11" s="3024">
        <v>13893</v>
      </c>
      <c r="E11" s="3024">
        <v>1.17</v>
      </c>
      <c r="F11" s="3024">
        <v>15033</v>
      </c>
      <c r="G11" s="3025">
        <v>0.46</v>
      </c>
    </row>
    <row r="12" spans="1:7" ht="19.5" customHeight="1" thickBot="1">
      <c r="A12" s="3027">
        <v>2019.3</v>
      </c>
      <c r="B12" s="3028">
        <v>10846</v>
      </c>
      <c r="C12" s="3028">
        <v>0.92</v>
      </c>
      <c r="D12" s="3028">
        <v>14045</v>
      </c>
      <c r="E12" s="3028">
        <v>1.0900000000000001</v>
      </c>
      <c r="F12" s="3028">
        <v>15077</v>
      </c>
      <c r="G12" s="3029">
        <v>0.28999999999999998</v>
      </c>
    </row>
  </sheetData>
  <mergeCells count="2">
    <mergeCell ref="A1:G1"/>
    <mergeCell ref="A2:A3"/>
  </mergeCells>
  <phoneticPr fontId="14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9"/>
  <sheetViews>
    <sheetView tabSelected="1" workbookViewId="0">
      <selection activeCell="B11" sqref="B11"/>
    </sheetView>
  </sheetViews>
  <sheetFormatPr defaultColWidth="6.625" defaultRowHeight="12.75"/>
  <cols>
    <col min="1" max="1" width="9.75" style="796" customWidth="1"/>
    <col min="2" max="2" width="25.75" style="948" customWidth="1"/>
    <col min="3" max="3" width="10.375" style="991" customWidth="1"/>
    <col min="4" max="4" width="9.875" style="948" customWidth="1"/>
    <col min="5" max="5" width="9.5" style="796" customWidth="1"/>
    <col min="6" max="6" width="10.125" style="948" customWidth="1"/>
    <col min="7" max="7" width="10.75" style="948" customWidth="1"/>
    <col min="8" max="8" width="10" style="948" customWidth="1"/>
    <col min="9" max="11" width="9.5" style="948" customWidth="1"/>
    <col min="12" max="12" width="12.75" style="948" customWidth="1"/>
    <col min="13" max="16" width="9" style="948" customWidth="1"/>
    <col min="17" max="17" width="9" style="3019" customWidth="1"/>
    <col min="18" max="254" width="9" style="948" customWidth="1"/>
    <col min="255" max="16384" width="6.625" style="948"/>
  </cols>
  <sheetData>
    <row r="1" spans="1:33" ht="20.25">
      <c r="A1" s="240" t="s">
        <v>2454</v>
      </c>
      <c r="B1" s="1576"/>
      <c r="C1" s="1577"/>
      <c r="D1" s="1575"/>
      <c r="E1" s="320"/>
      <c r="F1" s="320"/>
      <c r="G1" s="1576"/>
      <c r="H1" s="320"/>
      <c r="I1" s="320"/>
      <c r="J1" s="320"/>
      <c r="K1" s="320">
        <f>MATCH(C1,'数据-取费表'!A6:A16,0)+5</f>
        <v>10</v>
      </c>
    </row>
    <row r="2" spans="1:33" ht="18" customHeight="1">
      <c r="A2" s="245" t="s">
        <v>2322</v>
      </c>
      <c r="B2" s="248">
        <f ca="1">C32</f>
        <v>475352</v>
      </c>
      <c r="C2" s="320" t="s">
        <v>2455</v>
      </c>
      <c r="D2" s="320"/>
      <c r="E2" s="320"/>
      <c r="F2" s="320"/>
      <c r="G2" s="320"/>
      <c r="H2" s="320"/>
      <c r="I2" s="320"/>
      <c r="J2" s="320"/>
      <c r="K2" s="320"/>
      <c r="L2" s="948">
        <f ca="1">F8/2396</f>
        <v>17.51711185308848</v>
      </c>
      <c r="M2" s="948">
        <f>F7/2396</f>
        <v>48.157787979966614</v>
      </c>
    </row>
    <row r="3" spans="1:33" ht="18" customHeight="1" thickBot="1">
      <c r="A3" s="247" t="s">
        <v>2324</v>
      </c>
      <c r="B3" s="248">
        <f ca="1">ROUND(B2*10000/IF(C1="",'数据-汇总表'!E3,INDIRECT("'数据-取费表'!K"&amp;$K$1)),0)</f>
        <v>12571</v>
      </c>
      <c r="C3" s="320" t="s">
        <v>2456</v>
      </c>
      <c r="D3" s="320"/>
      <c r="E3" s="320"/>
      <c r="F3" s="320"/>
      <c r="G3" s="320"/>
      <c r="H3" s="320"/>
      <c r="I3" s="320"/>
      <c r="J3" s="320"/>
      <c r="K3" s="320"/>
    </row>
    <row r="4" spans="1:33" s="952" customFormat="1" ht="16.5" customHeight="1">
      <c r="A4" s="949" t="s">
        <v>2457</v>
      </c>
      <c r="B4" s="950"/>
      <c r="C4" s="992">
        <f ca="1">SUM(C8:K8)</f>
        <v>732887</v>
      </c>
      <c r="D4" s="950"/>
      <c r="E4" s="950"/>
      <c r="F4" s="950"/>
      <c r="G4" s="950"/>
      <c r="H4" s="950"/>
      <c r="I4" s="950"/>
      <c r="J4" s="950"/>
      <c r="K4" s="951"/>
      <c r="L4" s="3019" t="s">
        <v>3863</v>
      </c>
      <c r="Q4" s="3019"/>
    </row>
    <row r="5" spans="1:33" s="956" customFormat="1" ht="15">
      <c r="A5" s="953" t="s">
        <v>2458</v>
      </c>
      <c r="B5" s="954" t="s">
        <v>2459</v>
      </c>
      <c r="C5" s="2547" t="s">
        <v>3061</v>
      </c>
      <c r="D5" s="2547" t="s">
        <v>3116</v>
      </c>
      <c r="E5" s="2547" t="s">
        <v>1373</v>
      </c>
      <c r="F5" s="2547" t="s">
        <v>48</v>
      </c>
      <c r="G5" s="2547"/>
      <c r="H5" s="2547"/>
      <c r="I5" s="2547"/>
      <c r="J5" s="2547"/>
      <c r="K5" s="2547"/>
      <c r="L5" s="3020" t="s">
        <v>3870</v>
      </c>
      <c r="M5" s="3020" t="s">
        <v>3869</v>
      </c>
      <c r="N5" s="3020" t="s">
        <v>3865</v>
      </c>
      <c r="O5" s="3020" t="s">
        <v>3866</v>
      </c>
      <c r="P5" s="3020" t="s">
        <v>3867</v>
      </c>
      <c r="Q5" s="3019"/>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2460</v>
      </c>
      <c r="C6" s="958">
        <f>'比较法-住宅'!B3</f>
        <v>22192</v>
      </c>
      <c r="D6" s="958">
        <f>'比较法-商业'!B3</f>
        <v>20031</v>
      </c>
      <c r="E6" s="958">
        <f ca="1">'收益法（商业）'!B3</f>
        <v>41870</v>
      </c>
      <c r="F6" s="958">
        <f ca="1">'收益法（地下车库）'!B3</f>
        <v>3637</v>
      </c>
      <c r="G6" s="958"/>
      <c r="H6" s="958"/>
      <c r="I6" s="958"/>
      <c r="J6" s="958"/>
      <c r="K6" s="959"/>
      <c r="L6" s="3019">
        <v>24738</v>
      </c>
      <c r="M6" s="3020">
        <v>19991</v>
      </c>
      <c r="N6" s="3020">
        <v>41340</v>
      </c>
      <c r="O6" s="3020">
        <v>26155</v>
      </c>
      <c r="P6" s="3020">
        <v>4631</v>
      </c>
      <c r="Q6" s="3019"/>
      <c r="R6" s="960"/>
      <c r="S6" s="960"/>
      <c r="T6" s="960"/>
      <c r="U6" s="960"/>
      <c r="V6" s="960"/>
      <c r="W6" s="960"/>
      <c r="X6" s="960"/>
      <c r="Y6" s="960"/>
      <c r="Z6" s="960"/>
      <c r="AA6" s="960"/>
      <c r="AB6" s="960"/>
      <c r="AC6" s="960"/>
      <c r="AD6" s="960"/>
      <c r="AE6" s="960"/>
      <c r="AF6" s="960"/>
      <c r="AG6" s="960"/>
    </row>
    <row r="7" spans="1:33" s="961" customFormat="1" ht="13.5" customHeight="1">
      <c r="A7" s="957" t="s">
        <v>2461</v>
      </c>
      <c r="B7" s="140" t="s">
        <v>2462</v>
      </c>
      <c r="C7" s="321">
        <f>SUMIF('数据-汇总表'!$C19:$C33,假设开发法!C5,'数据-汇总表'!$E19:$E33)</f>
        <v>91600</v>
      </c>
      <c r="D7" s="321">
        <f>SUMIF('数据-汇总表'!$C19:$C33,假设开发法!D5,'数据-汇总表'!$E19:$E33)</f>
        <v>81667.509999999995</v>
      </c>
      <c r="E7" s="321">
        <f>SUMIF('数据-汇总表'!$C19:$C33,假设开发法!E5,'数据-汇总表'!$E19:$E33)</f>
        <v>77393.62</v>
      </c>
      <c r="F7" s="321">
        <f>SUMIF('数据-汇总表'!$C19:$C33,假设开发法!F5,'数据-汇总表'!$E19:$E33)</f>
        <v>115386.06</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3020" t="s">
        <v>3864</v>
      </c>
      <c r="N7" s="3020"/>
      <c r="O7" s="3020" t="s">
        <v>3864</v>
      </c>
      <c r="P7" s="3020" t="s">
        <v>3864</v>
      </c>
      <c r="Q7" s="3019"/>
      <c r="R7" s="960"/>
      <c r="S7" s="960"/>
      <c r="T7" s="960"/>
      <c r="U7" s="960"/>
      <c r="V7" s="960"/>
      <c r="W7" s="960"/>
      <c r="X7" s="960"/>
      <c r="Y7" s="960"/>
      <c r="Z7" s="960"/>
      <c r="AA7" s="960"/>
      <c r="AB7" s="960"/>
      <c r="AC7" s="960"/>
      <c r="AD7" s="960"/>
      <c r="AE7" s="960"/>
      <c r="AF7" s="960"/>
      <c r="AG7" s="960"/>
    </row>
    <row r="8" spans="1:33" s="961" customFormat="1" ht="13.5" customHeight="1" thickBot="1">
      <c r="A8" s="2548" t="s">
        <v>2463</v>
      </c>
      <c r="B8" s="177" t="s">
        <v>2464</v>
      </c>
      <c r="C8" s="993">
        <f>ROUND(C6*C7/10000,0)</f>
        <v>203279</v>
      </c>
      <c r="D8" s="993">
        <f>ROUND(D6*D7/10000,0)</f>
        <v>163588</v>
      </c>
      <c r="E8" s="993">
        <f ca="1">'收益法（商业）'!B2</f>
        <v>324049</v>
      </c>
      <c r="F8" s="993">
        <f ca="1">'收益法（地下车库）'!B2</f>
        <v>41971</v>
      </c>
      <c r="G8" s="994"/>
      <c r="H8" s="994"/>
      <c r="I8" s="994"/>
      <c r="J8" s="994"/>
      <c r="K8" s="995"/>
      <c r="L8" s="960"/>
      <c r="M8" s="3020">
        <v>95</v>
      </c>
      <c r="N8" s="3020"/>
      <c r="O8" s="3020">
        <v>130</v>
      </c>
      <c r="P8" s="3020">
        <v>1400</v>
      </c>
      <c r="Q8" s="3019"/>
      <c r="R8" s="960"/>
      <c r="S8" s="960"/>
      <c r="T8" s="960"/>
      <c r="U8" s="960"/>
      <c r="V8" s="960"/>
      <c r="W8" s="960"/>
      <c r="X8" s="960"/>
      <c r="Y8" s="960"/>
      <c r="Z8" s="960"/>
      <c r="AA8" s="960"/>
      <c r="AB8" s="960"/>
      <c r="AC8" s="960"/>
      <c r="AD8" s="960"/>
      <c r="AE8" s="960"/>
      <c r="AF8" s="960"/>
      <c r="AG8" s="960"/>
    </row>
    <row r="9" spans="1:33" s="952" customFormat="1" ht="16.5" customHeight="1">
      <c r="A9" s="949" t="s">
        <v>2465</v>
      </c>
      <c r="B9" s="950"/>
      <c r="C9" s="950"/>
      <c r="D9" s="950"/>
      <c r="E9" s="950"/>
      <c r="F9" s="950"/>
      <c r="G9" s="950"/>
      <c r="H9" s="950"/>
      <c r="I9" s="950"/>
      <c r="J9" s="950"/>
      <c r="K9" s="951"/>
      <c r="L9" s="3019" t="s">
        <v>3868</v>
      </c>
      <c r="M9" s="3019"/>
      <c r="N9" s="3019"/>
      <c r="O9" s="3019"/>
      <c r="P9" s="3019"/>
      <c r="Q9" s="3020" t="s">
        <v>4062</v>
      </c>
    </row>
    <row r="10" spans="1:33" s="966" customFormat="1" ht="13.5" customHeight="1">
      <c r="A10" s="953" t="s">
        <v>2466</v>
      </c>
      <c r="B10" s="8" t="s">
        <v>2467</v>
      </c>
      <c r="C10" s="962" t="s">
        <v>2468</v>
      </c>
      <c r="D10" s="963" t="s">
        <v>2469</v>
      </c>
      <c r="E10" s="963" t="s">
        <v>2470</v>
      </c>
      <c r="F10" s="963" t="s">
        <v>2471</v>
      </c>
      <c r="G10" s="8"/>
      <c r="H10" s="964"/>
      <c r="I10" s="964"/>
      <c r="J10" s="964"/>
      <c r="K10" s="965"/>
      <c r="L10" s="3019">
        <v>197423</v>
      </c>
      <c r="M10" s="3019">
        <v>172791</v>
      </c>
      <c r="N10" s="3019">
        <v>184897</v>
      </c>
      <c r="O10" s="3019">
        <v>85313</v>
      </c>
      <c r="P10" s="3019">
        <v>53433</v>
      </c>
      <c r="Q10" s="3019">
        <f>SUM(L10:P10)</f>
        <v>693857</v>
      </c>
    </row>
    <row r="11" spans="1:33" s="971" customFormat="1" ht="13.5" customHeight="1">
      <c r="A11" s="967" t="s">
        <v>1330</v>
      </c>
      <c r="B11" s="968" t="s">
        <v>2472</v>
      </c>
      <c r="C11" s="323">
        <f ca="1">IF(C1="",'数据-取费表'!P16,INDIRECT("'数据-取费表'!p"&amp;$K$1)+INDIRECT("'数据-取费表'!ar"&amp;$K$1))</f>
        <v>81337</v>
      </c>
      <c r="D11" s="969"/>
      <c r="E11" s="375"/>
      <c r="F11" s="970">
        <f ca="1">1-IF('数据-取费表'!B24=0,1,IF(C1="",'数据-取费表'!N16,INDIRECT("'数据-取费表'!n"&amp;$K$1)))</f>
        <v>0.57499999999999996</v>
      </c>
      <c r="G11" s="8"/>
      <c r="H11" s="964"/>
      <c r="I11" s="964"/>
      <c r="J11" s="964"/>
      <c r="K11" s="965"/>
      <c r="L11" s="3019"/>
      <c r="M11" s="3019"/>
      <c r="N11" s="3019"/>
      <c r="O11" s="3019"/>
      <c r="P11" s="3019"/>
      <c r="Q11" s="3019"/>
    </row>
    <row r="12" spans="1:33" s="971" customFormat="1" ht="13.5" customHeight="1">
      <c r="A12" s="967" t="s">
        <v>1331</v>
      </c>
      <c r="B12" s="968" t="s">
        <v>2473</v>
      </c>
      <c r="C12" s="24">
        <f ca="1">ROUND(C11*F12,0)</f>
        <v>4067</v>
      </c>
      <c r="D12" s="969"/>
      <c r="E12" s="375"/>
      <c r="F12" s="972">
        <f>'数据-取费表'!B33</f>
        <v>0.05</v>
      </c>
      <c r="G12" s="8" t="s">
        <v>2474</v>
      </c>
      <c r="H12" s="964"/>
      <c r="I12" s="964"/>
      <c r="J12" s="964"/>
      <c r="K12" s="965"/>
      <c r="L12" s="3019"/>
      <c r="M12" s="3019"/>
      <c r="N12" s="3019"/>
      <c r="O12" s="3019"/>
      <c r="P12" s="3019"/>
      <c r="Q12" s="3019"/>
    </row>
    <row r="13" spans="1:33" s="971" customFormat="1" ht="13.5" customHeight="1">
      <c r="A13" s="967" t="s">
        <v>1332</v>
      </c>
      <c r="B13" s="968" t="s">
        <v>2475</v>
      </c>
      <c r="C13" s="24">
        <f ca="1">ROUND(IF(C1="",SUMIF('数据-取费表'!C:C,"住宅",'数据-取费表'!P:P)*F13,IF(INDIRECT("'数据-取费表'!c"&amp;$K$1)="住宅",INDIRECT("'数据-取费表'!P"&amp;$K$1)*F13,0)),0)</f>
        <v>2061</v>
      </c>
      <c r="D13" s="1029"/>
      <c r="E13" s="375"/>
      <c r="F13" s="972">
        <f>'数据-取费表'!B34</f>
        <v>0.05</v>
      </c>
      <c r="G13" s="8" t="s">
        <v>2476</v>
      </c>
      <c r="H13" s="964"/>
      <c r="I13" s="964"/>
      <c r="J13" s="964"/>
      <c r="K13" s="965"/>
      <c r="L13" s="3019"/>
      <c r="M13" s="3020" t="s">
        <v>4063</v>
      </c>
      <c r="N13" s="3019" t="s">
        <v>4067</v>
      </c>
      <c r="Q13" s="3019"/>
    </row>
    <row r="14" spans="1:33" s="973" customFormat="1" ht="13.5" customHeight="1">
      <c r="A14" s="967" t="s">
        <v>1333</v>
      </c>
      <c r="B14" s="968" t="s">
        <v>2477</v>
      </c>
      <c r="C14" s="24">
        <f ca="1">ROUND(D14*E14*F11/10000,0)</f>
        <v>4349</v>
      </c>
      <c r="D14" s="1029">
        <f ca="1">IF(C1="",'数据-汇总表'!E3,INDIRECT("'数据-取费表'!K"&amp;$K$1)+INDIRECT("'数据-取费表'!S"&amp;$K$1))</f>
        <v>378144.48</v>
      </c>
      <c r="E14" s="24">
        <f>'数据-取费表'!B35</f>
        <v>200</v>
      </c>
      <c r="F14" s="972"/>
      <c r="G14" s="8" t="s">
        <v>2478</v>
      </c>
      <c r="H14" s="964"/>
      <c r="I14" s="964"/>
      <c r="J14" s="964"/>
      <c r="K14" s="965"/>
      <c r="L14" s="3019"/>
      <c r="M14" s="3020" t="s">
        <v>4064</v>
      </c>
      <c r="N14" s="3019" t="s">
        <v>4068</v>
      </c>
      <c r="O14" s="3019"/>
      <c r="P14" s="3019"/>
      <c r="Q14" s="3019"/>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2479</v>
      </c>
      <c r="C15" s="979">
        <f ca="1">ROUND(C11*F15,0)</f>
        <v>1220</v>
      </c>
      <c r="D15" s="974"/>
      <c r="E15" s="979"/>
      <c r="F15" s="980">
        <f>'数据-取费表'!B36</f>
        <v>1.4999999999999999E-2</v>
      </c>
      <c r="G15" s="140" t="s">
        <v>2480</v>
      </c>
      <c r="H15" s="975"/>
      <c r="I15" s="975"/>
      <c r="J15" s="975"/>
      <c r="K15" s="976"/>
      <c r="L15" s="3019"/>
      <c r="M15" s="3020" t="s">
        <v>4065</v>
      </c>
      <c r="N15" s="3020" t="s">
        <v>4069</v>
      </c>
      <c r="O15" s="3019"/>
      <c r="P15" s="3019"/>
      <c r="Q15" s="3019"/>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2481</v>
      </c>
      <c r="C16" s="979">
        <f ca="1">SUM(C11:C15)</f>
        <v>93034</v>
      </c>
      <c r="D16" s="974"/>
      <c r="E16" s="979"/>
      <c r="F16" s="980"/>
      <c r="G16" s="140"/>
      <c r="H16" s="1573"/>
      <c r="I16" s="975"/>
      <c r="J16" s="975"/>
      <c r="K16" s="976"/>
      <c r="L16" s="3019"/>
      <c r="M16" s="3020" t="s">
        <v>4066</v>
      </c>
      <c r="N16" s="3019"/>
      <c r="O16" s="3020" t="s">
        <v>4070</v>
      </c>
      <c r="P16" s="3019"/>
      <c r="Q16" s="3019"/>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2482</v>
      </c>
      <c r="C17" s="24">
        <f ca="1">ROUND(D17*E17/10000,0)</f>
        <v>1891</v>
      </c>
      <c r="D17" s="1029">
        <f ca="1">D14</f>
        <v>378144.48</v>
      </c>
      <c r="E17" s="24">
        <f>'数据-取费表'!B32</f>
        <v>50</v>
      </c>
      <c r="F17" s="974"/>
      <c r="G17" s="140" t="s">
        <v>2483</v>
      </c>
      <c r="H17" s="1573"/>
      <c r="I17" s="975"/>
      <c r="J17" s="975"/>
      <c r="K17" s="976"/>
      <c r="L17" s="3019"/>
      <c r="M17" s="3019"/>
      <c r="N17" s="3019"/>
      <c r="O17" s="3019"/>
      <c r="P17" s="3019"/>
      <c r="Q17" s="3019"/>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2484</v>
      </c>
      <c r="C18" s="24">
        <f ca="1">C19+C20-IF(C1="",'数据-取费表'!B29,IF(G18="已全部缴纳",C19+C20,H18))</f>
        <v>2460</v>
      </c>
      <c r="D18" s="1029"/>
      <c r="E18" s="24"/>
      <c r="F18" s="972"/>
      <c r="G18" s="2549"/>
      <c r="H18" s="1572"/>
      <c r="I18" s="2550" t="s">
        <v>2485</v>
      </c>
      <c r="J18" s="975"/>
      <c r="K18" s="976"/>
      <c r="L18" s="3019"/>
      <c r="M18" s="3019"/>
      <c r="N18" s="3019"/>
      <c r="O18" s="3019"/>
      <c r="P18" s="3019"/>
      <c r="Q18" s="3019"/>
    </row>
    <row r="19" spans="1:33" s="971" customFormat="1" ht="13.5" customHeight="1">
      <c r="A19" s="967" t="s">
        <v>805</v>
      </c>
      <c r="B19" s="968" t="s">
        <v>2486</v>
      </c>
      <c r="C19" s="24">
        <f ca="1">ROUND(D19*E19/10000,0)</f>
        <v>2656</v>
      </c>
      <c r="D19" s="1029">
        <f ca="1">IF(C1="",'数据-汇总表'!E5,IF(INDIRECT("'数据-取费表'!c"&amp;$K$1)="住宅",INDIRECT("'数据-取费表'!k"&amp;$K$1),0))</f>
        <v>91600</v>
      </c>
      <c r="E19" s="24">
        <f>'数据-取费表'!B27</f>
        <v>290</v>
      </c>
      <c r="F19" s="972"/>
      <c r="G19" s="15"/>
      <c r="H19" s="1574"/>
      <c r="I19" s="977"/>
      <c r="J19" s="977"/>
      <c r="K19" s="978"/>
      <c r="L19" s="3019"/>
      <c r="M19" s="3019"/>
      <c r="N19" s="3019"/>
      <c r="O19" s="3019"/>
      <c r="P19" s="3019"/>
      <c r="Q19" s="3019"/>
    </row>
    <row r="20" spans="1:33" s="971" customFormat="1" ht="13.5" customHeight="1">
      <c r="A20" s="967" t="s">
        <v>806</v>
      </c>
      <c r="B20" s="968" t="s">
        <v>2487</v>
      </c>
      <c r="C20" s="24">
        <f ca="1">ROUND(D20*E20/10000,0)</f>
        <v>8310</v>
      </c>
      <c r="D20" s="1029">
        <f ca="1">IF(C1="",'数据-汇总表'!E6,IF(INDIRECT("'数据-取费表'!c"&amp;$K$1)="住宅",INDIRECT("'数据-取费表'!s"&amp;$K$1),INDIRECT("'数据-取费表'!k"&amp;$K$1)+INDIRECT("'数据-取费表'!s"&amp;$K$1)))</f>
        <v>286544.48</v>
      </c>
      <c r="E20" s="24">
        <f>'数据-取费表'!B28</f>
        <v>290</v>
      </c>
      <c r="F20" s="972"/>
      <c r="G20" s="15"/>
      <c r="H20" s="977"/>
      <c r="I20" s="977"/>
      <c r="J20" s="977"/>
      <c r="K20" s="978"/>
      <c r="L20" s="3019"/>
      <c r="M20" s="3019"/>
      <c r="N20" s="3019"/>
      <c r="O20" s="3019"/>
      <c r="P20" s="3019"/>
      <c r="Q20" s="3019"/>
    </row>
    <row r="21" spans="1:33" s="971" customFormat="1" ht="13.5" customHeight="1">
      <c r="A21" s="957" t="s">
        <v>802</v>
      </c>
      <c r="B21" s="981" t="s">
        <v>2488</v>
      </c>
      <c r="C21" s="982">
        <f ca="1">C16+C17+C18</f>
        <v>97385</v>
      </c>
      <c r="D21" s="983"/>
      <c r="E21" s="325"/>
      <c r="F21" s="325"/>
      <c r="G21" s="140" t="s">
        <v>2489</v>
      </c>
      <c r="H21" s="975"/>
      <c r="I21" s="975"/>
      <c r="J21" s="975"/>
      <c r="K21" s="976"/>
      <c r="L21" s="3019"/>
      <c r="M21" s="3019"/>
      <c r="N21" s="3019"/>
      <c r="O21" s="3019"/>
      <c r="P21" s="3019"/>
      <c r="Q21" s="3019"/>
    </row>
    <row r="22" spans="1:33" s="971" customFormat="1" ht="13.5" customHeight="1">
      <c r="A22" s="957" t="s">
        <v>2461</v>
      </c>
      <c r="B22" s="981" t="s">
        <v>2490</v>
      </c>
      <c r="C22" s="982">
        <f ca="1">ROUND(C21*F22,0)</f>
        <v>2435</v>
      </c>
      <c r="D22" s="325"/>
      <c r="E22" s="325"/>
      <c r="F22" s="984">
        <f>'数据-取费表'!B37</f>
        <v>2.5000000000000001E-2</v>
      </c>
      <c r="G22" s="8" t="s">
        <v>2491</v>
      </c>
      <c r="H22" s="964"/>
      <c r="I22" s="964"/>
      <c r="J22" s="964"/>
      <c r="K22" s="965"/>
      <c r="L22" s="3019"/>
      <c r="M22" s="3019"/>
      <c r="N22" s="3019"/>
      <c r="O22" s="3019"/>
      <c r="P22" s="3019"/>
      <c r="Q22" s="3019"/>
    </row>
    <row r="23" spans="1:33" s="971" customFormat="1" ht="13.5" customHeight="1">
      <c r="A23" s="957" t="s">
        <v>2463</v>
      </c>
      <c r="B23" s="981" t="s">
        <v>2492</v>
      </c>
      <c r="C23" s="982">
        <f ca="1">ROUND(C4*F23*F11,0)</f>
        <v>12642</v>
      </c>
      <c r="D23" s="325"/>
      <c r="E23" s="325"/>
      <c r="F23" s="984">
        <f>'数据-取费表'!B38</f>
        <v>0.03</v>
      </c>
      <c r="G23" s="8" t="s">
        <v>2493</v>
      </c>
      <c r="H23" s="964"/>
      <c r="I23" s="964"/>
      <c r="J23" s="964"/>
      <c r="K23" s="965"/>
      <c r="L23" s="3019"/>
      <c r="M23" s="3019"/>
      <c r="N23" s="3019"/>
      <c r="O23" s="3019"/>
      <c r="P23" s="3019"/>
      <c r="Q23" s="3019"/>
    </row>
    <row r="24" spans="1:33" s="971" customFormat="1" ht="13.5" customHeight="1">
      <c r="A24" s="957" t="s">
        <v>2494</v>
      </c>
      <c r="B24" s="981" t="s">
        <v>2495</v>
      </c>
      <c r="C24" s="324">
        <f>ROUND(F24/(1+'数据-取费表'!C42),4)</f>
        <v>2.9000000000000001E-2</v>
      </c>
      <c r="D24" s="325" t="s">
        <v>15</v>
      </c>
      <c r="E24" s="325"/>
      <c r="F24" s="984">
        <f>IF(项目基本情况!B8="出让",0,'数据-取费表'!B48+'数据-取费表'!B49)</f>
        <v>3.0499999999999999E-2</v>
      </c>
      <c r="G24" s="8" t="s">
        <v>2496</v>
      </c>
      <c r="H24" s="986"/>
      <c r="I24" s="986"/>
      <c r="J24" s="986"/>
      <c r="K24" s="987"/>
      <c r="L24" s="3019"/>
      <c r="M24" s="3019"/>
      <c r="N24" s="3019"/>
      <c r="O24" s="3019"/>
      <c r="P24" s="3019"/>
      <c r="Q24" s="3019"/>
    </row>
    <row r="25" spans="1:33" s="971" customFormat="1" ht="13.5" customHeight="1">
      <c r="A25" s="957" t="s">
        <v>2497</v>
      </c>
      <c r="B25" s="983" t="s">
        <v>2498</v>
      </c>
      <c r="C25" s="1352">
        <f ca="1">C27</f>
        <v>5342</v>
      </c>
      <c r="D25" s="324">
        <f ca="1">C26</f>
        <v>0.10009999999999999</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c r="L25" s="3019"/>
      <c r="M25" s="3019"/>
      <c r="N25" s="3019"/>
      <c r="O25" s="3019"/>
      <c r="P25" s="3019"/>
      <c r="Q25" s="3019"/>
    </row>
    <row r="26" spans="1:33" s="989" customFormat="1" ht="13.5" customHeight="1">
      <c r="A26" s="967" t="s">
        <v>803</v>
      </c>
      <c r="B26" s="988" t="s">
        <v>2499</v>
      </c>
      <c r="C26" s="1353">
        <f ca="1">ROUND(IF('数据-取费表'!B22&lt;=1,(1+C24)*F25*'数据-取费表'!B24,(1+C24)*(POWER((1+F25),'数据-取费表'!B24)-1)),4)</f>
        <v>0.10009999999999999</v>
      </c>
      <c r="D26" s="328"/>
      <c r="E26" s="329"/>
      <c r="F26" s="330"/>
      <c r="G26" s="2551" t="str">
        <f>IF('数据-取费表'!B22&lt;=1,"（(1)+取得税费率/(1+5%)）×年利率×建设期","（(1)+取得税费率）/(1+5%)×((1+年利率)^建设期-1)")</f>
        <v>（(1)+取得税费率）/(1+5%)×((1+年利率)^建设期-1)</v>
      </c>
      <c r="H26" s="975"/>
      <c r="I26" s="975"/>
      <c r="J26" s="975"/>
      <c r="K26" s="976"/>
      <c r="Q26" s="3019"/>
    </row>
    <row r="27" spans="1:33" s="989" customFormat="1" ht="13.5" customHeight="1">
      <c r="A27" s="967" t="s">
        <v>804</v>
      </c>
      <c r="B27" s="988" t="s">
        <v>2500</v>
      </c>
      <c r="C27" s="1354">
        <f ca="1">ROUND(IF('数据-取费表'!B22&lt;=1,(C21+C22+C23)*F25*'数据-取费表'!B24/2,(C21+C22+C23)*(POWER((1+F25),'数据-取费表'!B24/2)-1)),0)</f>
        <v>5342</v>
      </c>
      <c r="D27" s="328"/>
      <c r="E27" s="329"/>
      <c r="F27" s="330"/>
      <c r="G27" s="2551" t="str">
        <f>IF('数据-取费表'!B22&lt;=1,"（1）-（3）项×年利率×建设期÷2","（1）-（3）项×((1+年利率)^(建设期÷2)-1)")</f>
        <v>（1）-（3）项×((1+年利率)^(建设期÷2)-1)</v>
      </c>
      <c r="H27" s="975"/>
      <c r="I27" s="975"/>
      <c r="J27" s="975"/>
      <c r="K27" s="976"/>
      <c r="Q27" s="3019"/>
    </row>
    <row r="28" spans="1:33" s="333" customFormat="1" ht="13.5" customHeight="1">
      <c r="A28" s="957" t="s">
        <v>2501</v>
      </c>
      <c r="B28" s="2552" t="s">
        <v>2502</v>
      </c>
      <c r="C28" s="331">
        <f ca="1">C30</f>
        <v>12371</v>
      </c>
      <c r="D28" s="324">
        <f ca="1">C29</f>
        <v>5.6599999999999998E-2</v>
      </c>
      <c r="E28" s="326" t="s">
        <v>15</v>
      </c>
      <c r="F28" s="332">
        <f ca="1">IF(C1="",'数据-取费表'!Q16,INDIRECT("'数据-取费表'!q"&amp;$K$1))</f>
        <v>0.11</v>
      </c>
      <c r="G28" s="985"/>
      <c r="H28" s="986"/>
      <c r="I28" s="986"/>
      <c r="J28" s="986"/>
      <c r="K28" s="987"/>
      <c r="Q28" s="3019"/>
    </row>
    <row r="29" spans="1:33" s="335" customFormat="1" ht="13.5" customHeight="1">
      <c r="A29" s="967" t="s">
        <v>803</v>
      </c>
      <c r="B29" s="990" t="s">
        <v>2503</v>
      </c>
      <c r="C29" s="328">
        <f ca="1">ROUND((1+C24)*F28*'数据-取费表'!B24/'数据-取费表'!B20,4)</f>
        <v>5.6599999999999998E-2</v>
      </c>
      <c r="D29" s="328"/>
      <c r="E29" s="329"/>
      <c r="F29" s="334"/>
      <c r="G29" s="140" t="s">
        <v>2504</v>
      </c>
      <c r="H29" s="975"/>
      <c r="I29" s="975"/>
      <c r="J29" s="975"/>
      <c r="K29" s="976"/>
      <c r="Q29" s="3019"/>
    </row>
    <row r="30" spans="1:33" s="335" customFormat="1" ht="13.5" customHeight="1">
      <c r="A30" s="967" t="s">
        <v>804</v>
      </c>
      <c r="B30" s="990" t="s">
        <v>2505</v>
      </c>
      <c r="C30" s="336">
        <f ca="1">ROUND((C21+C22+C23)*F28,0)</f>
        <v>12371</v>
      </c>
      <c r="D30" s="328"/>
      <c r="E30" s="329"/>
      <c r="F30" s="334"/>
      <c r="G30" s="140"/>
      <c r="H30" s="975"/>
      <c r="I30" s="975"/>
      <c r="J30" s="975"/>
      <c r="K30" s="976"/>
      <c r="Q30" s="3019"/>
    </row>
    <row r="31" spans="1:33" s="971" customFormat="1" ht="13.5" customHeight="1" thickBot="1">
      <c r="A31" s="2553" t="s">
        <v>2506</v>
      </c>
      <c r="B31" s="1001" t="s">
        <v>2507</v>
      </c>
      <c r="C31" s="1002">
        <f ca="1">ROUND(C4*F31/(1+'数据-取费表'!C42),0)</f>
        <v>39087</v>
      </c>
      <c r="D31" s="1003"/>
      <c r="E31" s="1004"/>
      <c r="F31" s="1005">
        <f>'数据-取费表'!B41</f>
        <v>5.6000000000000001E-2</v>
      </c>
      <c r="G31" s="1006" t="s">
        <v>2508</v>
      </c>
      <c r="H31" s="1007"/>
      <c r="I31" s="1007"/>
      <c r="J31" s="1007"/>
      <c r="K31" s="1008"/>
      <c r="Q31" s="3019"/>
    </row>
    <row r="32" spans="1:33" s="966" customFormat="1" ht="13.5" customHeight="1" thickBot="1">
      <c r="A32" s="996" t="s">
        <v>2509</v>
      </c>
      <c r="B32" s="997"/>
      <c r="C32" s="998">
        <f ca="1">ROUND((C4-C21-C22-C23-C25-C28-C31)/(1+C24+D25+D28),0)</f>
        <v>475352</v>
      </c>
      <c r="D32" s="997"/>
      <c r="E32" s="997"/>
      <c r="F32" s="997"/>
      <c r="G32" s="999" t="s">
        <v>2510</v>
      </c>
      <c r="H32" s="997"/>
      <c r="I32" s="997"/>
      <c r="J32" s="997"/>
      <c r="K32" s="1000"/>
      <c r="Q32" s="3019"/>
    </row>
    <row r="34" spans="6:6" ht="12.75" customHeight="1"/>
    <row r="35" spans="6:6">
      <c r="F35" s="948">
        <f ca="1">35*F6/10000</f>
        <v>12.7295</v>
      </c>
    </row>
    <row r="39" spans="6:6" ht="14.2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1606</v>
      </c>
    </row>
    <row r="2" spans="1:1">
      <c r="A2" s="1940"/>
    </row>
    <row r="3" spans="1:1" ht="18">
      <c r="A3" s="1941" t="str">
        <f>项目基本情况!B5&amp;"："</f>
        <v>中诚信托有限责任公司：</v>
      </c>
    </row>
    <row r="4" spans="1:1" ht="54">
      <c r="A4" s="1942" t="str">
        <f>"受贵公司委托，我公司对"&amp;项目基本情况!S1&amp;"进行了预评估。"</f>
        <v>受贵公司委托，我公司对重庆市江北区观音桥组团I分区I29-3-1/02地块“隆鑫中心”综合项目出让国有建设用地使用权及在建建筑物房地产抵押价值进行了预评估。</v>
      </c>
    </row>
    <row r="5" spans="1:1" ht="18.75">
      <c r="A5" s="1943" t="s">
        <v>1607</v>
      </c>
    </row>
    <row r="6" spans="1:1" ht="18.75">
      <c r="A6" s="1944" t="s">
        <v>1608</v>
      </c>
    </row>
    <row r="7" spans="1:1" ht="90">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江北区观音桥组团I分区I29-3-1/02地块“隆鑫中心”综合项目出让国有建设用地使用权及在建建筑物房地产，为重庆华诚投资有限公司所有。根据《不动产权证书》[渝（2019）江北区不动产权第000107044号]，估价对象（分摊）出让国有建设用地使用权面积为25136平方米，建筑面积为378144.48平方米。</v>
      </c>
    </row>
    <row r="8" spans="1:1" ht="57.75">
      <c r="A8" s="1945" t="s">
        <v>1609</v>
      </c>
    </row>
    <row r="9" spans="1:1" ht="18.75">
      <c r="A9" s="1944" t="s">
        <v>1610</v>
      </c>
    </row>
    <row r="10" spans="1:1" ht="90">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江北区观音桥组团I分区I29-3-1/02地块“隆鑫中心”综合项目出让国有建设用地使用权及在建建筑物房地产,为重庆华诚投资有限公司开发建设的综合项目（居住、综合），该项目尚在开发建设中。根据《不动产权证书》[渝（2019）江北区不动产权第000107044号]，估价对象（分摊）出让国有建设用地使用权面积为25136平方米，规划建筑面积为378144.48平方米。</v>
      </c>
    </row>
    <row r="11" spans="1:1" ht="76.5">
      <c r="A11" s="1945" t="s">
        <v>1611</v>
      </c>
    </row>
    <row r="12" spans="1:1" ht="18.75">
      <c r="A12" s="1943" t="s">
        <v>1612</v>
      </c>
    </row>
    <row r="13" spans="1:1" ht="38.25" customHeight="1">
      <c r="A13" s="1946" t="str">
        <f>IF(项目基本情况!B8="抵押",IF(项目基本情况!B5=项目基本情况!B6,定义!C51,定义!B51),定义!D51)</f>
        <v>重庆华诚投资有限公司拟使用重庆市江北区观音桥组团I分区I29-3-1/02地块“隆鑫中心”综合项目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row>
    <row r="14" spans="1:1" ht="18.75">
      <c r="A14" s="1947" t="s">
        <v>1613</v>
      </c>
    </row>
    <row r="15" spans="1:1" ht="18">
      <c r="A15" s="1948" t="str">
        <f>TEXT(项目基本情况!D3,"yyyy年m月d日;;")&amp;IF(项目基本情况!D3=项目基本情况!B3,"（评估专业人员实地查勘之日）","")</f>
        <v>2019年11月27日（评估专业人员实地查勘之日）</v>
      </c>
    </row>
    <row r="16" spans="1:1" ht="18.75">
      <c r="A16" s="1947" t="s">
        <v>1614</v>
      </c>
    </row>
    <row r="17" spans="1:1" ht="75">
      <c r="A17" s="1942" t="s">
        <v>1615</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27日，估价对象规划用途为住宅，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1604</v>
      </c>
    </row>
    <row r="24" spans="1:1" ht="18">
      <c r="A24" s="1949" t="str">
        <f>"本次评估采用的主估价方法为"&amp;结果表!K4&amp;"和"&amp;结果表!L4&amp;"。"</f>
        <v>本次评估采用的主估价方法为成本法和假设开发法。</v>
      </c>
    </row>
    <row r="25" spans="1:1" ht="18">
      <c r="A25" s="1949"/>
    </row>
    <row r="26" spans="1:1" ht="18.75">
      <c r="A26" s="1950" t="s">
        <v>1605</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J64" sqref="J6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2520</v>
      </c>
      <c r="B1" s="2575" t="s">
        <v>2521</v>
      </c>
      <c r="C1" s="1629" t="s">
        <v>2522</v>
      </c>
      <c r="D1" s="1616" t="s">
        <v>3061</v>
      </c>
      <c r="E1" s="2576"/>
      <c r="F1" s="2577" t="s">
        <v>2523</v>
      </c>
      <c r="G1" s="1626" t="s">
        <v>2524</v>
      </c>
      <c r="H1" s="1625"/>
      <c r="I1" s="1625"/>
      <c r="J1" s="1625"/>
      <c r="K1" s="1627"/>
      <c r="L1" s="1628"/>
      <c r="M1" s="1629"/>
      <c r="N1" s="1629"/>
      <c r="O1" s="1629"/>
      <c r="P1" s="2578"/>
      <c r="Q1" s="1615"/>
      <c r="R1" s="1615"/>
      <c r="S1" s="1615"/>
      <c r="T1" s="1615"/>
      <c r="U1" s="1615"/>
      <c r="V1" s="1615"/>
      <c r="W1" s="1615"/>
      <c r="X1" s="1615"/>
      <c r="Y1" s="1615"/>
      <c r="Z1" s="1615"/>
      <c r="AA1" s="1615"/>
      <c r="AB1" s="1615"/>
      <c r="AC1" s="1623"/>
    </row>
    <row r="2" spans="1:29" s="393" customFormat="1" ht="28.5" customHeight="1" thickTop="1">
      <c r="A2" s="1612" t="s">
        <v>1389</v>
      </c>
      <c r="B2" s="1414">
        <f>IF(C2="——",ROUND(C49*D3/10000,0),ROUND(C49*D3/10000,0)-D2)</f>
        <v>203279</v>
      </c>
      <c r="C2" s="2579" t="s">
        <v>70</v>
      </c>
      <c r="D2" s="1361" t="e">
        <f ca="1">SUMIF(INDIRECT("'"&amp;F2&amp;"'"&amp;"!A:A"),"承租人权益价值",INDIRECT("'"&amp;F2&amp;"'"&amp;"!c:c"))</f>
        <v>#REF!</v>
      </c>
      <c r="E2" s="2580" t="s">
        <v>2525</v>
      </c>
      <c r="F2" s="2581"/>
      <c r="G2" s="1120"/>
      <c r="H2" s="1120"/>
      <c r="I2" s="1120"/>
      <c r="J2" s="1120"/>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1390</v>
      </c>
      <c r="B3" s="399">
        <f>IF(C2="——",C49,ROUND(B2*10000/D3,0))</f>
        <v>22192</v>
      </c>
      <c r="C3" s="400" t="s">
        <v>2526</v>
      </c>
      <c r="D3" s="399">
        <f>IF(D1="",'数据-汇总表'!E3,SUMIF('数据-汇总表'!$C19:$C33,D1,'数据-汇总表'!$E19:$E33))</f>
        <v>91600</v>
      </c>
      <c r="E3" s="1120"/>
      <c r="F3" s="2588"/>
      <c r="G3" s="1120"/>
      <c r="H3" s="1120"/>
      <c r="I3" s="1120"/>
      <c r="J3" s="1120"/>
      <c r="K3" s="2582"/>
      <c r="L3" s="2583"/>
      <c r="M3" s="2584"/>
      <c r="N3" s="2584"/>
      <c r="O3" s="2584"/>
      <c r="P3" s="2585"/>
      <c r="Q3" s="2586"/>
      <c r="R3" s="2586"/>
      <c r="S3" s="2586"/>
      <c r="T3" s="2586"/>
      <c r="U3" s="2586"/>
      <c r="V3" s="2586"/>
      <c r="W3" s="2586"/>
      <c r="X3" s="2586"/>
      <c r="Y3" s="2586"/>
      <c r="Z3" s="2586"/>
      <c r="AA3" s="2586"/>
      <c r="AB3" s="2586"/>
      <c r="AC3" s="1278"/>
    </row>
    <row r="4" spans="1:29" ht="15">
      <c r="A4" s="401" t="s">
        <v>2527</v>
      </c>
      <c r="B4" s="402"/>
      <c r="C4" s="3292" t="s">
        <v>2528</v>
      </c>
      <c r="D4" s="3293"/>
      <c r="E4" s="3294" t="s">
        <v>2529</v>
      </c>
      <c r="F4" s="3295"/>
      <c r="G4" s="3292" t="s">
        <v>2530</v>
      </c>
      <c r="H4" s="3293"/>
      <c r="I4" s="3292" t="s">
        <v>2531</v>
      </c>
      <c r="J4" s="3293"/>
      <c r="K4" s="2589" t="s">
        <v>2532</v>
      </c>
      <c r="L4" s="1126"/>
      <c r="M4" s="1127"/>
      <c r="N4" s="1127"/>
      <c r="O4" s="1127"/>
      <c r="P4" s="3296" t="s">
        <v>2533</v>
      </c>
      <c r="Q4" s="3297"/>
      <c r="R4" s="3279" t="s">
        <v>2529</v>
      </c>
      <c r="S4" s="3280"/>
      <c r="T4" s="3279" t="s">
        <v>2530</v>
      </c>
      <c r="U4" s="3280"/>
      <c r="V4" s="3304" t="s">
        <v>2531</v>
      </c>
      <c r="W4" s="3304"/>
      <c r="X4" s="1808"/>
      <c r="Y4" s="3279" t="s">
        <v>2533</v>
      </c>
      <c r="Z4" s="3280"/>
      <c r="AA4" s="3274" t="s">
        <v>2529</v>
      </c>
      <c r="AB4" s="3274" t="s">
        <v>2530</v>
      </c>
      <c r="AC4" s="3274" t="s">
        <v>2531</v>
      </c>
    </row>
    <row r="5" spans="1:29" ht="15">
      <c r="A5" s="404"/>
      <c r="B5" s="405"/>
      <c r="C5" s="3285" t="s">
        <v>2534</v>
      </c>
      <c r="D5" s="3286"/>
      <c r="E5" s="3321" t="s">
        <v>3842</v>
      </c>
      <c r="F5" s="3284"/>
      <c r="G5" s="3322" t="s">
        <v>4083</v>
      </c>
      <c r="H5" s="3286"/>
      <c r="I5" s="3322" t="s">
        <v>4084</v>
      </c>
      <c r="J5" s="3286"/>
      <c r="K5" s="2590"/>
      <c r="L5" s="1126"/>
      <c r="M5" s="1127"/>
      <c r="N5" s="1127"/>
      <c r="O5" s="1127"/>
      <c r="P5" s="3298"/>
      <c r="Q5" s="3299"/>
      <c r="R5" s="3281"/>
      <c r="S5" s="3282"/>
      <c r="T5" s="3281"/>
      <c r="U5" s="3282"/>
      <c r="V5" s="3304"/>
      <c r="W5" s="3304"/>
      <c r="X5" s="1808"/>
      <c r="Y5" s="3281"/>
      <c r="Z5" s="3282"/>
      <c r="AA5" s="3275"/>
      <c r="AB5" s="3275"/>
      <c r="AC5" s="3275"/>
    </row>
    <row r="6" spans="1:29" ht="15.75" thickBot="1">
      <c r="A6" s="406"/>
      <c r="B6" s="407"/>
      <c r="C6" s="3287" t="s">
        <v>2538</v>
      </c>
      <c r="D6" s="3288"/>
      <c r="E6" s="3289" t="s">
        <v>2538</v>
      </c>
      <c r="F6" s="3290"/>
      <c r="G6" s="3287" t="s">
        <v>2538</v>
      </c>
      <c r="H6" s="3288"/>
      <c r="I6" s="3323" t="s">
        <v>3843</v>
      </c>
      <c r="J6" s="3288"/>
      <c r="K6" s="2590" t="s">
        <v>2539</v>
      </c>
      <c r="L6" s="1126"/>
      <c r="M6" s="1127"/>
      <c r="N6" s="1127"/>
      <c r="O6" s="1127"/>
      <c r="P6" s="3300"/>
      <c r="Q6" s="3301"/>
      <c r="R6" s="3281"/>
      <c r="S6" s="3282"/>
      <c r="T6" s="3302"/>
      <c r="U6" s="3303"/>
      <c r="V6" s="3304"/>
      <c r="W6" s="3304"/>
      <c r="X6" s="1808"/>
      <c r="Y6" s="3302"/>
      <c r="Z6" s="3303"/>
      <c r="AA6" s="3276"/>
      <c r="AB6" s="3276"/>
      <c r="AC6" s="3276"/>
    </row>
    <row r="7" spans="1:29" s="117" customFormat="1" ht="15.75" thickBot="1">
      <c r="A7" s="408" t="s">
        <v>2540</v>
      </c>
      <c r="B7" s="409"/>
      <c r="C7" s="410">
        <f>'数据-取费表'!B2</f>
        <v>43796</v>
      </c>
      <c r="D7" s="411">
        <v>100</v>
      </c>
      <c r="E7" s="412">
        <v>43770</v>
      </c>
      <c r="F7" s="413">
        <f>SUMIF(58:58,YEAR(E7)&amp;"-"&amp;MONTH(E7),59:59)</f>
        <v>100</v>
      </c>
      <c r="G7" s="412">
        <f>E7</f>
        <v>43770</v>
      </c>
      <c r="H7" s="411">
        <f>SUMIF(58:58,YEAR(G7)&amp;"-"&amp;MONTH(G7),59:59)</f>
        <v>100</v>
      </c>
      <c r="I7" s="412">
        <f>E7</f>
        <v>43770</v>
      </c>
      <c r="J7" s="411">
        <f>SUMIF(58:58,YEAR(I7)&amp;"-"&amp;MONTH(I7),59:59)</f>
        <v>100</v>
      </c>
      <c r="K7" s="2591"/>
      <c r="L7" s="1128"/>
      <c r="M7" s="1129"/>
      <c r="N7" s="1129"/>
      <c r="O7" s="1129"/>
      <c r="P7" s="3277" t="s">
        <v>2541</v>
      </c>
      <c r="Q7" s="3305"/>
      <c r="R7" s="768" t="s">
        <v>23</v>
      </c>
      <c r="S7" s="769">
        <f t="shared" ref="S7:S15" si="0">F7</f>
        <v>100</v>
      </c>
      <c r="T7" s="768" t="s">
        <v>23</v>
      </c>
      <c r="U7" s="769">
        <f t="shared" ref="U7:U15" si="1">H7</f>
        <v>100</v>
      </c>
      <c r="V7" s="768" t="s">
        <v>23</v>
      </c>
      <c r="W7" s="769">
        <f t="shared" ref="W7:W15" si="2">J7</f>
        <v>100</v>
      </c>
      <c r="X7" s="770"/>
      <c r="Y7" s="3277" t="s">
        <v>2541</v>
      </c>
      <c r="Z7" s="3278"/>
      <c r="AA7" s="771">
        <f>D7/F7</f>
        <v>1</v>
      </c>
      <c r="AB7" s="771">
        <f>D7/H7</f>
        <v>1</v>
      </c>
      <c r="AC7" s="771">
        <f>D7/J7</f>
        <v>1</v>
      </c>
    </row>
    <row r="8" spans="1:29" s="117" customFormat="1" ht="15.75" thickBot="1">
      <c r="A8" s="408" t="s">
        <v>2542</v>
      </c>
      <c r="B8" s="409"/>
      <c r="C8" s="414" t="s">
        <v>2543</v>
      </c>
      <c r="D8" s="411">
        <v>100</v>
      </c>
      <c r="E8" s="2592" t="s">
        <v>3605</v>
      </c>
      <c r="F8" s="413">
        <f>SUMIF(61:61,E8,62:62)-SUMIF(61:61,C8,62:62)+100</f>
        <v>100</v>
      </c>
      <c r="G8" s="2592" t="s">
        <v>3605</v>
      </c>
      <c r="H8" s="411">
        <f>SUMIF(61:61,G8,62:62)-SUMIF(61:61,C8,62:62)+100</f>
        <v>100</v>
      </c>
      <c r="I8" s="2592" t="s">
        <v>3605</v>
      </c>
      <c r="J8" s="411">
        <f>SUMIF(61:61,I8,62:62)-SUMIF(61:61,C8,62:62)+100</f>
        <v>100</v>
      </c>
      <c r="K8" s="2591"/>
      <c r="L8" s="1128"/>
      <c r="M8" s="1129"/>
      <c r="N8" s="1129"/>
      <c r="O8" s="1129"/>
      <c r="P8" s="3277" t="s">
        <v>2544</v>
      </c>
      <c r="Q8" s="3278"/>
      <c r="R8" s="768" t="s">
        <v>23</v>
      </c>
      <c r="S8" s="769">
        <f t="shared" si="0"/>
        <v>100</v>
      </c>
      <c r="T8" s="768" t="s">
        <v>23</v>
      </c>
      <c r="U8" s="769">
        <f t="shared" si="1"/>
        <v>100</v>
      </c>
      <c r="V8" s="768" t="s">
        <v>23</v>
      </c>
      <c r="W8" s="769">
        <f t="shared" si="2"/>
        <v>100</v>
      </c>
      <c r="X8" s="770"/>
      <c r="Y8" s="3277" t="s">
        <v>2544</v>
      </c>
      <c r="Z8" s="3278"/>
      <c r="AA8" s="771">
        <f t="shared" ref="AA8:AA19" si="3">D8/F8</f>
        <v>1</v>
      </c>
      <c r="AB8" s="771">
        <f t="shared" ref="AB8:AB19" si="4">D8/H8</f>
        <v>1</v>
      </c>
      <c r="AC8" s="771">
        <f t="shared" ref="AC8:AC19" si="5">D8/J8</f>
        <v>1</v>
      </c>
    </row>
    <row r="9" spans="1:29" s="117" customFormat="1">
      <c r="A9" s="415" t="s">
        <v>2545</v>
      </c>
      <c r="B9" s="71" t="s">
        <v>2546</v>
      </c>
      <c r="C9" s="3004" t="s">
        <v>3822</v>
      </c>
      <c r="D9" s="135">
        <v>100</v>
      </c>
      <c r="E9" s="417" t="s">
        <v>3061</v>
      </c>
      <c r="F9" s="418">
        <f>SUMIF(63:63,E9,64:64)-SUMIF(63:63,C9,64:64)+100</f>
        <v>100</v>
      </c>
      <c r="G9" s="417" t="s">
        <v>3061</v>
      </c>
      <c r="H9" s="135">
        <f>SUMIF(63:63,G9,64:64)-SUMIF(63:63,C9,64:64)+100</f>
        <v>100</v>
      </c>
      <c r="I9" s="417" t="s">
        <v>3061</v>
      </c>
      <c r="J9" s="135">
        <f>SUMIF(63:63,I9,64:64)-SUMIF(63:63,C9,64:64)+100</f>
        <v>100</v>
      </c>
      <c r="K9" s="2591"/>
      <c r="L9" s="1128"/>
      <c r="M9" s="1129"/>
      <c r="N9" s="1129"/>
      <c r="O9" s="1129"/>
      <c r="P9" s="3315" t="s">
        <v>2547</v>
      </c>
      <c r="Q9" s="1790" t="str">
        <f t="shared" ref="Q9:Q15" si="6">B9</f>
        <v>用途</v>
      </c>
      <c r="R9" s="768" t="s">
        <v>17</v>
      </c>
      <c r="S9" s="769">
        <f t="shared" si="0"/>
        <v>100</v>
      </c>
      <c r="T9" s="768" t="s">
        <v>17</v>
      </c>
      <c r="U9" s="769">
        <f t="shared" si="1"/>
        <v>100</v>
      </c>
      <c r="V9" s="768" t="s">
        <v>17</v>
      </c>
      <c r="W9" s="769">
        <f t="shared" si="2"/>
        <v>100</v>
      </c>
      <c r="X9" s="770"/>
      <c r="Y9" s="3136" t="s">
        <v>2548</v>
      </c>
      <c r="Z9" s="55" t="str">
        <f t="shared" ref="Z9:Z15" si="7">Q9</f>
        <v>用途</v>
      </c>
      <c r="AA9" s="771">
        <f t="shared" si="3"/>
        <v>1</v>
      </c>
      <c r="AB9" s="771">
        <f t="shared" si="4"/>
        <v>1</v>
      </c>
      <c r="AC9" s="771">
        <f t="shared" si="5"/>
        <v>1</v>
      </c>
    </row>
    <row r="10" spans="1:29" s="427" customFormat="1" ht="27">
      <c r="A10" s="421"/>
      <c r="B10" s="422" t="s">
        <v>2549</v>
      </c>
      <c r="C10" s="423" t="s">
        <v>3823</v>
      </c>
      <c r="D10" s="136">
        <v>100</v>
      </c>
      <c r="E10" s="423" t="s">
        <v>3823</v>
      </c>
      <c r="F10" s="425">
        <f>SUMIF(65:65,E10,66:66)-SUMIF(65:65,C10,66:66)+100</f>
        <v>100</v>
      </c>
      <c r="G10" s="423" t="s">
        <v>3823</v>
      </c>
      <c r="H10" s="136">
        <f>SUMIF(65:65,G10,66:66)-SUMIF(65:65,C10,66:66)+100</f>
        <v>100</v>
      </c>
      <c r="I10" s="423" t="s">
        <v>3823</v>
      </c>
      <c r="J10" s="136">
        <f>SUMIF(65:65,I10,66:66)-SUMIF(65:65,C10,66:66)+100</f>
        <v>100</v>
      </c>
      <c r="K10" s="426">
        <v>2</v>
      </c>
      <c r="L10" s="1131"/>
      <c r="M10" s="1132"/>
      <c r="N10" s="1132"/>
      <c r="O10" s="1132"/>
      <c r="P10" s="3315"/>
      <c r="Q10" s="1790" t="str">
        <f t="shared" si="6"/>
        <v>土地使用年限（年）</v>
      </c>
      <c r="R10" s="768" t="s">
        <v>17</v>
      </c>
      <c r="S10" s="769">
        <f t="shared" si="0"/>
        <v>100</v>
      </c>
      <c r="T10" s="768" t="s">
        <v>17</v>
      </c>
      <c r="U10" s="769">
        <f t="shared" si="1"/>
        <v>100</v>
      </c>
      <c r="V10" s="768" t="s">
        <v>17</v>
      </c>
      <c r="W10" s="769">
        <f t="shared" si="2"/>
        <v>100</v>
      </c>
      <c r="X10" s="770"/>
      <c r="Y10" s="3136"/>
      <c r="Z10" s="55" t="str">
        <f t="shared" si="7"/>
        <v>土地使用年限（年）</v>
      </c>
      <c r="AA10" s="771">
        <f t="shared" si="3"/>
        <v>1</v>
      </c>
      <c r="AB10" s="771">
        <f t="shared" si="4"/>
        <v>1</v>
      </c>
      <c r="AC10" s="771">
        <f t="shared" si="5"/>
        <v>1</v>
      </c>
    </row>
    <row r="11" spans="1:29" ht="15">
      <c r="A11" s="428"/>
      <c r="B11" s="422" t="s">
        <v>2550</v>
      </c>
      <c r="C11" s="429">
        <f>'数据-汇总表'!I7</f>
        <v>0</v>
      </c>
      <c r="D11" s="136">
        <v>100</v>
      </c>
      <c r="E11" s="430"/>
      <c r="F11" s="425">
        <f>LOOKUP(E11,68:68,69:69)-LOOKUP(C11,68:68,69:69)+100</f>
        <v>100</v>
      </c>
      <c r="G11" s="429"/>
      <c r="H11" s="136">
        <f>LOOKUP(G11,68:68,69:69)-LOOKUP(C11,68:68,69:69)+100</f>
        <v>100</v>
      </c>
      <c r="I11" s="429"/>
      <c r="J11" s="136">
        <f>LOOKUP(I11,68:68,69:69)-LOOKUP(C11,68:68,69:69)+100</f>
        <v>100</v>
      </c>
      <c r="K11" s="426"/>
      <c r="L11" s="1134"/>
      <c r="M11" s="1127"/>
      <c r="N11" s="1127"/>
      <c r="O11" s="1127"/>
      <c r="P11" s="3315"/>
      <c r="Q11" s="1790" t="str">
        <f t="shared" si="6"/>
        <v>容积率</v>
      </c>
      <c r="R11" s="768" t="s">
        <v>21</v>
      </c>
      <c r="S11" s="769">
        <f t="shared" si="0"/>
        <v>100</v>
      </c>
      <c r="T11" s="768" t="s">
        <v>21</v>
      </c>
      <c r="U11" s="769">
        <f t="shared" si="1"/>
        <v>100</v>
      </c>
      <c r="V11" s="768" t="s">
        <v>21</v>
      </c>
      <c r="W11" s="769">
        <f t="shared" si="2"/>
        <v>100</v>
      </c>
      <c r="X11" s="770"/>
      <c r="Y11" s="3136"/>
      <c r="Z11" s="55" t="str">
        <f t="shared" si="7"/>
        <v>容积率</v>
      </c>
      <c r="AA11" s="771">
        <f t="shared" si="3"/>
        <v>1</v>
      </c>
      <c r="AB11" s="771">
        <f t="shared" si="4"/>
        <v>1</v>
      </c>
      <c r="AC11" s="771">
        <f t="shared" si="5"/>
        <v>1</v>
      </c>
    </row>
    <row r="12" spans="1:29" s="117" customFormat="1" ht="15">
      <c r="A12" s="431"/>
      <c r="B12" s="2593"/>
      <c r="C12" s="432"/>
      <c r="D12" s="433">
        <v>100</v>
      </c>
      <c r="E12" s="432"/>
      <c r="F12" s="425">
        <f>SUMIF(70:70,E12,71:71)-SUMIF(70:70,C12,71:71)+100</f>
        <v>100</v>
      </c>
      <c r="G12" s="432"/>
      <c r="H12" s="136">
        <f>SUMIF(70:70,G12,71:71)-SUMIF(70:70,C12,71:71)+100</f>
        <v>100</v>
      </c>
      <c r="I12" s="432"/>
      <c r="J12" s="136">
        <f>SUMIF(70:70,I12,71:71)-SUMIF(70:70,C12,71:71)+100</f>
        <v>100</v>
      </c>
      <c r="K12" s="2594"/>
      <c r="L12" s="1128"/>
      <c r="M12" s="1129"/>
      <c r="N12" s="1129"/>
      <c r="O12" s="1129"/>
      <c r="P12" s="3315"/>
      <c r="Q12" s="1790">
        <f t="shared" si="6"/>
        <v>0</v>
      </c>
      <c r="R12" s="768" t="s">
        <v>21</v>
      </c>
      <c r="S12" s="769">
        <f t="shared" si="0"/>
        <v>100</v>
      </c>
      <c r="T12" s="768" t="s">
        <v>21</v>
      </c>
      <c r="U12" s="769">
        <f t="shared" si="1"/>
        <v>100</v>
      </c>
      <c r="V12" s="768" t="s">
        <v>21</v>
      </c>
      <c r="W12" s="769">
        <f t="shared" si="2"/>
        <v>100</v>
      </c>
      <c r="X12" s="770"/>
      <c r="Y12" s="3136"/>
      <c r="Z12" s="55">
        <f t="shared" si="7"/>
        <v>0</v>
      </c>
      <c r="AA12" s="771">
        <f>D12/F12</f>
        <v>1</v>
      </c>
      <c r="AB12" s="771">
        <f>D12/H12</f>
        <v>1</v>
      </c>
      <c r="AC12" s="771">
        <f>D12/J12</f>
        <v>1</v>
      </c>
    </row>
    <row r="13" spans="1:29" ht="15">
      <c r="A13" s="428"/>
      <c r="B13" s="2593"/>
      <c r="C13" s="434"/>
      <c r="D13" s="435">
        <v>100</v>
      </c>
      <c r="E13" s="434"/>
      <c r="F13" s="425">
        <f>SUMIF(72:72,E13,73:73)-SUMIF(72:72,C13,73:73)+100</f>
        <v>100</v>
      </c>
      <c r="G13" s="434"/>
      <c r="H13" s="435">
        <f>SUMIF(72:72,G13,73:73)-SUMIF(72:72,C13,73:73)+100</f>
        <v>100</v>
      </c>
      <c r="I13" s="434"/>
      <c r="J13" s="435">
        <f>SUMIF(72:72,I13,73:73)-SUMIF(72:72,C13,73:73)+100</f>
        <v>100</v>
      </c>
      <c r="K13" s="2594"/>
      <c r="L13" s="1136"/>
      <c r="M13" s="1127"/>
      <c r="N13" s="1127"/>
      <c r="O13" s="1127"/>
      <c r="P13" s="3315"/>
      <c r="Q13" s="1790">
        <f t="shared" si="6"/>
        <v>0</v>
      </c>
      <c r="R13" s="768" t="s">
        <v>21</v>
      </c>
      <c r="S13" s="769">
        <f t="shared" si="0"/>
        <v>100</v>
      </c>
      <c r="T13" s="768" t="s">
        <v>21</v>
      </c>
      <c r="U13" s="769">
        <f t="shared" si="1"/>
        <v>100</v>
      </c>
      <c r="V13" s="768" t="s">
        <v>21</v>
      </c>
      <c r="W13" s="769">
        <f t="shared" si="2"/>
        <v>100</v>
      </c>
      <c r="X13" s="770"/>
      <c r="Y13" s="3136"/>
      <c r="Z13" s="55">
        <f t="shared" si="7"/>
        <v>0</v>
      </c>
      <c r="AA13" s="771">
        <f t="shared" si="3"/>
        <v>1</v>
      </c>
      <c r="AB13" s="771">
        <f t="shared" si="4"/>
        <v>1</v>
      </c>
      <c r="AC13" s="771">
        <f t="shared" si="5"/>
        <v>1</v>
      </c>
    </row>
    <row r="14" spans="1:29" ht="15.75" thickBot="1">
      <c r="A14" s="436"/>
      <c r="B14" s="2595"/>
      <c r="C14" s="437"/>
      <c r="D14" s="438">
        <v>100</v>
      </c>
      <c r="E14" s="437"/>
      <c r="F14" s="439">
        <f>SUMIF(74:74,E14,75:75)-SUMIF(74:74,C14,75:75)+100</f>
        <v>100</v>
      </c>
      <c r="G14" s="437"/>
      <c r="H14" s="438">
        <f>SUMIF(74:74,G14,75:75)-SUMIF(74:74,C14,75:75)+100</f>
        <v>100</v>
      </c>
      <c r="I14" s="437"/>
      <c r="J14" s="438">
        <f>SUMIF(74:74,I14,75:75)-SUMIF(74:74,C14,75:75)+100</f>
        <v>100</v>
      </c>
      <c r="K14" s="2594"/>
      <c r="L14" s="1136"/>
      <c r="M14" s="1127"/>
      <c r="N14" s="1127"/>
      <c r="O14" s="1127"/>
      <c r="P14" s="3315"/>
      <c r="Q14" s="1790">
        <f t="shared" si="6"/>
        <v>0</v>
      </c>
      <c r="R14" s="768" t="s">
        <v>21</v>
      </c>
      <c r="S14" s="769">
        <f t="shared" si="0"/>
        <v>100</v>
      </c>
      <c r="T14" s="768" t="s">
        <v>21</v>
      </c>
      <c r="U14" s="769">
        <f t="shared" si="1"/>
        <v>100</v>
      </c>
      <c r="V14" s="768" t="s">
        <v>21</v>
      </c>
      <c r="W14" s="769">
        <f t="shared" si="2"/>
        <v>100</v>
      </c>
      <c r="X14" s="770"/>
      <c r="Y14" s="3136"/>
      <c r="Z14" s="55">
        <f t="shared" si="7"/>
        <v>0</v>
      </c>
      <c r="AA14" s="771">
        <f t="shared" si="3"/>
        <v>1</v>
      </c>
      <c r="AB14" s="771">
        <f t="shared" si="4"/>
        <v>1</v>
      </c>
      <c r="AC14" s="771">
        <f t="shared" si="5"/>
        <v>1</v>
      </c>
    </row>
    <row r="15" spans="1:29" ht="99.75">
      <c r="A15" s="440" t="s">
        <v>2551</v>
      </c>
      <c r="B15" s="69" t="s">
        <v>2080</v>
      </c>
      <c r="C15" s="2596" t="str">
        <f>估价对象房地状况!C3</f>
        <v>估价对象周边居住用地比例、居住小区规模和社区发展完善程度，综合评价居住社区成熟度一般</v>
      </c>
      <c r="D15" s="441">
        <v>100</v>
      </c>
      <c r="E15" s="444"/>
      <c r="F15" s="441">
        <f>SUMIF(76:76,E16,77:77)-SUMIF(76:76,C16,77:77)+100</f>
        <v>95</v>
      </c>
      <c r="G15" s="442"/>
      <c r="H15" s="441">
        <f>SUMIF(76:76,G16,77:77)-SUMIF(76:76,C16,77:77)+100</f>
        <v>95</v>
      </c>
      <c r="I15" s="442"/>
      <c r="J15" s="441">
        <f>SUMIF(76:76,I16,77:77)-SUMIF(76:76,C16,77:77)+100</f>
        <v>95</v>
      </c>
      <c r="K15" s="3035">
        <v>5</v>
      </c>
      <c r="L15" s="1136"/>
      <c r="M15" s="1127"/>
      <c r="N15" s="1127"/>
      <c r="O15" s="1127"/>
      <c r="P15" s="3330" t="s">
        <v>2552</v>
      </c>
      <c r="Q15" s="1805" t="str">
        <f t="shared" si="6"/>
        <v>居住社区成熟度</v>
      </c>
      <c r="R15" s="772" t="s">
        <v>21</v>
      </c>
      <c r="S15" s="773">
        <f t="shared" si="0"/>
        <v>95</v>
      </c>
      <c r="T15" s="772" t="s">
        <v>21</v>
      </c>
      <c r="U15" s="773">
        <f t="shared" si="1"/>
        <v>95</v>
      </c>
      <c r="V15" s="772" t="s">
        <v>21</v>
      </c>
      <c r="W15" s="773">
        <f t="shared" si="2"/>
        <v>95</v>
      </c>
      <c r="X15" s="1808"/>
      <c r="Y15" s="3306" t="s">
        <v>2552</v>
      </c>
      <c r="Z15" s="1809" t="str">
        <f t="shared" si="7"/>
        <v>居住社区成熟度</v>
      </c>
      <c r="AA15" s="1806">
        <f t="shared" si="3"/>
        <v>1.0526315789473684</v>
      </c>
      <c r="AB15" s="1806">
        <f t="shared" si="4"/>
        <v>1.0526315789473684</v>
      </c>
      <c r="AC15" s="1806">
        <f t="shared" si="5"/>
        <v>1.0526315789473684</v>
      </c>
    </row>
    <row r="16" spans="1:29" ht="15">
      <c r="A16" s="428"/>
      <c r="B16" s="446"/>
      <c r="C16" s="447" t="s">
        <v>3609</v>
      </c>
      <c r="D16" s="448"/>
      <c r="E16" s="2597" t="s">
        <v>3610</v>
      </c>
      <c r="F16" s="448"/>
      <c r="G16" s="2598" t="s">
        <v>3610</v>
      </c>
      <c r="H16" s="450"/>
      <c r="I16" s="2598" t="s">
        <v>3610</v>
      </c>
      <c r="J16" s="448"/>
      <c r="K16" s="2599"/>
      <c r="L16" s="1136"/>
      <c r="M16" s="1127"/>
      <c r="N16" s="1127"/>
      <c r="O16" s="1127"/>
      <c r="P16" s="3331"/>
      <c r="Q16" s="1805"/>
      <c r="R16" s="772"/>
      <c r="S16" s="773"/>
      <c r="T16" s="772"/>
      <c r="U16" s="773"/>
      <c r="V16" s="772"/>
      <c r="W16" s="773"/>
      <c r="X16" s="1808"/>
      <c r="Y16" s="3307"/>
      <c r="Z16" s="1809"/>
      <c r="AA16" s="1806">
        <v>1</v>
      </c>
      <c r="AB16" s="1806">
        <v>1</v>
      </c>
      <c r="AC16" s="1806">
        <v>1</v>
      </c>
    </row>
    <row r="17" spans="1:29" ht="85.5">
      <c r="A17" s="428"/>
      <c r="B17" s="451" t="s">
        <v>2092</v>
      </c>
      <c r="C17" s="2600" t="str">
        <f>估价对象房地状况!C6</f>
        <v>估价对象周边道路状况、公共交通通达情况、停车便捷程度，综合评价交通便捷度较好</v>
      </c>
      <c r="D17" s="450">
        <v>100</v>
      </c>
      <c r="E17" s="454"/>
      <c r="F17" s="450">
        <f>SUMIF(78:78,E18,79:79)-SUMIF(78:78,C18,79:79)+100</f>
        <v>97</v>
      </c>
      <c r="G17" s="452"/>
      <c r="H17" s="455">
        <f>SUMIF(78:78,G18,79:79)-SUMIF(78:78,C18,79:79)+100</f>
        <v>97</v>
      </c>
      <c r="I17" s="452"/>
      <c r="J17" s="455">
        <f>SUMIF(78:78,I18,79:79)-SUMIF(78:78,C18,79:79)+100</f>
        <v>97</v>
      </c>
      <c r="K17" s="445">
        <v>3</v>
      </c>
      <c r="L17" s="1136"/>
      <c r="M17" s="1127"/>
      <c r="N17" s="1127"/>
      <c r="O17" s="1127"/>
      <c r="P17" s="3331"/>
      <c r="Q17" s="1805" t="str">
        <f>B17</f>
        <v>交通便捷度</v>
      </c>
      <c r="R17" s="772" t="s">
        <v>21</v>
      </c>
      <c r="S17" s="773">
        <f>F17</f>
        <v>97</v>
      </c>
      <c r="T17" s="772" t="s">
        <v>21</v>
      </c>
      <c r="U17" s="773">
        <f>H17</f>
        <v>97</v>
      </c>
      <c r="V17" s="772" t="s">
        <v>21</v>
      </c>
      <c r="W17" s="773">
        <f>J17</f>
        <v>97</v>
      </c>
      <c r="X17" s="1808"/>
      <c r="Y17" s="3307"/>
      <c r="Z17" s="1809" t="str">
        <f>Q17</f>
        <v>交通便捷度</v>
      </c>
      <c r="AA17" s="1806">
        <f t="shared" si="3"/>
        <v>1.0309278350515463</v>
      </c>
      <c r="AB17" s="1806">
        <f t="shared" si="4"/>
        <v>1.0309278350515463</v>
      </c>
      <c r="AC17" s="1806">
        <f t="shared" si="5"/>
        <v>1.0309278350515463</v>
      </c>
    </row>
    <row r="18" spans="1:29" ht="15">
      <c r="A18" s="428"/>
      <c r="B18" s="456"/>
      <c r="C18" s="2601" t="s">
        <v>3609</v>
      </c>
      <c r="D18" s="450"/>
      <c r="E18" s="2602" t="s">
        <v>3610</v>
      </c>
      <c r="F18" s="450"/>
      <c r="G18" s="2602" t="s">
        <v>3610</v>
      </c>
      <c r="H18" s="448"/>
      <c r="I18" s="2602" t="s">
        <v>3610</v>
      </c>
      <c r="J18" s="448"/>
      <c r="K18" s="2599"/>
      <c r="L18" s="1136"/>
      <c r="M18" s="1127"/>
      <c r="N18" s="1127"/>
      <c r="O18" s="1127"/>
      <c r="P18" s="3331"/>
      <c r="Q18" s="1805"/>
      <c r="R18" s="772"/>
      <c r="S18" s="773"/>
      <c r="T18" s="772"/>
      <c r="U18" s="773"/>
      <c r="V18" s="772"/>
      <c r="W18" s="773"/>
      <c r="X18" s="1808"/>
      <c r="Y18" s="3307"/>
      <c r="Z18" s="1809"/>
      <c r="AA18" s="1806">
        <v>1</v>
      </c>
      <c r="AB18" s="1806">
        <v>1</v>
      </c>
      <c r="AC18" s="1806">
        <v>1</v>
      </c>
    </row>
    <row r="19" spans="1:29" ht="42.75">
      <c r="A19" s="428"/>
      <c r="B19" s="451" t="s">
        <v>2090</v>
      </c>
      <c r="C19" s="2600" t="str">
        <f>估价对象房地状况!C7</f>
        <v>估价对象所在区域公共配套设施齐备情况</v>
      </c>
      <c r="D19" s="455">
        <v>100</v>
      </c>
      <c r="E19" s="459"/>
      <c r="F19" s="455">
        <f>SUMIF(80:80,E20,81:81)-SUMIF(80:80,C20,81:81)+100</f>
        <v>100</v>
      </c>
      <c r="G19" s="459"/>
      <c r="H19" s="450">
        <f>SUMIF(80:80,G20,81:81)-SUMIF(80:80,C20,81:81)+100</f>
        <v>100</v>
      </c>
      <c r="I19" s="459"/>
      <c r="J19" s="450">
        <f>SUMIF(80:80,I20,81:81)-SUMIF(80:80,C20,81:81)+100</f>
        <v>100</v>
      </c>
      <c r="K19" s="445">
        <v>5</v>
      </c>
      <c r="L19" s="1136"/>
      <c r="M19" s="1127"/>
      <c r="N19" s="1127"/>
      <c r="O19" s="1127"/>
      <c r="P19" s="3331"/>
      <c r="Q19" s="1805" t="str">
        <f>B19</f>
        <v>公共配套设施</v>
      </c>
      <c r="R19" s="772" t="s">
        <v>21</v>
      </c>
      <c r="S19" s="773">
        <f>F19</f>
        <v>100</v>
      </c>
      <c r="T19" s="772" t="s">
        <v>21</v>
      </c>
      <c r="U19" s="773">
        <f>H19</f>
        <v>100</v>
      </c>
      <c r="V19" s="772" t="s">
        <v>21</v>
      </c>
      <c r="W19" s="773">
        <f>J19</f>
        <v>100</v>
      </c>
      <c r="X19" s="1808"/>
      <c r="Y19" s="3307"/>
      <c r="Z19" s="1809" t="str">
        <f>Q19</f>
        <v>公共配套设施</v>
      </c>
      <c r="AA19" s="1806">
        <f t="shared" si="3"/>
        <v>1</v>
      </c>
      <c r="AB19" s="1806">
        <f t="shared" si="4"/>
        <v>1</v>
      </c>
      <c r="AC19" s="1806">
        <f t="shared" si="5"/>
        <v>1</v>
      </c>
    </row>
    <row r="20" spans="1:29" ht="15">
      <c r="A20" s="428"/>
      <c r="B20" s="456"/>
      <c r="C20" s="447" t="s">
        <v>3610</v>
      </c>
      <c r="D20" s="448"/>
      <c r="E20" s="2597" t="s">
        <v>3610</v>
      </c>
      <c r="F20" s="448"/>
      <c r="G20" s="2597" t="s">
        <v>3610</v>
      </c>
      <c r="H20" s="448"/>
      <c r="I20" s="2597" t="s">
        <v>3610</v>
      </c>
      <c r="J20" s="448"/>
      <c r="K20" s="2599"/>
      <c r="L20" s="1136"/>
      <c r="M20" s="1127"/>
      <c r="N20" s="1127"/>
      <c r="O20" s="1127"/>
      <c r="P20" s="3331"/>
      <c r="Q20" s="1805"/>
      <c r="R20" s="772"/>
      <c r="S20" s="773"/>
      <c r="T20" s="772"/>
      <c r="U20" s="773"/>
      <c r="V20" s="772"/>
      <c r="W20" s="773"/>
      <c r="X20" s="1808"/>
      <c r="Y20" s="3307"/>
      <c r="Z20" s="1809"/>
      <c r="AA20" s="1806">
        <v>1</v>
      </c>
      <c r="AB20" s="1806">
        <v>1</v>
      </c>
      <c r="AC20" s="1806">
        <v>1</v>
      </c>
    </row>
    <row r="21" spans="1:29" ht="28.5">
      <c r="A21" s="428"/>
      <c r="B21" s="1380" t="s">
        <v>2093</v>
      </c>
      <c r="C21" s="2600" t="str">
        <f>估价对象房地状况!C8</f>
        <v>估价对象所在区域基础设施水平</v>
      </c>
      <c r="D21" s="450">
        <v>100</v>
      </c>
      <c r="E21" s="459"/>
      <c r="F21" s="455">
        <f>SUMIF(82:82,E22,83:83)-SUMIF(82:82,C22,83:83)+100</f>
        <v>100</v>
      </c>
      <c r="G21" s="459"/>
      <c r="H21" s="450">
        <f>SUMIF(82:82,G22,83:83)-SUMIF(82:82,C22,83:83)+100</f>
        <v>100</v>
      </c>
      <c r="I21" s="459"/>
      <c r="J21" s="450">
        <f>SUMIF(82:82,I22,83:83)-SUMIF(82:82,C22,83:83)+100</f>
        <v>100</v>
      </c>
      <c r="K21" s="445">
        <v>3</v>
      </c>
      <c r="L21" s="1136"/>
      <c r="M21" s="1127"/>
      <c r="N21" s="1127"/>
      <c r="O21" s="1127"/>
      <c r="P21" s="3331"/>
      <c r="Q21" s="1805" t="str">
        <f>B21</f>
        <v>基础设施水平</v>
      </c>
      <c r="R21" s="772" t="s">
        <v>17</v>
      </c>
      <c r="S21" s="773">
        <f>F21</f>
        <v>100</v>
      </c>
      <c r="T21" s="772" t="s">
        <v>17</v>
      </c>
      <c r="U21" s="773">
        <f>H21</f>
        <v>100</v>
      </c>
      <c r="V21" s="772" t="s">
        <v>17</v>
      </c>
      <c r="W21" s="773">
        <f>J21</f>
        <v>100</v>
      </c>
      <c r="X21" s="1808"/>
      <c r="Y21" s="3307"/>
      <c r="Z21" s="1809" t="str">
        <f>Q21</f>
        <v>基础设施水平</v>
      </c>
      <c r="AA21" s="1806">
        <f t="shared" ref="AA21" si="8">D21/F21</f>
        <v>1</v>
      </c>
      <c r="AB21" s="1806">
        <f t="shared" ref="AB21" si="9">D21/H21</f>
        <v>1</v>
      </c>
      <c r="AC21" s="1806">
        <f t="shared" ref="AC21" si="10">D21/J21</f>
        <v>1</v>
      </c>
    </row>
    <row r="22" spans="1:29" ht="15">
      <c r="A22" s="428"/>
      <c r="B22" s="1380"/>
      <c r="C22" s="2601" t="s">
        <v>3824</v>
      </c>
      <c r="D22" s="448"/>
      <c r="E22" s="447" t="s">
        <v>3824</v>
      </c>
      <c r="F22" s="448"/>
      <c r="G22" s="447" t="s">
        <v>3824</v>
      </c>
      <c r="H22" s="448"/>
      <c r="I22" s="447" t="s">
        <v>3824</v>
      </c>
      <c r="J22" s="448"/>
      <c r="K22" s="2605"/>
      <c r="L22" s="1136"/>
      <c r="M22" s="1127"/>
      <c r="N22" s="1127"/>
      <c r="O22" s="1127"/>
      <c r="P22" s="3331"/>
      <c r="Q22" s="1805"/>
      <c r="R22" s="772"/>
      <c r="S22" s="773"/>
      <c r="T22" s="772"/>
      <c r="U22" s="773"/>
      <c r="V22" s="772"/>
      <c r="W22" s="773"/>
      <c r="X22" s="1808"/>
      <c r="Y22" s="3307"/>
      <c r="Z22" s="1809"/>
      <c r="AA22" s="1806">
        <v>1</v>
      </c>
      <c r="AB22" s="1806">
        <v>1</v>
      </c>
      <c r="AC22" s="1806">
        <v>1</v>
      </c>
    </row>
    <row r="23" spans="1:29" ht="57">
      <c r="A23" s="428"/>
      <c r="B23" s="451" t="s">
        <v>2097</v>
      </c>
      <c r="C23" s="2600" t="str">
        <f>估价对象房地状况!C9</f>
        <v>区域自然环境：；人文环境；综合评价环境状况一般</v>
      </c>
      <c r="D23" s="450">
        <v>100</v>
      </c>
      <c r="E23" s="454"/>
      <c r="F23" s="450">
        <f>SUMIF(84:84,E24,85:85)-SUMIF(84:84,C24,85:85)+100</f>
        <v>100</v>
      </c>
      <c r="G23" s="454"/>
      <c r="H23" s="450">
        <f>SUMIF(84:84,G24,85:85)-SUMIF(84:84,C24,85:85)+100</f>
        <v>95</v>
      </c>
      <c r="I23" s="454"/>
      <c r="J23" s="450">
        <f>SUMIF(84:84,I24,85:85)-SUMIF(84:84,C24,85:85)+100</f>
        <v>95</v>
      </c>
      <c r="K23" s="445">
        <v>5</v>
      </c>
      <c r="L23" s="1136"/>
      <c r="M23" s="1127"/>
      <c r="N23" s="1127"/>
      <c r="O23" s="1127"/>
      <c r="P23" s="3331"/>
      <c r="Q23" s="1805" t="str">
        <f>B23</f>
        <v>自然及人文环境</v>
      </c>
      <c r="R23" s="772" t="s">
        <v>21</v>
      </c>
      <c r="S23" s="773">
        <f>F23</f>
        <v>100</v>
      </c>
      <c r="T23" s="772" t="s">
        <v>21</v>
      </c>
      <c r="U23" s="773">
        <f>H23</f>
        <v>95</v>
      </c>
      <c r="V23" s="772" t="s">
        <v>21</v>
      </c>
      <c r="W23" s="773">
        <f>J23</f>
        <v>95</v>
      </c>
      <c r="X23" s="1808"/>
      <c r="Y23" s="3307"/>
      <c r="Z23" s="1809" t="str">
        <f>Q23</f>
        <v>自然及人文环境</v>
      </c>
      <c r="AA23" s="1806">
        <f>D23/F23</f>
        <v>1</v>
      </c>
      <c r="AB23" s="1806">
        <f>D23/H23</f>
        <v>1.0526315789473684</v>
      </c>
      <c r="AC23" s="1806">
        <f>D23/J23</f>
        <v>1.0526315789473684</v>
      </c>
    </row>
    <row r="24" spans="1:29" ht="15">
      <c r="A24" s="428"/>
      <c r="B24" s="456"/>
      <c r="C24" s="447" t="s">
        <v>3610</v>
      </c>
      <c r="D24" s="448"/>
      <c r="E24" s="2597" t="s">
        <v>3610</v>
      </c>
      <c r="F24" s="448"/>
      <c r="G24" s="2597" t="s">
        <v>3611</v>
      </c>
      <c r="H24" s="448"/>
      <c r="I24" s="2597" t="s">
        <v>3611</v>
      </c>
      <c r="J24" s="448"/>
      <c r="K24" s="2599"/>
      <c r="L24" s="1136"/>
      <c r="M24" s="1127"/>
      <c r="N24" s="1127"/>
      <c r="O24" s="1127"/>
      <c r="P24" s="3331"/>
      <c r="Q24" s="1805"/>
      <c r="R24" s="772"/>
      <c r="S24" s="773"/>
      <c r="T24" s="772"/>
      <c r="U24" s="773"/>
      <c r="V24" s="772"/>
      <c r="W24" s="773"/>
      <c r="X24" s="1808"/>
      <c r="Y24" s="3307"/>
      <c r="Z24" s="1809"/>
      <c r="AA24" s="1806">
        <v>1</v>
      </c>
      <c r="AB24" s="1806">
        <v>1</v>
      </c>
      <c r="AC24" s="1806">
        <v>1</v>
      </c>
    </row>
    <row r="25" spans="1:29" ht="15">
      <c r="A25" s="428"/>
      <c r="B25" s="422" t="s">
        <v>2553</v>
      </c>
      <c r="C25" s="460"/>
      <c r="D25" s="435">
        <v>100</v>
      </c>
      <c r="E25" s="2606"/>
      <c r="F25" s="435">
        <f>SUMIF(86:86,E25,87:87)-SUMIF(86:86,C25,87:87)+100</f>
        <v>100</v>
      </c>
      <c r="G25" s="2607"/>
      <c r="H25" s="435">
        <f>SUMIF(86:86,G25,87:87)-SUMIF(86:86,C25,87:87)+100</f>
        <v>100</v>
      </c>
      <c r="I25" s="2607"/>
      <c r="J25" s="435">
        <f>SUMIF(86:86,I25,87:87)-SUMIF(86:86,C25,87:87)+100</f>
        <v>100</v>
      </c>
      <c r="K25" s="426"/>
      <c r="L25" s="1136"/>
      <c r="M25" s="1127"/>
      <c r="N25" s="1127"/>
      <c r="O25" s="1127"/>
      <c r="P25" s="3331"/>
      <c r="Q25" s="1805" t="str">
        <f t="shared" ref="Q25:Q46" si="11">B25</f>
        <v>楼层-1</v>
      </c>
      <c r="R25" s="772" t="s">
        <v>21</v>
      </c>
      <c r="S25" s="773">
        <f t="shared" ref="S25:S46" si="12">F25</f>
        <v>100</v>
      </c>
      <c r="T25" s="772" t="s">
        <v>21</v>
      </c>
      <c r="U25" s="773">
        <f t="shared" ref="U25:U46" si="13">H25</f>
        <v>100</v>
      </c>
      <c r="V25" s="772" t="s">
        <v>21</v>
      </c>
      <c r="W25" s="773">
        <f t="shared" ref="W25:W46" si="14">J25</f>
        <v>100</v>
      </c>
      <c r="X25" s="1808"/>
      <c r="Y25" s="3307"/>
      <c r="Z25" s="1809" t="str">
        <f>Q25</f>
        <v>楼层-1</v>
      </c>
      <c r="AA25" s="1806">
        <f t="shared" ref="AA25:AA46" si="15">D25/F25</f>
        <v>1</v>
      </c>
      <c r="AB25" s="1806">
        <f t="shared" ref="AB25:AB46" si="16">D25/H25</f>
        <v>1</v>
      </c>
      <c r="AC25" s="1806">
        <f t="shared" ref="AC25:AC46" si="17">D25/J25</f>
        <v>1</v>
      </c>
    </row>
    <row r="26" spans="1:29" ht="15">
      <c r="A26" s="428"/>
      <c r="B26" s="422" t="s">
        <v>2554</v>
      </c>
      <c r="C26" s="460"/>
      <c r="D26" s="435">
        <v>100</v>
      </c>
      <c r="E26" s="2606"/>
      <c r="F26" s="435">
        <f>SUMIF(88:88,E26,89:89)-SUMIF(88:88,C26,89:89)+100</f>
        <v>100</v>
      </c>
      <c r="G26" s="2607"/>
      <c r="H26" s="435">
        <f>SUMIF(88:88,G26,89:89)-SUMIF(88:88,C26,89:89)+100</f>
        <v>100</v>
      </c>
      <c r="I26" s="2607"/>
      <c r="J26" s="435">
        <f>SUMIF(88:88,I26,89:89)-SUMIF(88:88,C26,89:89)+100</f>
        <v>100</v>
      </c>
      <c r="K26" s="426"/>
      <c r="L26" s="1136"/>
      <c r="M26" s="1127"/>
      <c r="N26" s="1127"/>
      <c r="O26" s="1127"/>
      <c r="P26" s="3331"/>
      <c r="Q26" s="1805" t="str">
        <f t="shared" si="11"/>
        <v>朝向</v>
      </c>
      <c r="R26" s="772" t="s">
        <v>21</v>
      </c>
      <c r="S26" s="773">
        <f t="shared" si="12"/>
        <v>100</v>
      </c>
      <c r="T26" s="772" t="s">
        <v>21</v>
      </c>
      <c r="U26" s="773">
        <f t="shared" si="13"/>
        <v>100</v>
      </c>
      <c r="V26" s="772" t="s">
        <v>21</v>
      </c>
      <c r="W26" s="773">
        <f t="shared" si="14"/>
        <v>100</v>
      </c>
      <c r="X26" s="1808"/>
      <c r="Y26" s="3307"/>
      <c r="Z26" s="1809" t="str">
        <f>Q26</f>
        <v>朝向</v>
      </c>
      <c r="AA26" s="1806">
        <f t="shared" si="15"/>
        <v>1</v>
      </c>
      <c r="AB26" s="1806">
        <f t="shared" si="16"/>
        <v>1</v>
      </c>
      <c r="AC26" s="1806">
        <f t="shared" si="17"/>
        <v>1</v>
      </c>
    </row>
    <row r="27" spans="1:29" s="117" customFormat="1" ht="15">
      <c r="A27" s="431"/>
      <c r="B27" s="1382"/>
      <c r="C27" s="432"/>
      <c r="D27" s="462">
        <v>100</v>
      </c>
      <c r="E27" s="465"/>
      <c r="F27" s="462">
        <f>SUMIF(90:90,E27,91:91)-SUMIF(90:90,C27,91:91)+100</f>
        <v>100</v>
      </c>
      <c r="G27" s="463"/>
      <c r="H27" s="462">
        <f>SUMIF(90:90,G27,91:91)-SUMIF(90:90,C27,91:91)+100</f>
        <v>100</v>
      </c>
      <c r="I27" s="463"/>
      <c r="J27" s="462">
        <f>SUMIF(90:90,I27,91:91)-SUMIF(90:90,C27,91:91)+100</f>
        <v>100</v>
      </c>
      <c r="K27" s="2594"/>
      <c r="L27" s="1128"/>
      <c r="M27" s="1129"/>
      <c r="N27" s="1129"/>
      <c r="O27" s="1129"/>
      <c r="P27" s="3331"/>
      <c r="Q27" s="1790">
        <f t="shared" si="11"/>
        <v>0</v>
      </c>
      <c r="R27" s="768" t="s">
        <v>21</v>
      </c>
      <c r="S27" s="769">
        <f t="shared" si="12"/>
        <v>100</v>
      </c>
      <c r="T27" s="768" t="s">
        <v>21</v>
      </c>
      <c r="U27" s="769">
        <f t="shared" si="13"/>
        <v>100</v>
      </c>
      <c r="V27" s="768" t="s">
        <v>21</v>
      </c>
      <c r="W27" s="769">
        <f t="shared" si="14"/>
        <v>100</v>
      </c>
      <c r="X27" s="770"/>
      <c r="Y27" s="3307"/>
      <c r="Z27" s="55">
        <f>Q27</f>
        <v>0</v>
      </c>
      <c r="AA27" s="1806">
        <f t="shared" si="15"/>
        <v>1</v>
      </c>
      <c r="AB27" s="1806">
        <f t="shared" si="16"/>
        <v>1</v>
      </c>
      <c r="AC27" s="1806">
        <f t="shared" si="17"/>
        <v>1</v>
      </c>
    </row>
    <row r="28" spans="1:29" ht="15">
      <c r="A28" s="428"/>
      <c r="B28" s="1382"/>
      <c r="C28" s="434"/>
      <c r="D28" s="435">
        <v>100</v>
      </c>
      <c r="E28" s="434"/>
      <c r="F28" s="435">
        <f>SUMIF(92:92,E28,93:93)-SUMIF(92:92,C28,93:93)+100</f>
        <v>100</v>
      </c>
      <c r="G28" s="2608"/>
      <c r="H28" s="435">
        <f>SUMIF(92:92,G28,93:93)-SUMIF(92:92,C28,93:93)+100</f>
        <v>100</v>
      </c>
      <c r="I28" s="434"/>
      <c r="J28" s="435">
        <f>SUMIF(92:92,I28,93:93)-SUMIF(92:92,C28,93:93)+100</f>
        <v>100</v>
      </c>
      <c r="K28" s="2594"/>
      <c r="L28" s="1136"/>
      <c r="M28" s="1127"/>
      <c r="N28" s="1127"/>
      <c r="O28" s="1127"/>
      <c r="P28" s="3331"/>
      <c r="Q28" s="1805">
        <f t="shared" si="11"/>
        <v>0</v>
      </c>
      <c r="R28" s="772" t="s">
        <v>21</v>
      </c>
      <c r="S28" s="773">
        <f t="shared" si="12"/>
        <v>100</v>
      </c>
      <c r="T28" s="772" t="s">
        <v>21</v>
      </c>
      <c r="U28" s="773">
        <f t="shared" si="13"/>
        <v>100</v>
      </c>
      <c r="V28" s="772" t="s">
        <v>21</v>
      </c>
      <c r="W28" s="773">
        <f t="shared" si="14"/>
        <v>100</v>
      </c>
      <c r="X28" s="1808"/>
      <c r="Y28" s="3307"/>
      <c r="Z28" s="1809">
        <f t="shared" ref="Z28:Z46" si="18">Q28</f>
        <v>0</v>
      </c>
      <c r="AA28" s="1806">
        <f t="shared" si="15"/>
        <v>1</v>
      </c>
      <c r="AB28" s="1806">
        <f t="shared" si="16"/>
        <v>1</v>
      </c>
      <c r="AC28" s="1806">
        <f t="shared" si="17"/>
        <v>1</v>
      </c>
    </row>
    <row r="29" spans="1:29" ht="15">
      <c r="A29" s="428"/>
      <c r="B29" s="1382"/>
      <c r="C29" s="434"/>
      <c r="D29" s="435">
        <v>100</v>
      </c>
      <c r="E29" s="434"/>
      <c r="F29" s="435">
        <f>SUMIF(94:94,E29,95:95)-SUMIF(94:94,C29,95:95)+100</f>
        <v>100</v>
      </c>
      <c r="G29" s="2608"/>
      <c r="H29" s="435">
        <f>SUMIF(94:94,G29,95:95)-SUMIF(94:94,C29,95:95)+100</f>
        <v>100</v>
      </c>
      <c r="I29" s="434"/>
      <c r="J29" s="435">
        <f>SUMIF(94:94,I29,95:95)-SUMIF(94:94,C29,95:95)+100</f>
        <v>100</v>
      </c>
      <c r="K29" s="2594"/>
      <c r="L29" s="1136"/>
      <c r="M29" s="1127"/>
      <c r="N29" s="1127"/>
      <c r="O29" s="1127"/>
      <c r="P29" s="3331"/>
      <c r="Q29" s="1805">
        <f t="shared" si="11"/>
        <v>0</v>
      </c>
      <c r="R29" s="772" t="s">
        <v>21</v>
      </c>
      <c r="S29" s="773">
        <f t="shared" si="12"/>
        <v>100</v>
      </c>
      <c r="T29" s="772" t="s">
        <v>21</v>
      </c>
      <c r="U29" s="773">
        <f t="shared" si="13"/>
        <v>100</v>
      </c>
      <c r="V29" s="772" t="s">
        <v>21</v>
      </c>
      <c r="W29" s="773">
        <f t="shared" si="14"/>
        <v>100</v>
      </c>
      <c r="X29" s="1808"/>
      <c r="Y29" s="3307"/>
      <c r="Z29" s="1809">
        <f t="shared" si="18"/>
        <v>0</v>
      </c>
      <c r="AA29" s="1806">
        <f t="shared" si="15"/>
        <v>1</v>
      </c>
      <c r="AB29" s="1806">
        <f t="shared" si="16"/>
        <v>1</v>
      </c>
      <c r="AC29" s="1806">
        <f t="shared" si="17"/>
        <v>1</v>
      </c>
    </row>
    <row r="30" spans="1:29" ht="15">
      <c r="A30" s="428"/>
      <c r="B30" s="1382"/>
      <c r="C30" s="434"/>
      <c r="D30" s="435">
        <v>100</v>
      </c>
      <c r="E30" s="434"/>
      <c r="F30" s="435">
        <f>SUMIF(96:96,E30,97:97)-SUMIF(96:96,C30,97:97)+100</f>
        <v>100</v>
      </c>
      <c r="G30" s="2608"/>
      <c r="H30" s="435">
        <f>SUMIF(96:96,G30,97:97)-SUMIF(96:96,C30,97:97)+100</f>
        <v>100</v>
      </c>
      <c r="I30" s="434"/>
      <c r="J30" s="435">
        <f>SUMIF(96:96,I30,97:97)-SUMIF(96:96,C30,97:97)+100</f>
        <v>100</v>
      </c>
      <c r="K30" s="2594"/>
      <c r="L30" s="1136"/>
      <c r="M30" s="1127"/>
      <c r="N30" s="1127"/>
      <c r="O30" s="1127"/>
      <c r="P30" s="3331"/>
      <c r="Q30" s="1805">
        <f t="shared" si="11"/>
        <v>0</v>
      </c>
      <c r="R30" s="772" t="s">
        <v>21</v>
      </c>
      <c r="S30" s="773">
        <f t="shared" si="12"/>
        <v>100</v>
      </c>
      <c r="T30" s="772" t="s">
        <v>21</v>
      </c>
      <c r="U30" s="773">
        <f t="shared" si="13"/>
        <v>100</v>
      </c>
      <c r="V30" s="772" t="s">
        <v>21</v>
      </c>
      <c r="W30" s="773">
        <f t="shared" si="14"/>
        <v>100</v>
      </c>
      <c r="X30" s="1808"/>
      <c r="Y30" s="3307"/>
      <c r="Z30" s="1809">
        <f t="shared" si="18"/>
        <v>0</v>
      </c>
      <c r="AA30" s="1806">
        <f t="shared" si="15"/>
        <v>1</v>
      </c>
      <c r="AB30" s="1806">
        <f t="shared" si="16"/>
        <v>1</v>
      </c>
      <c r="AC30" s="1806">
        <f t="shared" si="17"/>
        <v>1</v>
      </c>
    </row>
    <row r="31" spans="1:29" ht="15.75" thickBot="1">
      <c r="A31" s="436"/>
      <c r="B31" s="1382"/>
      <c r="C31" s="437"/>
      <c r="D31" s="438">
        <v>100</v>
      </c>
      <c r="E31" s="437"/>
      <c r="F31" s="438">
        <f>SUMIF(98:98,E31,99:99)-SUMIF(98:98,C31,99:99)+100</f>
        <v>100</v>
      </c>
      <c r="G31" s="2609"/>
      <c r="H31" s="438">
        <f>SUMIF(98:98,G31,99:99)-SUMIF(98:98,C31,99:99)+100</f>
        <v>100</v>
      </c>
      <c r="I31" s="437"/>
      <c r="J31" s="438">
        <f>SUMIF(98:98,I31,99:99)-SUMIF(98:98,C31,99:99)+100</f>
        <v>100</v>
      </c>
      <c r="K31" s="2594"/>
      <c r="L31" s="1136"/>
      <c r="M31" s="1127"/>
      <c r="N31" s="1127"/>
      <c r="O31" s="1127"/>
      <c r="P31" s="3331"/>
      <c r="Q31" s="1805">
        <f t="shared" si="11"/>
        <v>0</v>
      </c>
      <c r="R31" s="772" t="s">
        <v>21</v>
      </c>
      <c r="S31" s="773">
        <f t="shared" si="12"/>
        <v>100</v>
      </c>
      <c r="T31" s="772" t="s">
        <v>21</v>
      </c>
      <c r="U31" s="773">
        <f t="shared" si="13"/>
        <v>100</v>
      </c>
      <c r="V31" s="772" t="s">
        <v>21</v>
      </c>
      <c r="W31" s="773">
        <f t="shared" si="14"/>
        <v>100</v>
      </c>
      <c r="X31" s="1808"/>
      <c r="Y31" s="3307"/>
      <c r="Z31" s="1809">
        <f t="shared" si="18"/>
        <v>0</v>
      </c>
      <c r="AA31" s="1806">
        <f t="shared" si="15"/>
        <v>1</v>
      </c>
      <c r="AB31" s="1806">
        <f t="shared" si="16"/>
        <v>1</v>
      </c>
      <c r="AC31" s="1806">
        <f t="shared" si="17"/>
        <v>1</v>
      </c>
    </row>
    <row r="32" spans="1:29" ht="15">
      <c r="A32" s="440" t="s">
        <v>2555</v>
      </c>
      <c r="B32" s="71" t="s">
        <v>2556</v>
      </c>
      <c r="C32" s="2610" t="s">
        <v>3149</v>
      </c>
      <c r="D32" s="467">
        <v>100</v>
      </c>
      <c r="E32" s="2610" t="s">
        <v>3149</v>
      </c>
      <c r="F32" s="461">
        <f>SUMIF(100:100,E32,101:101)-SUMIF(100:100,C32,101:101)+100</f>
        <v>100</v>
      </c>
      <c r="G32" s="2610" t="s">
        <v>3149</v>
      </c>
      <c r="H32" s="467">
        <f>SUMIF(100:100,G32,101:101)-SUMIF(100:100,C32,101:101)+100</f>
        <v>100</v>
      </c>
      <c r="I32" s="2610" t="s">
        <v>3149</v>
      </c>
      <c r="J32" s="435">
        <f>SUMIF(100:100,I32,101:101)-SUMIF(100:100,C32,101:101)+100</f>
        <v>100</v>
      </c>
      <c r="K32" s="426">
        <v>5</v>
      </c>
      <c r="L32" s="1136"/>
      <c r="M32" s="1127"/>
      <c r="N32" s="1127"/>
      <c r="O32" s="1127"/>
      <c r="P32" s="3326" t="s">
        <v>2557</v>
      </c>
      <c r="Q32" s="1805" t="str">
        <f t="shared" si="11"/>
        <v>建筑类型</v>
      </c>
      <c r="R32" s="772" t="s">
        <v>21</v>
      </c>
      <c r="S32" s="773">
        <f t="shared" si="12"/>
        <v>100</v>
      </c>
      <c r="T32" s="772" t="s">
        <v>21</v>
      </c>
      <c r="U32" s="773">
        <f t="shared" si="13"/>
        <v>100</v>
      </c>
      <c r="V32" s="772" t="s">
        <v>21</v>
      </c>
      <c r="W32" s="773">
        <f t="shared" si="14"/>
        <v>100</v>
      </c>
      <c r="X32" s="1808"/>
      <c r="Y32" s="3309" t="s">
        <v>2557</v>
      </c>
      <c r="Z32" s="1809" t="str">
        <f t="shared" si="18"/>
        <v>建筑类型</v>
      </c>
      <c r="AA32" s="1806">
        <f t="shared" si="15"/>
        <v>1</v>
      </c>
      <c r="AB32" s="1806">
        <f t="shared" si="16"/>
        <v>1</v>
      </c>
      <c r="AC32" s="1806">
        <f t="shared" si="17"/>
        <v>1</v>
      </c>
    </row>
    <row r="33" spans="1:29" s="471" customFormat="1" ht="15">
      <c r="A33" s="468"/>
      <c r="B33" s="422" t="s">
        <v>2558</v>
      </c>
      <c r="C33" s="469"/>
      <c r="D33" s="136">
        <v>100</v>
      </c>
      <c r="E33" s="469"/>
      <c r="F33" s="425">
        <f>LOOKUP(E33,103:103,104:104)-LOOKUP(C33,103:103,104:104)+100</f>
        <v>100</v>
      </c>
      <c r="G33" s="469"/>
      <c r="H33" s="136">
        <f>LOOKUP(G33,103:103,104:104)-LOOKUP(C33,103:103,104:104)+100</f>
        <v>100</v>
      </c>
      <c r="I33" s="469"/>
      <c r="J33" s="136">
        <f>LOOKUP(I33,103:103,104:104)-LOOKUP(C33,103:103,104:104)+100</f>
        <v>100</v>
      </c>
      <c r="K33" s="2594"/>
      <c r="L33" s="1134"/>
      <c r="M33" s="1137"/>
      <c r="N33" s="1137"/>
      <c r="O33" s="1137"/>
      <c r="P33" s="3327"/>
      <c r="Q33" s="774" t="str">
        <f t="shared" si="11"/>
        <v>项目建筑规模</v>
      </c>
      <c r="R33" s="775" t="s">
        <v>21</v>
      </c>
      <c r="S33" s="776">
        <f t="shared" si="12"/>
        <v>100</v>
      </c>
      <c r="T33" s="775" t="s">
        <v>21</v>
      </c>
      <c r="U33" s="776">
        <f t="shared" si="13"/>
        <v>100</v>
      </c>
      <c r="V33" s="775" t="s">
        <v>21</v>
      </c>
      <c r="W33" s="776">
        <f t="shared" si="14"/>
        <v>100</v>
      </c>
      <c r="X33" s="777"/>
      <c r="Y33" s="3309"/>
      <c r="Z33" s="778" t="str">
        <f t="shared" si="18"/>
        <v>项目建筑规模</v>
      </c>
      <c r="AA33" s="1806">
        <f t="shared" si="15"/>
        <v>1</v>
      </c>
      <c r="AB33" s="1806">
        <f t="shared" si="16"/>
        <v>1</v>
      </c>
      <c r="AC33" s="1806">
        <f t="shared" si="17"/>
        <v>1</v>
      </c>
    </row>
    <row r="34" spans="1:29" ht="15">
      <c r="A34" s="472"/>
      <c r="B34" s="422" t="s">
        <v>2559</v>
      </c>
      <c r="C34" s="2611" t="s">
        <v>3075</v>
      </c>
      <c r="D34" s="435">
        <v>100</v>
      </c>
      <c r="E34" s="2611" t="s">
        <v>3075</v>
      </c>
      <c r="F34" s="461">
        <f>SUMIF(105:105,E34,106:106)-SUMIF(105:105,C34,106:106)+100</f>
        <v>100</v>
      </c>
      <c r="G34" s="2611" t="s">
        <v>3075</v>
      </c>
      <c r="H34" s="435">
        <f>SUMIF(105:105,G34,106:106)-SUMIF(105:105,C34,106:106)+100</f>
        <v>100</v>
      </c>
      <c r="I34" s="2611" t="s">
        <v>3075</v>
      </c>
      <c r="J34" s="435">
        <f>SUMIF(105:105,I34,106:106)-SUMIF(105:105,C34,106:106)+100</f>
        <v>100</v>
      </c>
      <c r="K34" s="426">
        <v>2</v>
      </c>
      <c r="L34" s="1136"/>
      <c r="M34" s="1127"/>
      <c r="N34" s="1127"/>
      <c r="O34" s="1127"/>
      <c r="P34" s="3327"/>
      <c r="Q34" s="1805" t="str">
        <f t="shared" si="11"/>
        <v>建筑结构</v>
      </c>
      <c r="R34" s="772" t="s">
        <v>21</v>
      </c>
      <c r="S34" s="773">
        <f t="shared" si="12"/>
        <v>100</v>
      </c>
      <c r="T34" s="772" t="s">
        <v>21</v>
      </c>
      <c r="U34" s="773">
        <f t="shared" si="13"/>
        <v>100</v>
      </c>
      <c r="V34" s="772" t="s">
        <v>21</v>
      </c>
      <c r="W34" s="773">
        <f t="shared" si="14"/>
        <v>100</v>
      </c>
      <c r="X34" s="1808"/>
      <c r="Y34" s="3309"/>
      <c r="Z34" s="1809" t="str">
        <f t="shared" si="18"/>
        <v>建筑结构</v>
      </c>
      <c r="AA34" s="1806">
        <f t="shared" si="15"/>
        <v>1</v>
      </c>
      <c r="AB34" s="1806">
        <f t="shared" si="16"/>
        <v>1</v>
      </c>
      <c r="AC34" s="1806">
        <f t="shared" si="17"/>
        <v>1</v>
      </c>
    </row>
    <row r="35" spans="1:29" ht="15">
      <c r="A35" s="472"/>
      <c r="B35" s="422" t="s">
        <v>2560</v>
      </c>
      <c r="C35" s="2606" t="s">
        <v>3827</v>
      </c>
      <c r="D35" s="435">
        <v>100</v>
      </c>
      <c r="E35" s="2606" t="s">
        <v>3827</v>
      </c>
      <c r="F35" s="461">
        <f>SUMIF(107:107,E35,108:108)-SUMIF(107:107,C35,108:108)+100</f>
        <v>100</v>
      </c>
      <c r="G35" s="2606" t="s">
        <v>3827</v>
      </c>
      <c r="H35" s="435">
        <f>SUMIF(107:107,G35,108:108)-SUMIF(107:107,C35,108:108)+100</f>
        <v>100</v>
      </c>
      <c r="I35" s="2606" t="s">
        <v>3827</v>
      </c>
      <c r="J35" s="435">
        <f>SUMIF(107:107,I35,108:108)-SUMIF(107:107,C35,108:108)+100</f>
        <v>100</v>
      </c>
      <c r="K35" s="426">
        <v>3</v>
      </c>
      <c r="L35" s="1136"/>
      <c r="M35" s="1127"/>
      <c r="N35" s="1127"/>
      <c r="O35" s="1127"/>
      <c r="P35" s="3327"/>
      <c r="Q35" s="1805" t="str">
        <f t="shared" si="11"/>
        <v>建筑品质</v>
      </c>
      <c r="R35" s="772" t="s">
        <v>21</v>
      </c>
      <c r="S35" s="773">
        <f t="shared" si="12"/>
        <v>100</v>
      </c>
      <c r="T35" s="772" t="s">
        <v>21</v>
      </c>
      <c r="U35" s="773">
        <f t="shared" si="13"/>
        <v>100</v>
      </c>
      <c r="V35" s="772" t="s">
        <v>21</v>
      </c>
      <c r="W35" s="773">
        <f t="shared" si="14"/>
        <v>100</v>
      </c>
      <c r="X35" s="1808"/>
      <c r="Y35" s="3309"/>
      <c r="Z35" s="1809" t="str">
        <f t="shared" si="18"/>
        <v>建筑品质</v>
      </c>
      <c r="AA35" s="1806">
        <f t="shared" si="15"/>
        <v>1</v>
      </c>
      <c r="AB35" s="1806">
        <f t="shared" si="16"/>
        <v>1</v>
      </c>
      <c r="AC35" s="1806">
        <f t="shared" si="17"/>
        <v>1</v>
      </c>
    </row>
    <row r="36" spans="1:29" ht="15">
      <c r="A36" s="472"/>
      <c r="B36" s="422" t="s">
        <v>2561</v>
      </c>
      <c r="C36" s="2606" t="s">
        <v>3829</v>
      </c>
      <c r="D36" s="435">
        <v>100</v>
      </c>
      <c r="E36" s="2606" t="s">
        <v>3829</v>
      </c>
      <c r="F36" s="461">
        <f>SUMIF(109:109,E36,110:110)-SUMIF(109:109,C36,110:110)+100</f>
        <v>100</v>
      </c>
      <c r="G36" s="2606" t="s">
        <v>3829</v>
      </c>
      <c r="H36" s="435">
        <f>SUMIF(109:109,G36,110:110)-SUMIF(109:109,C36,110:110)+100</f>
        <v>100</v>
      </c>
      <c r="I36" s="2606" t="s">
        <v>3829</v>
      </c>
      <c r="J36" s="435">
        <f>SUMIF(109:109,I36,110:110)-SUMIF(109:109,C36,110:110)+100</f>
        <v>100</v>
      </c>
      <c r="K36" s="426">
        <v>2</v>
      </c>
      <c r="L36" s="1136"/>
      <c r="M36" s="1127"/>
      <c r="N36" s="1127"/>
      <c r="O36" s="1127"/>
      <c r="P36" s="3327"/>
      <c r="Q36" s="1805" t="str">
        <f t="shared" si="11"/>
        <v>公共部分装修</v>
      </c>
      <c r="R36" s="772" t="s">
        <v>21</v>
      </c>
      <c r="S36" s="773">
        <f t="shared" si="12"/>
        <v>100</v>
      </c>
      <c r="T36" s="772" t="s">
        <v>21</v>
      </c>
      <c r="U36" s="773">
        <f t="shared" si="13"/>
        <v>100</v>
      </c>
      <c r="V36" s="772" t="s">
        <v>21</v>
      </c>
      <c r="W36" s="773">
        <f t="shared" si="14"/>
        <v>100</v>
      </c>
      <c r="X36" s="1808"/>
      <c r="Y36" s="3309"/>
      <c r="Z36" s="1809" t="str">
        <f t="shared" si="18"/>
        <v>公共部分装修</v>
      </c>
      <c r="AA36" s="1806">
        <f t="shared" si="15"/>
        <v>1</v>
      </c>
      <c r="AB36" s="1806">
        <f t="shared" si="16"/>
        <v>1</v>
      </c>
      <c r="AC36" s="1806">
        <f t="shared" si="17"/>
        <v>1</v>
      </c>
    </row>
    <row r="37" spans="1:29" s="117" customFormat="1" ht="15">
      <c r="A37" s="473"/>
      <c r="B37" s="422" t="s">
        <v>2562</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2</v>
      </c>
      <c r="L37" s="1128"/>
      <c r="M37" s="1129"/>
      <c r="N37" s="1129"/>
      <c r="O37" s="1129"/>
      <c r="P37" s="3327"/>
      <c r="Q37" s="1790" t="str">
        <f t="shared" si="11"/>
        <v>成新度</v>
      </c>
      <c r="R37" s="768" t="s">
        <v>21</v>
      </c>
      <c r="S37" s="769">
        <f t="shared" si="12"/>
        <v>100</v>
      </c>
      <c r="T37" s="768" t="s">
        <v>21</v>
      </c>
      <c r="U37" s="769">
        <f t="shared" si="13"/>
        <v>100</v>
      </c>
      <c r="V37" s="768" t="s">
        <v>21</v>
      </c>
      <c r="W37" s="769">
        <f t="shared" si="14"/>
        <v>100</v>
      </c>
      <c r="X37" s="770"/>
      <c r="Y37" s="3309"/>
      <c r="Z37" s="55" t="str">
        <f t="shared" si="18"/>
        <v>成新度</v>
      </c>
      <c r="AA37" s="771">
        <f t="shared" si="15"/>
        <v>1</v>
      </c>
      <c r="AB37" s="771">
        <f t="shared" si="16"/>
        <v>1</v>
      </c>
      <c r="AC37" s="771">
        <f t="shared" si="17"/>
        <v>1</v>
      </c>
    </row>
    <row r="38" spans="1:29" ht="15">
      <c r="A38" s="472"/>
      <c r="B38" s="422" t="s">
        <v>2563</v>
      </c>
      <c r="C38" s="2606" t="s">
        <v>3831</v>
      </c>
      <c r="D38" s="435">
        <v>100</v>
      </c>
      <c r="E38" s="2606" t="s">
        <v>3831</v>
      </c>
      <c r="F38" s="461">
        <f>SUMIF(114:114,E38,115:115)-SUMIF(114:114,C38,115:115)+100</f>
        <v>100</v>
      </c>
      <c r="G38" s="2606" t="s">
        <v>3831</v>
      </c>
      <c r="H38" s="435">
        <f>SUMIF(114:114,G38,115:115)-SUMIF(114:114,C38,115:115)+100</f>
        <v>100</v>
      </c>
      <c r="I38" s="2606" t="s">
        <v>3831</v>
      </c>
      <c r="J38" s="435">
        <f>SUMIF(114:114,I38,115:115)-SUMIF(114:114,C38,115:115)+100</f>
        <v>100</v>
      </c>
      <c r="K38" s="426">
        <v>2</v>
      </c>
      <c r="L38" s="1136"/>
      <c r="M38" s="1127"/>
      <c r="N38" s="1127"/>
      <c r="O38" s="1127"/>
      <c r="P38" s="3327" t="s">
        <v>2557</v>
      </c>
      <c r="Q38" s="1805" t="str">
        <f t="shared" si="11"/>
        <v>物业管理</v>
      </c>
      <c r="R38" s="772" t="s">
        <v>21</v>
      </c>
      <c r="S38" s="773">
        <f t="shared" si="12"/>
        <v>100</v>
      </c>
      <c r="T38" s="772" t="s">
        <v>21</v>
      </c>
      <c r="U38" s="773">
        <f t="shared" si="13"/>
        <v>100</v>
      </c>
      <c r="V38" s="772" t="s">
        <v>21</v>
      </c>
      <c r="W38" s="773">
        <f t="shared" si="14"/>
        <v>100</v>
      </c>
      <c r="X38" s="1808"/>
      <c r="Y38" s="3309" t="s">
        <v>2557</v>
      </c>
      <c r="Z38" s="1809" t="str">
        <f t="shared" si="18"/>
        <v>物业管理</v>
      </c>
      <c r="AA38" s="1806">
        <f t="shared" si="15"/>
        <v>1</v>
      </c>
      <c r="AB38" s="1806">
        <f t="shared" si="16"/>
        <v>1</v>
      </c>
      <c r="AC38" s="1806">
        <f t="shared" si="17"/>
        <v>1</v>
      </c>
    </row>
    <row r="39" spans="1:29" ht="15">
      <c r="A39" s="472"/>
      <c r="B39" s="422" t="s">
        <v>2564</v>
      </c>
      <c r="C39" s="2606" t="s">
        <v>3824</v>
      </c>
      <c r="D39" s="435">
        <v>100</v>
      </c>
      <c r="E39" s="2606" t="s">
        <v>3824</v>
      </c>
      <c r="F39" s="461">
        <f>SUMIF(116:116,E39,117:117)-SUMIF(116:116,C39,117:117)+100</f>
        <v>100</v>
      </c>
      <c r="G39" s="2606" t="s">
        <v>3824</v>
      </c>
      <c r="H39" s="435">
        <f>SUMIF(116:116,G39,117:117)-SUMIF(116:116,C39,117:117)+100</f>
        <v>100</v>
      </c>
      <c r="I39" s="2606" t="s">
        <v>3824</v>
      </c>
      <c r="J39" s="435">
        <f>SUMIF(116:116,I39,117:117)-SUMIF(116:116,C39,117:117)+100</f>
        <v>100</v>
      </c>
      <c r="K39" s="426">
        <v>2</v>
      </c>
      <c r="L39" s="1136"/>
      <c r="M39" s="1127"/>
      <c r="N39" s="1127"/>
      <c r="O39" s="1127"/>
      <c r="P39" s="3327"/>
      <c r="Q39" s="1805" t="str">
        <f t="shared" si="11"/>
        <v>市政基础设施</v>
      </c>
      <c r="R39" s="772" t="s">
        <v>21</v>
      </c>
      <c r="S39" s="773">
        <f t="shared" si="12"/>
        <v>100</v>
      </c>
      <c r="T39" s="772" t="s">
        <v>21</v>
      </c>
      <c r="U39" s="773">
        <f t="shared" si="13"/>
        <v>100</v>
      </c>
      <c r="V39" s="772" t="s">
        <v>21</v>
      </c>
      <c r="W39" s="773">
        <f t="shared" si="14"/>
        <v>100</v>
      </c>
      <c r="X39" s="1808"/>
      <c r="Y39" s="3309"/>
      <c r="Z39" s="1809" t="str">
        <f t="shared" si="18"/>
        <v>市政基础设施</v>
      </c>
      <c r="AA39" s="1806">
        <f t="shared" si="15"/>
        <v>1</v>
      </c>
      <c r="AB39" s="1806">
        <f t="shared" si="16"/>
        <v>1</v>
      </c>
      <c r="AC39" s="1806">
        <f t="shared" si="17"/>
        <v>1</v>
      </c>
    </row>
    <row r="40" spans="1:29" ht="15">
      <c r="A40" s="472"/>
      <c r="B40" s="422" t="s">
        <v>2565</v>
      </c>
      <c r="C40" s="2606" t="s">
        <v>3834</v>
      </c>
      <c r="D40" s="435">
        <v>100</v>
      </c>
      <c r="E40" s="2606" t="s">
        <v>3834</v>
      </c>
      <c r="F40" s="461">
        <f>SUMIF(118:118,E40,119:119)-SUMIF(118:118,C40,119:119)+100</f>
        <v>100</v>
      </c>
      <c r="G40" s="2606" t="s">
        <v>3834</v>
      </c>
      <c r="H40" s="435">
        <f>SUMIF(118:118,G40,119:119)-SUMIF(118:118,C40,119:119)+100</f>
        <v>100</v>
      </c>
      <c r="I40" s="2606" t="s">
        <v>3834</v>
      </c>
      <c r="J40" s="435">
        <f>SUMIF(118:118,I40,119:119)-SUMIF(118:118,C40,119:119)+100</f>
        <v>100</v>
      </c>
      <c r="K40" s="426">
        <v>2</v>
      </c>
      <c r="L40" s="1136"/>
      <c r="M40" s="1127"/>
      <c r="N40" s="1127"/>
      <c r="O40" s="1127"/>
      <c r="P40" s="3327"/>
      <c r="Q40" s="1805" t="str">
        <f t="shared" si="11"/>
        <v>房型</v>
      </c>
      <c r="R40" s="772" t="s">
        <v>21</v>
      </c>
      <c r="S40" s="773">
        <f t="shared" si="12"/>
        <v>100</v>
      </c>
      <c r="T40" s="772" t="s">
        <v>21</v>
      </c>
      <c r="U40" s="773">
        <f t="shared" si="13"/>
        <v>100</v>
      </c>
      <c r="V40" s="772" t="s">
        <v>21</v>
      </c>
      <c r="W40" s="773">
        <f t="shared" si="14"/>
        <v>100</v>
      </c>
      <c r="X40" s="1808"/>
      <c r="Y40" s="3309"/>
      <c r="Z40" s="1809" t="str">
        <f t="shared" si="18"/>
        <v>房型</v>
      </c>
      <c r="AA40" s="1806">
        <f t="shared" si="15"/>
        <v>1</v>
      </c>
      <c r="AB40" s="1806">
        <f t="shared" si="16"/>
        <v>1</v>
      </c>
      <c r="AC40" s="1806">
        <f t="shared" si="17"/>
        <v>1</v>
      </c>
    </row>
    <row r="41" spans="1:29" s="471" customFormat="1" ht="28.5">
      <c r="A41" s="468"/>
      <c r="B41" s="422" t="s">
        <v>2566</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4"/>
      <c r="L41" s="1134"/>
      <c r="M41" s="1137"/>
      <c r="N41" s="1137"/>
      <c r="O41" s="1137"/>
      <c r="P41" s="3327"/>
      <c r="Q41" s="774" t="str">
        <f t="shared" si="11"/>
        <v>单套/主力户型建筑面积</v>
      </c>
      <c r="R41" s="775" t="s">
        <v>21</v>
      </c>
      <c r="S41" s="776">
        <f t="shared" si="12"/>
        <v>100</v>
      </c>
      <c r="T41" s="775" t="s">
        <v>21</v>
      </c>
      <c r="U41" s="776">
        <f t="shared" si="13"/>
        <v>100</v>
      </c>
      <c r="V41" s="775" t="s">
        <v>21</v>
      </c>
      <c r="W41" s="776">
        <f t="shared" si="14"/>
        <v>100</v>
      </c>
      <c r="X41" s="777"/>
      <c r="Y41" s="3309"/>
      <c r="Z41" s="778" t="str">
        <f t="shared" si="18"/>
        <v>单套/主力户型建筑面积</v>
      </c>
      <c r="AA41" s="1806">
        <f t="shared" si="15"/>
        <v>1</v>
      </c>
      <c r="AB41" s="1806">
        <f t="shared" si="16"/>
        <v>1</v>
      </c>
      <c r="AC41" s="1806">
        <f t="shared" si="17"/>
        <v>1</v>
      </c>
    </row>
    <row r="42" spans="1:29" ht="15">
      <c r="A42" s="472"/>
      <c r="B42" s="422" t="s">
        <v>2567</v>
      </c>
      <c r="C42" s="2606" t="s">
        <v>3836</v>
      </c>
      <c r="D42" s="435">
        <v>100</v>
      </c>
      <c r="E42" s="2606" t="s">
        <v>3836</v>
      </c>
      <c r="F42" s="461">
        <f>SUMIF(122:122,E42,123:123)-SUMIF(122:122,C42,123:123)+100</f>
        <v>100</v>
      </c>
      <c r="G42" s="2606" t="s">
        <v>3839</v>
      </c>
      <c r="H42" s="435">
        <f>SUMIF(122:122,G42,123:123)-SUMIF(122:122,C42,123:123)+100</f>
        <v>90</v>
      </c>
      <c r="I42" s="2606" t="s">
        <v>3836</v>
      </c>
      <c r="J42" s="435">
        <f>SUMIF(122:122,I42,123:123)-SUMIF(122:122,C42,123:123)+100</f>
        <v>100</v>
      </c>
      <c r="K42" s="3034">
        <v>5</v>
      </c>
      <c r="L42" s="1136"/>
      <c r="M42" s="1127"/>
      <c r="N42" s="1127"/>
      <c r="O42" s="1127"/>
      <c r="P42" s="3327"/>
      <c r="Q42" s="1805" t="str">
        <f t="shared" si="11"/>
        <v>内部装修</v>
      </c>
      <c r="R42" s="772" t="s">
        <v>21</v>
      </c>
      <c r="S42" s="773">
        <f t="shared" si="12"/>
        <v>100</v>
      </c>
      <c r="T42" s="772" t="s">
        <v>21</v>
      </c>
      <c r="U42" s="773">
        <f t="shared" si="13"/>
        <v>90</v>
      </c>
      <c r="V42" s="772" t="s">
        <v>21</v>
      </c>
      <c r="W42" s="773">
        <f t="shared" si="14"/>
        <v>100</v>
      </c>
      <c r="X42" s="1808"/>
      <c r="Y42" s="3309"/>
      <c r="Z42" s="1809" t="str">
        <f t="shared" si="18"/>
        <v>内部装修</v>
      </c>
      <c r="AA42" s="1806">
        <f t="shared" si="15"/>
        <v>1</v>
      </c>
      <c r="AB42" s="1806">
        <f t="shared" si="16"/>
        <v>1.1111111111111112</v>
      </c>
      <c r="AC42" s="1806">
        <f t="shared" si="17"/>
        <v>1</v>
      </c>
    </row>
    <row r="43" spans="1:29" ht="15">
      <c r="A43" s="472"/>
      <c r="B43" s="422" t="s">
        <v>2568</v>
      </c>
      <c r="C43" s="2606" t="s">
        <v>3610</v>
      </c>
      <c r="D43" s="435">
        <v>100</v>
      </c>
      <c r="E43" s="2606" t="s">
        <v>3610</v>
      </c>
      <c r="F43" s="461">
        <f>SUMIF(124:124,E43,125:125)-SUMIF(124:124,C43,125:125)+100</f>
        <v>100</v>
      </c>
      <c r="G43" s="2606" t="s">
        <v>3610</v>
      </c>
      <c r="H43" s="435">
        <f>SUMIF(124:124,G43,125:125)-SUMIF(124:124,C43,125:125)+100</f>
        <v>100</v>
      </c>
      <c r="I43" s="2606" t="s">
        <v>3610</v>
      </c>
      <c r="J43" s="435">
        <f>SUMIF(124:124,I43,125:125)-SUMIF(124:124,C43,125:125)+100</f>
        <v>100</v>
      </c>
      <c r="K43" s="426"/>
      <c r="L43" s="1136"/>
      <c r="M43" s="1127"/>
      <c r="N43" s="1127"/>
      <c r="O43" s="1127"/>
      <c r="P43" s="3327"/>
      <c r="Q43" s="1805" t="str">
        <f t="shared" si="11"/>
        <v>内部装修维护情况</v>
      </c>
      <c r="R43" s="772" t="s">
        <v>21</v>
      </c>
      <c r="S43" s="773">
        <f t="shared" si="12"/>
        <v>100</v>
      </c>
      <c r="T43" s="772" t="s">
        <v>21</v>
      </c>
      <c r="U43" s="773">
        <f t="shared" si="13"/>
        <v>100</v>
      </c>
      <c r="V43" s="772" t="s">
        <v>21</v>
      </c>
      <c r="W43" s="773">
        <f t="shared" si="14"/>
        <v>100</v>
      </c>
      <c r="X43" s="1808"/>
      <c r="Y43" s="3309"/>
      <c r="Z43" s="1809" t="str">
        <f t="shared" si="18"/>
        <v>内部装修维护情况</v>
      </c>
      <c r="AA43" s="1806">
        <f t="shared" si="15"/>
        <v>1</v>
      </c>
      <c r="AB43" s="1806">
        <f t="shared" si="16"/>
        <v>1</v>
      </c>
      <c r="AC43" s="1806">
        <f t="shared" si="17"/>
        <v>1</v>
      </c>
    </row>
    <row r="44" spans="1:29" s="117" customFormat="1" ht="15">
      <c r="A44" s="473"/>
      <c r="B44" s="1382"/>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28"/>
      <c r="M44" s="1129"/>
      <c r="N44" s="1129"/>
      <c r="O44" s="1129"/>
      <c r="P44" s="3327"/>
      <c r="Q44" s="1790">
        <f t="shared" si="11"/>
        <v>0</v>
      </c>
      <c r="R44" s="768" t="s">
        <v>21</v>
      </c>
      <c r="S44" s="769">
        <f t="shared" si="12"/>
        <v>100</v>
      </c>
      <c r="T44" s="768" t="s">
        <v>21</v>
      </c>
      <c r="U44" s="769">
        <f t="shared" si="13"/>
        <v>100</v>
      </c>
      <c r="V44" s="768" t="s">
        <v>21</v>
      </c>
      <c r="W44" s="769">
        <f t="shared" si="14"/>
        <v>100</v>
      </c>
      <c r="X44" s="770"/>
      <c r="Y44" s="3309"/>
      <c r="Z44" s="55">
        <f t="shared" si="18"/>
        <v>0</v>
      </c>
      <c r="AA44" s="771">
        <f t="shared" si="15"/>
        <v>1</v>
      </c>
      <c r="AB44" s="771">
        <f t="shared" si="16"/>
        <v>1</v>
      </c>
      <c r="AC44" s="771">
        <f t="shared" si="17"/>
        <v>1</v>
      </c>
    </row>
    <row r="45" spans="1:29" ht="15">
      <c r="A45" s="472"/>
      <c r="B45" s="1382"/>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36"/>
      <c r="M45" s="1127"/>
      <c r="N45" s="1127"/>
      <c r="O45" s="1127"/>
      <c r="P45" s="3327"/>
      <c r="Q45" s="1805">
        <f t="shared" si="11"/>
        <v>0</v>
      </c>
      <c r="R45" s="772" t="s">
        <v>21</v>
      </c>
      <c r="S45" s="773">
        <f t="shared" si="12"/>
        <v>100</v>
      </c>
      <c r="T45" s="772" t="s">
        <v>21</v>
      </c>
      <c r="U45" s="773">
        <f t="shared" si="13"/>
        <v>100</v>
      </c>
      <c r="V45" s="772" t="s">
        <v>21</v>
      </c>
      <c r="W45" s="773">
        <f t="shared" si="14"/>
        <v>100</v>
      </c>
      <c r="X45" s="1808"/>
      <c r="Y45" s="3309"/>
      <c r="Z45" s="1809">
        <f t="shared" si="18"/>
        <v>0</v>
      </c>
      <c r="AA45" s="1806">
        <f t="shared" si="15"/>
        <v>1</v>
      </c>
      <c r="AB45" s="1806">
        <f t="shared" si="16"/>
        <v>1</v>
      </c>
      <c r="AC45" s="1806">
        <f t="shared" si="17"/>
        <v>1</v>
      </c>
    </row>
    <row r="46" spans="1:29" ht="15.75" thickBot="1">
      <c r="A46" s="478"/>
      <c r="B46" s="2595"/>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36"/>
      <c r="M46" s="1127"/>
      <c r="N46" s="1127"/>
      <c r="O46" s="1127"/>
      <c r="P46" s="3328"/>
      <c r="Q46" s="1805">
        <f t="shared" si="11"/>
        <v>0</v>
      </c>
      <c r="R46" s="772" t="s">
        <v>20</v>
      </c>
      <c r="S46" s="773">
        <f t="shared" si="12"/>
        <v>100</v>
      </c>
      <c r="T46" s="772" t="s">
        <v>20</v>
      </c>
      <c r="U46" s="773">
        <f t="shared" si="13"/>
        <v>100</v>
      </c>
      <c r="V46" s="772" t="s">
        <v>20</v>
      </c>
      <c r="W46" s="773">
        <f t="shared" si="14"/>
        <v>100</v>
      </c>
      <c r="X46" s="1808"/>
      <c r="Y46" s="3329"/>
      <c r="Z46" s="1809">
        <f t="shared" si="18"/>
        <v>0</v>
      </c>
      <c r="AA46" s="1806">
        <f t="shared" si="15"/>
        <v>1</v>
      </c>
      <c r="AB46" s="1806">
        <f t="shared" si="16"/>
        <v>1</v>
      </c>
      <c r="AC46" s="1806">
        <f t="shared" si="17"/>
        <v>1</v>
      </c>
    </row>
    <row r="47" spans="1:29" ht="15">
      <c r="A47" s="479" t="s">
        <v>2569</v>
      </c>
      <c r="B47" s="480"/>
      <c r="C47" s="1403" t="s">
        <v>19</v>
      </c>
      <c r="D47" s="1404"/>
      <c r="E47" s="1405">
        <v>21000</v>
      </c>
      <c r="F47" s="1406"/>
      <c r="G47" s="3032">
        <v>16500</v>
      </c>
      <c r="H47" s="1408"/>
      <c r="I47" s="1405">
        <v>20000</v>
      </c>
      <c r="J47" s="1408"/>
      <c r="K47" s="2612"/>
      <c r="L47" s="1139"/>
      <c r="M47" s="1140"/>
      <c r="N47" s="1127"/>
      <c r="O47" s="1140"/>
      <c r="P47" s="3291" t="str">
        <f>A47</f>
        <v>成交单价（元/平方米）</v>
      </c>
      <c r="Q47" s="3291"/>
      <c r="R47" s="3325">
        <f>E47</f>
        <v>21000</v>
      </c>
      <c r="S47" s="3325"/>
      <c r="T47" s="3325">
        <f>G47</f>
        <v>16500</v>
      </c>
      <c r="U47" s="3325"/>
      <c r="V47" s="3325">
        <f>I47</f>
        <v>20000</v>
      </c>
      <c r="W47" s="3325"/>
      <c r="X47" s="757"/>
      <c r="Y47" s="779"/>
      <c r="Z47" s="757"/>
      <c r="AA47" s="757"/>
      <c r="AB47" s="757"/>
      <c r="AC47" s="757"/>
    </row>
    <row r="48" spans="1:29" ht="15.75" thickBot="1">
      <c r="A48" s="486" t="s">
        <v>2570</v>
      </c>
      <c r="B48" s="487"/>
      <c r="C48" s="1409">
        <f>R49</f>
        <v>22192</v>
      </c>
      <c r="D48" s="1410"/>
      <c r="E48" s="1411">
        <f>R48</f>
        <v>22789</v>
      </c>
      <c r="F48" s="1411"/>
      <c r="G48" s="1409">
        <f>T48</f>
        <v>20942</v>
      </c>
      <c r="H48" s="1410"/>
      <c r="I48" s="1411">
        <f>V48</f>
        <v>22846</v>
      </c>
      <c r="J48" s="1410"/>
      <c r="K48" s="2613"/>
      <c r="L48" s="1139"/>
      <c r="M48" s="1140"/>
      <c r="N48" s="1140"/>
      <c r="O48" s="1140"/>
      <c r="P48" s="3291" t="str">
        <f>A48</f>
        <v>比较价值（元/平方米）</v>
      </c>
      <c r="Q48" s="3291"/>
      <c r="R48" s="3325">
        <f>IF(F1="售价",ROUND(PRODUCT(R47,AA7:AA46),0),ROUND(PRODUCT(R47,AA7:AA46),1))</f>
        <v>22789</v>
      </c>
      <c r="S48" s="3325"/>
      <c r="T48" s="3325">
        <f>IF(F1="售价",ROUND(PRODUCT(T47,AB7:AB46),0),ROUND(PRODUCT(T47,AB7:AB46),1))</f>
        <v>20942</v>
      </c>
      <c r="U48" s="3325"/>
      <c r="V48" s="3325">
        <f>IF(F1="售价",ROUND(PRODUCT(V47,AC7:AC46),0),ROUND(PRODUCT(V47,AC7:AC46),1))</f>
        <v>22846</v>
      </c>
      <c r="W48" s="3325"/>
      <c r="X48" s="757"/>
      <c r="Y48" s="757"/>
      <c r="Z48" s="757"/>
      <c r="AA48" s="757"/>
      <c r="AB48" s="757"/>
      <c r="AC48" s="757"/>
    </row>
    <row r="49" spans="1:29" ht="15.75" thickBot="1">
      <c r="A49" s="492" t="s">
        <v>2571</v>
      </c>
      <c r="B49" s="493"/>
      <c r="C49" s="1412">
        <f>R49</f>
        <v>22192</v>
      </c>
      <c r="D49" s="1413"/>
      <c r="E49" s="1413"/>
      <c r="F49" s="1413"/>
      <c r="G49" s="1413"/>
      <c r="H49" s="1413"/>
      <c r="I49" s="1413"/>
      <c r="J49" s="1413"/>
      <c r="K49" s="2614"/>
      <c r="L49" s="1139"/>
      <c r="M49" s="1140"/>
      <c r="N49" s="1140"/>
      <c r="O49" s="1140"/>
      <c r="P49" s="3311" t="str">
        <f>A49</f>
        <v>估价对象XX用房的比较价值（楼面单价，元/平方米）</v>
      </c>
      <c r="Q49" s="3312"/>
      <c r="R49" s="3324">
        <f>IF(F1="售价",ROUND(AVERAGE(R48:V48),0),ROUND(AVERAGE(R48:V48),1))</f>
        <v>22192</v>
      </c>
      <c r="S49" s="3324"/>
      <c r="T49" s="3324"/>
      <c r="U49" s="3324"/>
      <c r="V49" s="3324"/>
      <c r="W49" s="3324"/>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2572</v>
      </c>
      <c r="D52" s="498"/>
      <c r="E52" s="499">
        <f>IF(E47&lt;E48,E48/E47-1,E47/E48-1)</f>
        <v>8.5190476190476261E-2</v>
      </c>
      <c r="F52" s="500" t="str">
        <f>IF(OR(E52&gt;=0.3,E52&lt;=-0.3),"超过30%","")</f>
        <v/>
      </c>
      <c r="G52" s="499">
        <f>IF(G47&lt;G48,G48/G47-1,G47/G48-1)</f>
        <v>0.26921212121212124</v>
      </c>
      <c r="H52" s="500" t="str">
        <f>IF(OR(G52&gt;=0.3,G52&lt;=-0.3),"超过30%","")</f>
        <v/>
      </c>
      <c r="I52" s="499">
        <f>IF(I47&lt;I48,I48/I47-1,I47/I48-1)</f>
        <v>0.14230000000000009</v>
      </c>
      <c r="J52" s="500" t="str">
        <f>IF(OR(I52&gt;=0.3,I52&lt;=-0.3),"超过30%","")</f>
        <v/>
      </c>
      <c r="K52" s="1101"/>
      <c r="L52" s="1102"/>
      <c r="M52" s="1140"/>
      <c r="N52" s="1140"/>
      <c r="O52" s="1140"/>
    </row>
    <row r="53" spans="1:29" ht="13.5" customHeight="1">
      <c r="A53" s="1140"/>
      <c r="B53" s="1140"/>
      <c r="C53" s="497" t="s">
        <v>2573</v>
      </c>
      <c r="D53" s="501"/>
      <c r="E53" s="499">
        <f>IF(E48&lt;G48,G48/E48-1,E48/G48-1)</f>
        <v>8.8195969821411424E-2</v>
      </c>
      <c r="F53" s="500" t="str">
        <f>IF(OR(E53&gt;=0.2,E53&lt;=-0.2),"超过20%","")</f>
        <v/>
      </c>
      <c r="G53" s="499">
        <f>IF(G48&lt;I48,I48/G48-1,G48/I48-1)</f>
        <v>9.0917772896571547E-2</v>
      </c>
      <c r="H53" s="500" t="str">
        <f>IF(OR(G53&gt;=0.2,G53&lt;=-0.2),"超过20%","")</f>
        <v/>
      </c>
      <c r="I53" s="499">
        <f>IF(I48&lt;E48,E48/I48-1,I48/E48-1)</f>
        <v>2.5012067225416157E-3</v>
      </c>
      <c r="J53" s="500" t="str">
        <f>IF(OR(I53&gt;=0.2,I53&lt;=-0.2),"超过20%","")</f>
        <v/>
      </c>
      <c r="K53" s="1101"/>
      <c r="L53" s="1102"/>
      <c r="M53" s="1140"/>
      <c r="N53" s="1140"/>
      <c r="O53" s="1140"/>
    </row>
    <row r="54" spans="1:29" s="502" customFormat="1" ht="13.5" customHeight="1">
      <c r="A54" s="1141"/>
      <c r="B54" s="1141"/>
      <c r="C54" s="497" t="s">
        <v>2574</v>
      </c>
      <c r="D54" s="501"/>
      <c r="E54" s="499">
        <f>IF(E47&lt;G47,G47/E47-1,E47/G47-1)</f>
        <v>0.27272727272727271</v>
      </c>
      <c r="F54" s="500" t="str">
        <f>IF(OR(E54&gt;=0.3,E54&lt;=-0.3),"超过30%","")</f>
        <v/>
      </c>
      <c r="G54" s="499">
        <f>IF(G47&lt;I47,I47/G47-1,G47/I47-1)</f>
        <v>0.21212121212121215</v>
      </c>
      <c r="H54" s="500" t="str">
        <f>IF(OR(G54&gt;=0.3,G54&lt;=-0.3),"超过30%","")</f>
        <v/>
      </c>
      <c r="I54" s="499">
        <f>IF(I47&lt;E47,E47/I47-1,I47/E47-1)</f>
        <v>5.0000000000000044E-2</v>
      </c>
      <c r="J54" s="500" t="str">
        <f>IF(OR(I54&gt;=0.3,I54&lt;=-0.3),"超过30%","")</f>
        <v/>
      </c>
      <c r="K54" s="1144"/>
      <c r="L54" s="1145"/>
      <c r="M54" s="1141"/>
      <c r="N54" s="1141"/>
      <c r="O54" s="1141"/>
      <c r="P54" s="2616"/>
    </row>
    <row r="55" spans="1:29" s="502" customFormat="1">
      <c r="A55" s="1141"/>
      <c r="B55" s="1142"/>
      <c r="C55" s="1146"/>
      <c r="D55" s="1141"/>
      <c r="E55" s="1141"/>
      <c r="F55" s="1141"/>
      <c r="G55" s="1141"/>
      <c r="H55" s="1141"/>
      <c r="I55" s="1141"/>
      <c r="J55" s="1141"/>
      <c r="K55" s="1144"/>
      <c r="L55" s="1145"/>
      <c r="M55" s="1141"/>
      <c r="N55" s="1141"/>
      <c r="O55" s="1141"/>
      <c r="P55" s="2616"/>
    </row>
    <row r="56" spans="1:29">
      <c r="A56" s="1140"/>
      <c r="B56" s="1142"/>
      <c r="C56" s="1146"/>
      <c r="D56" s="1140"/>
      <c r="E56" s="1140"/>
      <c r="F56" s="1140"/>
      <c r="G56" s="1140"/>
      <c r="H56" s="1140"/>
      <c r="I56" s="1140"/>
      <c r="J56" s="1140"/>
      <c r="K56" s="1101"/>
      <c r="L56" s="1102"/>
      <c r="M56" s="1140"/>
      <c r="N56" s="1140"/>
      <c r="O56" s="1140"/>
    </row>
    <row r="57" spans="1:29" ht="21.75" thickBot="1">
      <c r="A57" s="761" t="s">
        <v>2575</v>
      </c>
      <c r="B57" s="757"/>
      <c r="C57" s="762"/>
      <c r="D57" s="762"/>
      <c r="E57" s="762"/>
      <c r="F57" s="763"/>
      <c r="G57" s="763"/>
      <c r="H57" s="762"/>
      <c r="I57" s="762"/>
      <c r="J57" s="762"/>
      <c r="K57" s="1156"/>
      <c r="L57" s="1157"/>
      <c r="M57" s="1155"/>
      <c r="N57" s="1155"/>
      <c r="O57" s="1155"/>
      <c r="P57" s="2617"/>
      <c r="Q57" s="504"/>
    </row>
    <row r="58" spans="1:29" s="508" customFormat="1" ht="15">
      <c r="A58" s="505" t="s">
        <v>2576</v>
      </c>
      <c r="B58" s="506"/>
      <c r="C58" s="1571" t="str">
        <f>YEAR(C7)&amp;"-"&amp;MONTH(C7)</f>
        <v>2019-11</v>
      </c>
      <c r="D58" s="1570">
        <f>EDATE(C58,-1)</f>
        <v>43739</v>
      </c>
      <c r="E58" s="1570">
        <f>EDATE(D58,-1)</f>
        <v>43709</v>
      </c>
      <c r="F58" s="1570">
        <f t="shared" ref="F58:O58" si="19">EDATE(E58,-1)</f>
        <v>43678</v>
      </c>
      <c r="G58" s="1570">
        <f t="shared" si="19"/>
        <v>43647</v>
      </c>
      <c r="H58" s="1570">
        <f t="shared" si="19"/>
        <v>43617</v>
      </c>
      <c r="I58" s="1570">
        <f t="shared" si="19"/>
        <v>43586</v>
      </c>
      <c r="J58" s="1570">
        <f t="shared" si="19"/>
        <v>43556</v>
      </c>
      <c r="K58" s="1570">
        <f t="shared" si="19"/>
        <v>43525</v>
      </c>
      <c r="L58" s="1570">
        <f t="shared" si="19"/>
        <v>43497</v>
      </c>
      <c r="M58" s="1570">
        <f t="shared" si="19"/>
        <v>43466</v>
      </c>
      <c r="N58" s="1570">
        <f t="shared" si="19"/>
        <v>43435</v>
      </c>
      <c r="O58" s="1570">
        <f t="shared" si="19"/>
        <v>43405</v>
      </c>
      <c r="P58" s="1565"/>
    </row>
    <row r="59" spans="1:29" s="117" customFormat="1" ht="15">
      <c r="A59" s="509"/>
      <c r="B59" s="2618"/>
      <c r="C59" s="1568">
        <v>100</v>
      </c>
      <c r="D59" s="511"/>
      <c r="E59" s="512"/>
      <c r="F59" s="512"/>
      <c r="G59" s="512"/>
      <c r="H59" s="512"/>
      <c r="I59" s="512"/>
      <c r="J59" s="512"/>
      <c r="K59" s="512"/>
      <c r="L59" s="512"/>
      <c r="M59" s="513"/>
      <c r="N59" s="512"/>
      <c r="O59" s="513"/>
      <c r="P59" s="2619"/>
    </row>
    <row r="60" spans="1:29" s="117" customFormat="1" ht="15.75" thickBot="1">
      <c r="A60" s="515" t="s">
        <v>2577</v>
      </c>
      <c r="B60" s="516"/>
      <c r="C60" s="517"/>
      <c r="D60" s="518"/>
      <c r="E60" s="518"/>
      <c r="F60" s="518"/>
      <c r="G60" s="518"/>
      <c r="H60" s="518"/>
      <c r="I60" s="518"/>
      <c r="J60" s="518"/>
      <c r="K60" s="518"/>
      <c r="L60" s="518"/>
      <c r="M60" s="519"/>
      <c r="N60" s="518"/>
      <c r="O60" s="519"/>
      <c r="P60" s="2619"/>
      <c r="Q60" s="504"/>
    </row>
    <row r="61" spans="1:29" s="117" customFormat="1" ht="15">
      <c r="A61" s="521" t="s">
        <v>2578</v>
      </c>
      <c r="B61" s="510"/>
      <c r="C61" s="522" t="s">
        <v>2579</v>
      </c>
      <c r="D61" s="523"/>
      <c r="E61" s="523"/>
      <c r="F61" s="523"/>
      <c r="G61" s="523"/>
      <c r="H61" s="523"/>
      <c r="I61" s="523"/>
      <c r="J61" s="523"/>
      <c r="K61" s="523"/>
      <c r="L61" s="524"/>
      <c r="M61" s="525"/>
      <c r="N61" s="1147"/>
      <c r="O61" s="1147"/>
      <c r="P61" s="2620"/>
      <c r="Q61" s="504"/>
    </row>
    <row r="62" spans="1:29" s="117" customFormat="1" ht="15.75" thickBot="1">
      <c r="A62" s="521"/>
      <c r="B62" s="510"/>
      <c r="C62" s="511">
        <v>100</v>
      </c>
      <c r="D62" s="512"/>
      <c r="E62" s="512"/>
      <c r="F62" s="512"/>
      <c r="G62" s="512"/>
      <c r="H62" s="512"/>
      <c r="I62" s="512"/>
      <c r="J62" s="512"/>
      <c r="K62" s="512"/>
      <c r="L62" s="512"/>
      <c r="M62" s="514"/>
      <c r="N62" s="1147"/>
      <c r="O62" s="1147"/>
      <c r="P62" s="2619"/>
      <c r="Q62" s="504"/>
    </row>
    <row r="63" spans="1:29">
      <c r="A63" s="527" t="s">
        <v>2580</v>
      </c>
      <c r="B63" s="528" t="s">
        <v>2546</v>
      </c>
      <c r="C63" s="529" t="str">
        <f>C9</f>
        <v>住宅</v>
      </c>
      <c r="D63" s="530"/>
      <c r="E63" s="530"/>
      <c r="F63" s="530"/>
      <c r="G63" s="530"/>
      <c r="H63" s="530"/>
      <c r="I63" s="530"/>
      <c r="J63" s="530"/>
      <c r="K63" s="531"/>
      <c r="L63" s="532"/>
      <c r="M63" s="533"/>
      <c r="N63" s="1148"/>
      <c r="O63" s="1148"/>
      <c r="P63" s="2621"/>
      <c r="Q63" s="504"/>
    </row>
    <row r="64" spans="1:29" ht="15.75" thickBot="1">
      <c r="A64" s="534"/>
      <c r="B64" s="535"/>
      <c r="C64" s="536">
        <v>100</v>
      </c>
      <c r="D64" s="536"/>
      <c r="E64" s="536"/>
      <c r="F64" s="536"/>
      <c r="G64" s="536"/>
      <c r="H64" s="536"/>
      <c r="I64" s="536"/>
      <c r="J64" s="536"/>
      <c r="K64" s="536"/>
      <c r="L64" s="536"/>
      <c r="M64" s="537"/>
      <c r="N64" s="1149"/>
      <c r="O64" s="1149"/>
      <c r="P64" s="2621"/>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48"/>
      <c r="O65" s="1148"/>
      <c r="P65" s="2621"/>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49"/>
      <c r="O66" s="1149"/>
      <c r="P66" s="2621"/>
      <c r="Q66" s="504"/>
    </row>
    <row r="67" spans="1:17" ht="15.75" thickTop="1">
      <c r="A67" s="534"/>
      <c r="B67" s="546" t="s">
        <v>2550</v>
      </c>
      <c r="C67" s="547" t="str">
        <f>C68&amp;"（含）"&amp;"-"&amp;D68</f>
        <v>0（含）-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1"/>
      <c r="Q67" s="504"/>
    </row>
    <row r="68" spans="1:17" ht="15">
      <c r="A68" s="534"/>
      <c r="B68" s="548"/>
      <c r="C68" s="549">
        <v>0</v>
      </c>
      <c r="D68" s="549"/>
      <c r="E68" s="549"/>
      <c r="F68" s="549"/>
      <c r="G68" s="549"/>
      <c r="H68" s="549"/>
      <c r="I68" s="549"/>
      <c r="J68" s="549"/>
      <c r="K68" s="550"/>
      <c r="L68" s="551"/>
      <c r="M68" s="552"/>
      <c r="N68" s="1148"/>
      <c r="O68" s="1148"/>
      <c r="P68" s="262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1"/>
      <c r="Q69" s="504"/>
    </row>
    <row r="70" spans="1:17" s="471" customFormat="1" ht="15.75" thickTop="1">
      <c r="A70" s="553"/>
      <c r="B70" s="538">
        <f>B12</f>
        <v>0</v>
      </c>
      <c r="C70" s="554"/>
      <c r="D70" s="554"/>
      <c r="E70" s="554"/>
      <c r="F70" s="554"/>
      <c r="G70" s="554"/>
      <c r="H70" s="555"/>
      <c r="I70" s="555"/>
      <c r="J70" s="555"/>
      <c r="K70" s="555"/>
      <c r="L70" s="556"/>
      <c r="M70" s="557"/>
      <c r="N70" s="1150"/>
      <c r="O70" s="1150"/>
      <c r="P70" s="2622"/>
      <c r="Q70" s="559"/>
    </row>
    <row r="71" spans="1:17" s="471" customFormat="1" ht="15.75" thickBot="1">
      <c r="A71" s="553"/>
      <c r="B71" s="543"/>
      <c r="C71" s="560"/>
      <c r="D71" s="536"/>
      <c r="E71" s="536"/>
      <c r="F71" s="536"/>
      <c r="G71" s="536"/>
      <c r="H71" s="536"/>
      <c r="I71" s="536"/>
      <c r="J71" s="536"/>
      <c r="K71" s="536"/>
      <c r="L71" s="536"/>
      <c r="M71" s="537"/>
      <c r="N71" s="1149"/>
      <c r="O71" s="1149"/>
      <c r="P71" s="2622"/>
      <c r="Q71" s="559"/>
    </row>
    <row r="72" spans="1:17" s="471" customFormat="1" ht="15.75" thickTop="1">
      <c r="A72" s="553"/>
      <c r="B72" s="538">
        <f>B13</f>
        <v>0</v>
      </c>
      <c r="C72" s="554"/>
      <c r="D72" s="554"/>
      <c r="E72" s="554"/>
      <c r="F72" s="554"/>
      <c r="G72" s="554"/>
      <c r="H72" s="555"/>
      <c r="I72" s="555"/>
      <c r="J72" s="555"/>
      <c r="K72" s="555"/>
      <c r="L72" s="556"/>
      <c r="M72" s="557"/>
      <c r="N72" s="1150"/>
      <c r="O72" s="1150"/>
      <c r="P72" s="2623"/>
      <c r="Q72" s="561"/>
    </row>
    <row r="73" spans="1:17" s="471" customFormat="1" ht="15.75" thickBot="1">
      <c r="A73" s="553"/>
      <c r="B73" s="543"/>
      <c r="C73" s="560"/>
      <c r="D73" s="560"/>
      <c r="E73" s="560"/>
      <c r="F73" s="560"/>
      <c r="G73" s="560"/>
      <c r="H73" s="562"/>
      <c r="I73" s="562"/>
      <c r="J73" s="562"/>
      <c r="K73" s="562"/>
      <c r="L73" s="562"/>
      <c r="M73" s="563"/>
      <c r="N73" s="1150"/>
      <c r="O73" s="1150"/>
      <c r="P73" s="2622"/>
      <c r="Q73" s="559"/>
    </row>
    <row r="74" spans="1:17" s="471" customFormat="1" ht="15.75" thickTop="1">
      <c r="A74" s="553"/>
      <c r="B74" s="546">
        <f>B14</f>
        <v>0</v>
      </c>
      <c r="C74" s="554"/>
      <c r="D74" s="554"/>
      <c r="E74" s="554"/>
      <c r="F74" s="554"/>
      <c r="G74" s="523"/>
      <c r="H74" s="564"/>
      <c r="I74" s="564"/>
      <c r="J74" s="564"/>
      <c r="K74" s="564"/>
      <c r="L74" s="565"/>
      <c r="M74" s="566"/>
      <c r="N74" s="1150"/>
      <c r="O74" s="1150"/>
      <c r="P74" s="2624"/>
      <c r="Q74" s="559"/>
    </row>
    <row r="75" spans="1:17" s="471" customFormat="1" ht="15.75" thickBot="1">
      <c r="A75" s="568"/>
      <c r="B75" s="569"/>
      <c r="C75" s="570"/>
      <c r="D75" s="570"/>
      <c r="E75" s="570"/>
      <c r="F75" s="570"/>
      <c r="G75" s="570"/>
      <c r="H75" s="571"/>
      <c r="I75" s="571"/>
      <c r="J75" s="571"/>
      <c r="K75" s="571"/>
      <c r="L75" s="571"/>
      <c r="M75" s="572"/>
      <c r="N75" s="1150"/>
      <c r="O75" s="1150"/>
      <c r="P75" s="2622"/>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48"/>
      <c r="O76" s="1148"/>
      <c r="P76" s="2625"/>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49"/>
      <c r="O77" s="1149"/>
      <c r="P77" s="2621"/>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48"/>
      <c r="O78" s="1148"/>
      <c r="P78" s="2621"/>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49"/>
      <c r="O79" s="1149"/>
      <c r="P79" s="2621"/>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48"/>
      <c r="O80" s="1148"/>
      <c r="P80" s="2621"/>
      <c r="Q80" s="504"/>
    </row>
    <row r="81" spans="1:17" ht="15.75" thickBot="1">
      <c r="A81" s="534"/>
      <c r="B81" s="543"/>
      <c r="C81" s="544">
        <v>100</v>
      </c>
      <c r="D81" s="544">
        <f>C81-$K19</f>
        <v>95</v>
      </c>
      <c r="E81" s="544">
        <f>D81-$K19</f>
        <v>90</v>
      </c>
      <c r="F81" s="544">
        <f>E81-$K19</f>
        <v>85</v>
      </c>
      <c r="G81" s="544">
        <f>F81-$K19</f>
        <v>80</v>
      </c>
      <c r="H81" s="544"/>
      <c r="I81" s="544"/>
      <c r="J81" s="544"/>
      <c r="K81" s="544"/>
      <c r="L81" s="544"/>
      <c r="M81" s="545"/>
      <c r="N81" s="1149"/>
      <c r="O81" s="1149"/>
      <c r="P81" s="2621"/>
      <c r="Q81" s="504"/>
    </row>
    <row r="82" spans="1:17" ht="15.75" thickTop="1">
      <c r="A82" s="534"/>
      <c r="B82" s="546" t="s">
        <v>2093</v>
      </c>
      <c r="C82" s="539" t="s">
        <v>2596</v>
      </c>
      <c r="D82" s="539" t="s">
        <v>2597</v>
      </c>
      <c r="E82" s="539" t="s">
        <v>2598</v>
      </c>
      <c r="F82" s="539" t="s">
        <v>2599</v>
      </c>
      <c r="G82" s="539" t="s">
        <v>2600</v>
      </c>
      <c r="H82" s="539"/>
      <c r="I82" s="539"/>
      <c r="J82" s="539"/>
      <c r="K82" s="539"/>
      <c r="L82" s="539"/>
      <c r="M82" s="1378"/>
      <c r="N82" s="1149"/>
      <c r="O82" s="1149"/>
      <c r="P82" s="2621"/>
      <c r="Q82" s="504"/>
    </row>
    <row r="83" spans="1:17" ht="15.75" thickBot="1">
      <c r="A83" s="534"/>
      <c r="B83" s="546"/>
      <c r="C83" s="659">
        <v>100</v>
      </c>
      <c r="D83" s="659">
        <f>C83-$K21</f>
        <v>97</v>
      </c>
      <c r="E83" s="659">
        <f t="shared" ref="E83:G83" si="23">D83-$K21</f>
        <v>94</v>
      </c>
      <c r="F83" s="659">
        <f t="shared" si="23"/>
        <v>91</v>
      </c>
      <c r="G83" s="659">
        <f t="shared" si="23"/>
        <v>88</v>
      </c>
      <c r="H83" s="659"/>
      <c r="I83" s="659"/>
      <c r="J83" s="659"/>
      <c r="K83" s="659"/>
      <c r="L83" s="659"/>
      <c r="M83" s="450"/>
      <c r="N83" s="1149"/>
      <c r="O83" s="1149"/>
      <c r="P83" s="2621"/>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48"/>
      <c r="O84" s="1148"/>
      <c r="P84" s="2621"/>
      <c r="Q84" s="504"/>
    </row>
    <row r="85" spans="1:17" ht="15.75" thickBot="1">
      <c r="A85" s="534"/>
      <c r="B85" s="543"/>
      <c r="C85" s="544">
        <v>100</v>
      </c>
      <c r="D85" s="544">
        <f>C85-$K23</f>
        <v>95</v>
      </c>
      <c r="E85" s="544">
        <f>D85-$K23</f>
        <v>90</v>
      </c>
      <c r="F85" s="544">
        <f>E85-$K23</f>
        <v>85</v>
      </c>
      <c r="G85" s="544">
        <f>F85-$K23</f>
        <v>80</v>
      </c>
      <c r="H85" s="544"/>
      <c r="I85" s="544"/>
      <c r="J85" s="544"/>
      <c r="K85" s="544"/>
      <c r="L85" s="544"/>
      <c r="M85" s="545"/>
      <c r="N85" s="1149"/>
      <c r="O85" s="1149"/>
      <c r="P85" s="2621"/>
      <c r="Q85" s="504"/>
    </row>
    <row r="86" spans="1:17" s="117" customFormat="1" ht="15.75" thickTop="1">
      <c r="A86" s="579"/>
      <c r="B86" s="538" t="s">
        <v>2602</v>
      </c>
      <c r="C86" s="554"/>
      <c r="D86" s="554"/>
      <c r="E86" s="554"/>
      <c r="F86" s="554"/>
      <c r="G86" s="554"/>
      <c r="H86" s="554"/>
      <c r="I86" s="554"/>
      <c r="J86" s="554"/>
      <c r="K86" s="554"/>
      <c r="L86" s="580"/>
      <c r="M86" s="581"/>
      <c r="N86" s="1147"/>
      <c r="O86" s="1147"/>
      <c r="P86" s="262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1"/>
      <c r="Q87" s="504"/>
    </row>
    <row r="88" spans="1:17" s="117" customFormat="1" ht="15.75" thickTop="1">
      <c r="A88" s="579"/>
      <c r="B88" s="538" t="s">
        <v>2603</v>
      </c>
      <c r="C88" s="554"/>
      <c r="D88" s="554"/>
      <c r="E88" s="554"/>
      <c r="F88" s="2626"/>
      <c r="G88" s="554"/>
      <c r="H88" s="554"/>
      <c r="I88" s="554"/>
      <c r="J88" s="554"/>
      <c r="K88" s="554"/>
      <c r="L88" s="554"/>
      <c r="M88" s="581"/>
      <c r="N88" s="1147"/>
      <c r="O88" s="1147"/>
      <c r="P88" s="262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1"/>
      <c r="Q89" s="504"/>
    </row>
    <row r="90" spans="1:17" s="471" customFormat="1" ht="15.75" thickTop="1">
      <c r="A90" s="553"/>
      <c r="B90" s="538">
        <f>B27</f>
        <v>0</v>
      </c>
      <c r="C90" s="554"/>
      <c r="D90" s="554"/>
      <c r="E90" s="554"/>
      <c r="F90" s="554"/>
      <c r="G90" s="554"/>
      <c r="H90" s="555"/>
      <c r="I90" s="555"/>
      <c r="J90" s="555"/>
      <c r="K90" s="555"/>
      <c r="L90" s="556"/>
      <c r="M90" s="557"/>
      <c r="N90" s="1150"/>
      <c r="O90" s="1150"/>
      <c r="P90" s="2622"/>
      <c r="Q90" s="559"/>
    </row>
    <row r="91" spans="1:17" s="471" customFormat="1" ht="15.75" thickBot="1">
      <c r="A91" s="553"/>
      <c r="B91" s="543"/>
      <c r="C91" s="560"/>
      <c r="D91" s="560"/>
      <c r="E91" s="560"/>
      <c r="F91" s="560"/>
      <c r="G91" s="560"/>
      <c r="H91" s="562"/>
      <c r="I91" s="562"/>
      <c r="J91" s="562"/>
      <c r="K91" s="562"/>
      <c r="L91" s="562"/>
      <c r="M91" s="563"/>
      <c r="N91" s="1150"/>
      <c r="O91" s="1150"/>
      <c r="P91" s="2622"/>
      <c r="Q91" s="559"/>
    </row>
    <row r="92" spans="1:17" ht="15.75" thickTop="1">
      <c r="A92" s="534"/>
      <c r="B92" s="538">
        <f>B28</f>
        <v>0</v>
      </c>
      <c r="C92" s="554"/>
      <c r="D92" s="554"/>
      <c r="E92" s="554"/>
      <c r="F92" s="554"/>
      <c r="G92" s="583"/>
      <c r="H92" s="583"/>
      <c r="I92" s="583"/>
      <c r="J92" s="583"/>
      <c r="K92" s="584"/>
      <c r="L92" s="585"/>
      <c r="M92" s="586"/>
      <c r="N92" s="1148"/>
      <c r="O92" s="1148"/>
      <c r="P92" s="2621"/>
      <c r="Q92" s="504"/>
    </row>
    <row r="93" spans="1:17" ht="15.75" thickBot="1">
      <c r="A93" s="534"/>
      <c r="B93" s="543"/>
      <c r="C93" s="560"/>
      <c r="D93" s="536"/>
      <c r="E93" s="536"/>
      <c r="F93" s="536"/>
      <c r="G93" s="536"/>
      <c r="H93" s="536"/>
      <c r="I93" s="536"/>
      <c r="J93" s="536"/>
      <c r="K93" s="536"/>
      <c r="L93" s="536"/>
      <c r="M93" s="537"/>
      <c r="N93" s="1149"/>
      <c r="O93" s="1149"/>
      <c r="P93" s="2621"/>
      <c r="Q93" s="504"/>
    </row>
    <row r="94" spans="1:17" ht="15.75" thickTop="1">
      <c r="A94" s="534"/>
      <c r="B94" s="538">
        <f>B29</f>
        <v>0</v>
      </c>
      <c r="C94" s="554"/>
      <c r="D94" s="554"/>
      <c r="E94" s="554"/>
      <c r="F94" s="554"/>
      <c r="G94" s="583"/>
      <c r="H94" s="583"/>
      <c r="I94" s="583"/>
      <c r="J94" s="583"/>
      <c r="K94" s="584"/>
      <c r="L94" s="585"/>
      <c r="M94" s="586"/>
      <c r="N94" s="1148"/>
      <c r="O94" s="1148"/>
      <c r="P94" s="2621"/>
      <c r="Q94" s="504"/>
    </row>
    <row r="95" spans="1:17" ht="15.75" thickBot="1">
      <c r="A95" s="534"/>
      <c r="B95" s="543"/>
      <c r="C95" s="560"/>
      <c r="D95" s="560"/>
      <c r="E95" s="560"/>
      <c r="F95" s="560"/>
      <c r="G95" s="536"/>
      <c r="H95" s="536"/>
      <c r="I95" s="536"/>
      <c r="J95" s="536"/>
      <c r="K95" s="536"/>
      <c r="L95" s="536"/>
      <c r="M95" s="537"/>
      <c r="N95" s="1149"/>
      <c r="O95" s="1149"/>
      <c r="P95" s="2621"/>
      <c r="Q95" s="504"/>
    </row>
    <row r="96" spans="1:17" ht="15.75" thickTop="1">
      <c r="A96" s="534"/>
      <c r="B96" s="538">
        <f>B30</f>
        <v>0</v>
      </c>
      <c r="C96" s="554"/>
      <c r="D96" s="554"/>
      <c r="E96" s="554"/>
      <c r="F96" s="554"/>
      <c r="G96" s="583"/>
      <c r="H96" s="583"/>
      <c r="I96" s="583"/>
      <c r="J96" s="583"/>
      <c r="K96" s="584"/>
      <c r="L96" s="585"/>
      <c r="M96" s="586"/>
      <c r="N96" s="1148"/>
      <c r="O96" s="1148"/>
      <c r="P96" s="2621"/>
      <c r="Q96" s="504"/>
    </row>
    <row r="97" spans="1:17" ht="15.75" thickBot="1">
      <c r="A97" s="534"/>
      <c r="B97" s="543"/>
      <c r="C97" s="570"/>
      <c r="D97" s="570"/>
      <c r="E97" s="570"/>
      <c r="F97" s="570"/>
      <c r="G97" s="536"/>
      <c r="H97" s="536"/>
      <c r="I97" s="536"/>
      <c r="J97" s="536"/>
      <c r="K97" s="536"/>
      <c r="L97" s="536"/>
      <c r="M97" s="537"/>
      <c r="N97" s="1149"/>
      <c r="O97" s="1149"/>
      <c r="P97" s="2621"/>
      <c r="Q97" s="504"/>
    </row>
    <row r="98" spans="1:17" ht="15.75" thickTop="1">
      <c r="A98" s="534"/>
      <c r="B98" s="546">
        <f>B31</f>
        <v>0</v>
      </c>
      <c r="C98" s="587"/>
      <c r="D98" s="587"/>
      <c r="E98" s="587"/>
      <c r="F98" s="587"/>
      <c r="G98" s="587"/>
      <c r="H98" s="587"/>
      <c r="I98" s="587"/>
      <c r="J98" s="587"/>
      <c r="K98" s="588"/>
      <c r="L98" s="589"/>
      <c r="M98" s="590"/>
      <c r="N98" s="1148"/>
      <c r="O98" s="1148"/>
      <c r="P98" s="2621"/>
      <c r="Q98" s="504"/>
    </row>
    <row r="99" spans="1:17" ht="15.75" thickBot="1">
      <c r="A99" s="2627"/>
      <c r="B99" s="569"/>
      <c r="C99" s="591"/>
      <c r="D99" s="591"/>
      <c r="E99" s="591"/>
      <c r="F99" s="591"/>
      <c r="G99" s="591"/>
      <c r="H99" s="591"/>
      <c r="I99" s="591"/>
      <c r="J99" s="591"/>
      <c r="K99" s="591"/>
      <c r="L99" s="591"/>
      <c r="M99" s="592"/>
      <c r="N99" s="1149"/>
      <c r="O99" s="1149"/>
      <c r="P99" s="2621"/>
      <c r="Q99" s="504"/>
    </row>
    <row r="100" spans="1:17">
      <c r="A100" s="527" t="s">
        <v>2555</v>
      </c>
      <c r="B100" s="528" t="s">
        <v>2604</v>
      </c>
      <c r="C100" s="2985" t="s">
        <v>3825</v>
      </c>
      <c r="D100" s="530"/>
      <c r="E100" s="530"/>
      <c r="F100" s="530"/>
      <c r="G100" s="530"/>
      <c r="H100" s="530"/>
      <c r="I100" s="530"/>
      <c r="J100" s="530"/>
      <c r="K100" s="531"/>
      <c r="L100" s="532"/>
      <c r="M100" s="533"/>
      <c r="N100" s="1148"/>
      <c r="O100" s="1148"/>
      <c r="P100" s="2621"/>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49"/>
      <c r="O101" s="1149"/>
      <c r="P101" s="2621"/>
      <c r="Q101" s="504"/>
    </row>
    <row r="102" spans="1:17" ht="15.75" thickTop="1">
      <c r="A102" s="534"/>
      <c r="B102" s="538" t="s">
        <v>2605</v>
      </c>
      <c r="C102" s="578" t="str">
        <f>C103&amp;"(含)"&amp;"-"&amp;D103</f>
        <v>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1"/>
      <c r="Q102" s="504"/>
    </row>
    <row r="103" spans="1:17" s="471" customFormat="1">
      <c r="A103" s="593"/>
      <c r="B103" s="594"/>
      <c r="C103" s="595">
        <v>0</v>
      </c>
      <c r="D103" s="595"/>
      <c r="E103" s="595"/>
      <c r="F103" s="595"/>
      <c r="G103" s="595"/>
      <c r="H103" s="595"/>
      <c r="I103" s="595"/>
      <c r="J103" s="596"/>
      <c r="K103" s="596"/>
      <c r="L103" s="597"/>
      <c r="M103" s="598"/>
      <c r="N103" s="1150"/>
      <c r="O103" s="1150"/>
      <c r="P103" s="2622"/>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2"/>
      <c r="Q104" s="559"/>
    </row>
    <row r="105" spans="1:17" ht="15" thickTop="1">
      <c r="A105" s="599"/>
      <c r="B105" s="538" t="s">
        <v>2606</v>
      </c>
      <c r="C105" s="3005" t="s">
        <v>3826</v>
      </c>
      <c r="D105" s="554"/>
      <c r="E105" s="583"/>
      <c r="F105" s="583"/>
      <c r="G105" s="583"/>
      <c r="H105" s="583"/>
      <c r="I105" s="583"/>
      <c r="J105" s="583"/>
      <c r="K105" s="584"/>
      <c r="L105" s="585"/>
      <c r="M105" s="586"/>
      <c r="N105" s="1148"/>
      <c r="O105" s="1148"/>
      <c r="P105" s="2621"/>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49"/>
      <c r="O106" s="1149"/>
      <c r="P106" s="2621"/>
      <c r="Q106" s="504"/>
    </row>
    <row r="107" spans="1:17" ht="15" thickTop="1">
      <c r="A107" s="599"/>
      <c r="B107" s="538" t="s">
        <v>2607</v>
      </c>
      <c r="C107" s="3006" t="s">
        <v>3841</v>
      </c>
      <c r="D107" s="3006" t="s">
        <v>3828</v>
      </c>
      <c r="E107" s="583"/>
      <c r="F107" s="583"/>
      <c r="G107" s="583"/>
      <c r="H107" s="583"/>
      <c r="I107" s="583"/>
      <c r="J107" s="583"/>
      <c r="K107" s="584"/>
      <c r="L107" s="585"/>
      <c r="M107" s="586"/>
      <c r="N107" s="1148"/>
      <c r="O107" s="1148"/>
      <c r="P107" s="2621"/>
      <c r="Q107" s="504"/>
    </row>
    <row r="108" spans="1:17" ht="15.75" thickBot="1">
      <c r="A108" s="534"/>
      <c r="B108" s="543"/>
      <c r="C108" s="544">
        <v>100</v>
      </c>
      <c r="D108" s="544">
        <f t="shared" ref="D108:M108" si="29">C108-$K35</f>
        <v>97</v>
      </c>
      <c r="E108" s="544">
        <f t="shared" si="29"/>
        <v>94</v>
      </c>
      <c r="F108" s="544">
        <f t="shared" si="29"/>
        <v>91</v>
      </c>
      <c r="G108" s="544">
        <f t="shared" si="29"/>
        <v>88</v>
      </c>
      <c r="H108" s="544">
        <f t="shared" si="29"/>
        <v>85</v>
      </c>
      <c r="I108" s="544">
        <f t="shared" si="29"/>
        <v>82</v>
      </c>
      <c r="J108" s="544">
        <f t="shared" si="29"/>
        <v>79</v>
      </c>
      <c r="K108" s="544">
        <f t="shared" si="29"/>
        <v>76</v>
      </c>
      <c r="L108" s="544">
        <f t="shared" si="29"/>
        <v>73</v>
      </c>
      <c r="M108" s="544">
        <f t="shared" si="29"/>
        <v>70</v>
      </c>
      <c r="N108" s="1149"/>
      <c r="O108" s="1149"/>
      <c r="P108" s="2621"/>
      <c r="Q108" s="504"/>
    </row>
    <row r="109" spans="1:17" ht="15" thickTop="1">
      <c r="A109" s="599"/>
      <c r="B109" s="538" t="s">
        <v>2608</v>
      </c>
      <c r="C109" s="3005" t="s">
        <v>3830</v>
      </c>
      <c r="D109" s="554"/>
      <c r="E109" s="554"/>
      <c r="F109" s="583"/>
      <c r="G109" s="583"/>
      <c r="H109" s="583"/>
      <c r="I109" s="583"/>
      <c r="J109" s="583"/>
      <c r="K109" s="584"/>
      <c r="L109" s="585"/>
      <c r="M109" s="586"/>
      <c r="N109" s="1148"/>
      <c r="O109" s="1148"/>
      <c r="P109" s="2621"/>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49"/>
      <c r="O110" s="1149"/>
      <c r="P110" s="2621"/>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2"/>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0"/>
      <c r="O113" s="1150"/>
      <c r="P113" s="2622"/>
      <c r="Q113" s="559"/>
    </row>
    <row r="114" spans="1:17" ht="15" thickTop="1">
      <c r="A114" s="599"/>
      <c r="B114" s="538" t="s">
        <v>2609</v>
      </c>
      <c r="C114" s="3005" t="s">
        <v>3832</v>
      </c>
      <c r="D114" s="554"/>
      <c r="E114" s="583"/>
      <c r="F114" s="583"/>
      <c r="G114" s="583"/>
      <c r="H114" s="583"/>
      <c r="I114" s="583"/>
      <c r="J114" s="583"/>
      <c r="K114" s="584"/>
      <c r="L114" s="585"/>
      <c r="M114" s="586"/>
      <c r="N114" s="1148"/>
      <c r="O114" s="1148"/>
      <c r="P114" s="2621"/>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49"/>
      <c r="O115" s="1149"/>
      <c r="P115" s="2621"/>
      <c r="Q115" s="504"/>
    </row>
    <row r="116" spans="1:17" ht="15" thickTop="1">
      <c r="A116" s="599"/>
      <c r="B116" s="538" t="s">
        <v>2610</v>
      </c>
      <c r="C116" s="3005" t="s">
        <v>3833</v>
      </c>
      <c r="D116" s="554"/>
      <c r="E116" s="554"/>
      <c r="F116" s="554"/>
      <c r="G116" s="554"/>
      <c r="H116" s="583"/>
      <c r="I116" s="583"/>
      <c r="J116" s="583"/>
      <c r="K116" s="584"/>
      <c r="L116" s="585"/>
      <c r="M116" s="586"/>
      <c r="N116" s="1148"/>
      <c r="O116" s="1148"/>
      <c r="P116" s="2621"/>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49"/>
      <c r="O117" s="1149"/>
      <c r="P117" s="2621"/>
      <c r="Q117" s="504"/>
    </row>
    <row r="118" spans="1:17" ht="15" thickTop="1">
      <c r="A118" s="599"/>
      <c r="B118" s="538" t="s">
        <v>2611</v>
      </c>
      <c r="C118" s="3006" t="s">
        <v>3835</v>
      </c>
      <c r="D118" s="583"/>
      <c r="E118" s="583"/>
      <c r="F118" s="583"/>
      <c r="G118" s="583"/>
      <c r="H118" s="583"/>
      <c r="I118" s="583"/>
      <c r="J118" s="583"/>
      <c r="K118" s="584"/>
      <c r="L118" s="585"/>
      <c r="M118" s="586"/>
      <c r="N118" s="1148"/>
      <c r="O118" s="1148"/>
      <c r="P118" s="2621"/>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49"/>
      <c r="O119" s="1149"/>
      <c r="P119" s="2621"/>
      <c r="Q119" s="504"/>
    </row>
    <row r="120" spans="1:17" s="471" customFormat="1" ht="28.5" thickTop="1">
      <c r="A120" s="593"/>
      <c r="B120" s="538" t="s">
        <v>2566</v>
      </c>
      <c r="C120" s="554"/>
      <c r="D120" s="554"/>
      <c r="E120" s="554"/>
      <c r="F120" s="554"/>
      <c r="G120" s="554"/>
      <c r="H120" s="554"/>
      <c r="I120" s="554"/>
      <c r="J120" s="554"/>
      <c r="K120" s="554"/>
      <c r="L120" s="580"/>
      <c r="M120" s="581"/>
      <c r="N120" s="1150"/>
      <c r="O120" s="1150"/>
      <c r="P120" s="2622"/>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2"/>
      <c r="Q121" s="559"/>
    </row>
    <row r="122" spans="1:17" ht="15" thickTop="1">
      <c r="A122" s="599"/>
      <c r="B122" s="538" t="s">
        <v>2612</v>
      </c>
      <c r="C122" s="3005" t="s">
        <v>3837</v>
      </c>
      <c r="D122" s="3005" t="s">
        <v>3838</v>
      </c>
      <c r="E122" s="3005" t="s">
        <v>3840</v>
      </c>
      <c r="F122" s="583"/>
      <c r="G122" s="583"/>
      <c r="H122" s="583"/>
      <c r="I122" s="583"/>
      <c r="J122" s="583"/>
      <c r="K122" s="584"/>
      <c r="L122" s="585"/>
      <c r="M122" s="586"/>
      <c r="N122" s="1148"/>
      <c r="O122" s="1148"/>
      <c r="P122" s="2621"/>
      <c r="Q122" s="504"/>
    </row>
    <row r="123" spans="1:17" ht="15.75" thickBot="1">
      <c r="A123" s="534"/>
      <c r="B123" s="543"/>
      <c r="C123" s="544">
        <v>100</v>
      </c>
      <c r="D123" s="544">
        <f t="shared" ref="D123:M123" si="33">C123-$K42</f>
        <v>95</v>
      </c>
      <c r="E123" s="544">
        <f t="shared" si="33"/>
        <v>90</v>
      </c>
      <c r="F123" s="544">
        <f t="shared" si="33"/>
        <v>85</v>
      </c>
      <c r="G123" s="544">
        <f t="shared" si="33"/>
        <v>80</v>
      </c>
      <c r="H123" s="544">
        <f t="shared" si="33"/>
        <v>75</v>
      </c>
      <c r="I123" s="544">
        <f t="shared" si="33"/>
        <v>70</v>
      </c>
      <c r="J123" s="544">
        <f t="shared" si="33"/>
        <v>65</v>
      </c>
      <c r="K123" s="544">
        <f t="shared" si="33"/>
        <v>60</v>
      </c>
      <c r="L123" s="544">
        <f t="shared" si="33"/>
        <v>55</v>
      </c>
      <c r="M123" s="544">
        <f t="shared" si="33"/>
        <v>50</v>
      </c>
      <c r="N123" s="1149"/>
      <c r="O123" s="1149"/>
      <c r="P123" s="2621"/>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48"/>
      <c r="O124" s="1148"/>
      <c r="P124" s="262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1"/>
      <c r="Q125" s="504"/>
    </row>
    <row r="126" spans="1:17" s="471" customFormat="1" ht="15" thickTop="1">
      <c r="A126" s="593"/>
      <c r="B126" s="538">
        <f>B44</f>
        <v>0</v>
      </c>
      <c r="C126" s="554"/>
      <c r="D126" s="554"/>
      <c r="E126" s="554"/>
      <c r="F126" s="554"/>
      <c r="G126" s="554"/>
      <c r="H126" s="555"/>
      <c r="I126" s="555"/>
      <c r="J126" s="555"/>
      <c r="K126" s="555"/>
      <c r="L126" s="556"/>
      <c r="M126" s="557"/>
      <c r="N126" s="1150"/>
      <c r="O126" s="1150"/>
      <c r="P126" s="2622"/>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2"/>
      <c r="Q127" s="559"/>
    </row>
    <row r="128" spans="1:17" ht="15" thickTop="1">
      <c r="A128" s="599"/>
      <c r="B128" s="538">
        <f>B45</f>
        <v>0</v>
      </c>
      <c r="C128" s="554"/>
      <c r="D128" s="554"/>
      <c r="E128" s="554"/>
      <c r="F128" s="554"/>
      <c r="G128" s="583"/>
      <c r="H128" s="583"/>
      <c r="I128" s="583"/>
      <c r="J128" s="583"/>
      <c r="K128" s="584"/>
      <c r="L128" s="585"/>
      <c r="M128" s="586"/>
      <c r="N128" s="1148"/>
      <c r="O128" s="1148"/>
      <c r="P128" s="2621"/>
      <c r="Q128" s="504"/>
    </row>
    <row r="129" spans="1:17" ht="15.75" thickBot="1">
      <c r="A129" s="534"/>
      <c r="B129" s="543"/>
      <c r="C129" s="560"/>
      <c r="D129" s="560"/>
      <c r="E129" s="560"/>
      <c r="F129" s="560"/>
      <c r="G129" s="536"/>
      <c r="H129" s="536"/>
      <c r="I129" s="536"/>
      <c r="J129" s="536"/>
      <c r="K129" s="536"/>
      <c r="L129" s="536"/>
      <c r="M129" s="537"/>
      <c r="N129" s="1149"/>
      <c r="O129" s="1149"/>
      <c r="P129" s="2621"/>
      <c r="Q129" s="504"/>
    </row>
    <row r="130" spans="1:17" ht="15" thickTop="1">
      <c r="A130" s="599"/>
      <c r="B130" s="546">
        <f>B46</f>
        <v>0</v>
      </c>
      <c r="C130" s="554"/>
      <c r="D130" s="554"/>
      <c r="E130" s="554"/>
      <c r="F130" s="554"/>
      <c r="G130" s="587"/>
      <c r="H130" s="587"/>
      <c r="I130" s="587"/>
      <c r="J130" s="587"/>
      <c r="K130" s="523"/>
      <c r="L130" s="524"/>
      <c r="M130" s="590"/>
      <c r="N130" s="1148"/>
      <c r="O130" s="1148"/>
      <c r="P130" s="2621"/>
      <c r="Q130" s="504"/>
    </row>
    <row r="131" spans="1:17" ht="15.75" thickBot="1">
      <c r="A131" s="2627"/>
      <c r="B131" s="569"/>
      <c r="C131" s="570"/>
      <c r="D131" s="570"/>
      <c r="E131" s="570"/>
      <c r="F131" s="570"/>
      <c r="G131" s="591"/>
      <c r="H131" s="591"/>
      <c r="I131" s="591"/>
      <c r="J131" s="591"/>
      <c r="K131" s="591"/>
      <c r="L131" s="591"/>
      <c r="M131" s="592"/>
      <c r="N131" s="1149"/>
      <c r="O131" s="1149"/>
      <c r="P131" s="2621"/>
      <c r="Q131" s="504"/>
    </row>
    <row r="136" spans="1:17" ht="15" thickBot="1">
      <c r="B136" s="2628" t="s">
        <v>2614</v>
      </c>
    </row>
    <row r="137" spans="1:17" ht="15">
      <c r="B137" s="2629" t="s">
        <v>2615</v>
      </c>
      <c r="C137" s="2630"/>
      <c r="D137" s="2630"/>
      <c r="E137" s="2630"/>
      <c r="F137" s="2630"/>
      <c r="G137" s="2631"/>
      <c r="H137" s="2632"/>
      <c r="I137" s="2633" t="s">
        <v>2616</v>
      </c>
      <c r="J137" s="2630"/>
      <c r="K137" s="2634"/>
    </row>
    <row r="138" spans="1:17" ht="15">
      <c r="B138" s="2635"/>
      <c r="C138" s="146" t="s">
        <v>2617</v>
      </c>
      <c r="D138" s="146" t="s">
        <v>2618</v>
      </c>
      <c r="E138" s="2636" t="s">
        <v>2619</v>
      </c>
      <c r="F138" s="2637" t="s">
        <v>2620</v>
      </c>
      <c r="G138" s="146" t="s">
        <v>2618</v>
      </c>
      <c r="H138" s="147" t="s">
        <v>2619</v>
      </c>
      <c r="I138" s="2638"/>
      <c r="J138" s="146" t="s">
        <v>2621</v>
      </c>
      <c r="K138" s="147" t="s">
        <v>2622</v>
      </c>
    </row>
    <row r="139" spans="1:17" ht="15">
      <c r="B139" s="1080">
        <v>6</v>
      </c>
      <c r="C139" s="1081">
        <v>96</v>
      </c>
      <c r="D139" s="2639" t="s">
        <v>2623</v>
      </c>
      <c r="E139" s="1082">
        <v>100</v>
      </c>
      <c r="F139" s="1083">
        <v>102.5</v>
      </c>
      <c r="G139" s="2639" t="s">
        <v>2623</v>
      </c>
      <c r="H139" s="1084">
        <v>105</v>
      </c>
      <c r="I139" s="2640" t="s">
        <v>2624</v>
      </c>
      <c r="J139" s="1081">
        <v>20</v>
      </c>
      <c r="K139" s="1085">
        <f>C145/(J139-2)</f>
        <v>4.0555555555555553E-3</v>
      </c>
    </row>
    <row r="140" spans="1:17" ht="15">
      <c r="B140" s="1086">
        <v>5</v>
      </c>
      <c r="C140" s="1087">
        <v>100</v>
      </c>
      <c r="D140" s="1087"/>
      <c r="E140" s="1088"/>
      <c r="F140" s="1089">
        <v>102</v>
      </c>
      <c r="G140" s="1087"/>
      <c r="H140" s="1090"/>
      <c r="I140" s="2641" t="s">
        <v>2625</v>
      </c>
      <c r="J140" s="315">
        <f>ROUNDUP((J139-1)/2,0)</f>
        <v>10</v>
      </c>
      <c r="K140" s="1091">
        <v>100</v>
      </c>
    </row>
    <row r="141" spans="1:17" ht="15">
      <c r="B141" s="1086">
        <v>4</v>
      </c>
      <c r="C141" s="1087">
        <v>102</v>
      </c>
      <c r="D141" s="1087"/>
      <c r="E141" s="1088"/>
      <c r="F141" s="1089">
        <v>101.5</v>
      </c>
      <c r="G141" s="1087"/>
      <c r="H141" s="1090"/>
      <c r="I141" s="2641" t="s">
        <v>2626</v>
      </c>
      <c r="J141" s="315">
        <v>1</v>
      </c>
      <c r="K141" s="1092">
        <f>ROUND(100+(J141-J140)*K139*100,1)</f>
        <v>96.4</v>
      </c>
    </row>
    <row r="142" spans="1:17" ht="15">
      <c r="B142" s="1086">
        <v>3</v>
      </c>
      <c r="C142" s="1087">
        <v>103</v>
      </c>
      <c r="D142" s="1087"/>
      <c r="E142" s="1088"/>
      <c r="F142" s="1089">
        <v>101</v>
      </c>
      <c r="G142" s="1087"/>
      <c r="H142" s="1090"/>
      <c r="I142" s="2641" t="s">
        <v>2627</v>
      </c>
      <c r="J142" s="315">
        <f>J139</f>
        <v>20</v>
      </c>
      <c r="K142" s="1093">
        <v>95</v>
      </c>
    </row>
    <row r="143" spans="1:17" ht="15">
      <c r="B143" s="1086">
        <v>2</v>
      </c>
      <c r="C143" s="1087">
        <v>100</v>
      </c>
      <c r="D143" s="1087"/>
      <c r="E143" s="1088"/>
      <c r="F143" s="1089">
        <v>100.5</v>
      </c>
      <c r="G143" s="1087"/>
      <c r="H143" s="1090"/>
      <c r="I143" s="2641" t="s">
        <v>2628</v>
      </c>
      <c r="J143" s="1087">
        <v>15</v>
      </c>
      <c r="K143" s="1092">
        <f>ROUND(100+(J143-J140)*K139*100,1)</f>
        <v>102</v>
      </c>
    </row>
    <row r="144" spans="1:17" ht="15">
      <c r="B144" s="1086">
        <v>1</v>
      </c>
      <c r="C144" s="1087">
        <v>98</v>
      </c>
      <c r="D144" s="2642" t="s">
        <v>2629</v>
      </c>
      <c r="E144" s="1088">
        <v>102</v>
      </c>
      <c r="F144" s="1094">
        <v>100</v>
      </c>
      <c r="G144" s="2642" t="s">
        <v>2629</v>
      </c>
      <c r="H144" s="1090">
        <v>105</v>
      </c>
      <c r="I144" s="2641" t="s">
        <v>2628</v>
      </c>
      <c r="J144" s="1087">
        <v>18</v>
      </c>
      <c r="K144" s="1092">
        <f>ROUND(100+(J144-J140)*K139*100,1)</f>
        <v>103.2</v>
      </c>
    </row>
    <row r="145" spans="2:11" ht="15.75" thickBot="1">
      <c r="B145" s="2643" t="s">
        <v>2630</v>
      </c>
      <c r="C145" s="1095">
        <f>ROUND(MAX(C139:C144)/MIN(C139:C144)-1,3)</f>
        <v>7.2999999999999995E-2</v>
      </c>
      <c r="D145" s="1096"/>
      <c r="E145" s="1096"/>
      <c r="F145" s="2644" t="s">
        <v>2631</v>
      </c>
      <c r="G145" s="2645"/>
      <c r="H145" s="2646"/>
      <c r="I145" s="2647" t="s">
        <v>2628</v>
      </c>
      <c r="J145" s="1097">
        <v>8</v>
      </c>
      <c r="K145" s="1098">
        <f>ROUND(100+(J145-J140)*K139*100,1)</f>
        <v>99.2</v>
      </c>
    </row>
    <row r="147" spans="2:11">
      <c r="B147" s="2628" t="s">
        <v>2632</v>
      </c>
    </row>
    <row r="148" spans="2:11">
      <c r="B148" s="2628"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5" zoomScale="90" zoomScaleNormal="90" workbookViewId="0">
      <selection activeCell="E5" sqref="E5:J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2520</v>
      </c>
      <c r="B1" s="2575" t="s">
        <v>2521</v>
      </c>
      <c r="C1" s="1629" t="s">
        <v>2522</v>
      </c>
      <c r="D1" s="1616" t="s">
        <v>3061</v>
      </c>
      <c r="E1" s="2576"/>
      <c r="F1" s="2577" t="s">
        <v>2523</v>
      </c>
      <c r="G1" s="1626" t="s">
        <v>2524</v>
      </c>
      <c r="H1" s="1625"/>
      <c r="I1" s="1625"/>
      <c r="J1" s="1625"/>
      <c r="K1" s="1627"/>
      <c r="L1" s="1628"/>
      <c r="M1" s="1629"/>
      <c r="N1" s="1629"/>
      <c r="O1" s="1629"/>
      <c r="P1" s="2578"/>
      <c r="Q1" s="1615"/>
      <c r="R1" s="1615"/>
      <c r="S1" s="1615"/>
      <c r="T1" s="1615"/>
      <c r="U1" s="1615"/>
      <c r="V1" s="1615"/>
      <c r="W1" s="1615"/>
      <c r="X1" s="1615"/>
      <c r="Y1" s="1615"/>
      <c r="Z1" s="1615"/>
      <c r="AA1" s="1615"/>
      <c r="AB1" s="1615"/>
      <c r="AC1" s="1623"/>
    </row>
    <row r="2" spans="1:29" s="393" customFormat="1" ht="28.5" customHeight="1" thickTop="1">
      <c r="A2" s="1612" t="s">
        <v>1389</v>
      </c>
      <c r="B2" s="1414">
        <f>IF(C2="——",ROUND(C49*D3/10000,0),ROUND(C49*D3/10000,0)-D2)</f>
        <v>152239</v>
      </c>
      <c r="C2" s="2579" t="s">
        <v>70</v>
      </c>
      <c r="D2" s="1361" t="e">
        <f ca="1">SUMIF(INDIRECT("'"&amp;F2&amp;"'"&amp;"!A:A"),"承租人权益价值",INDIRECT("'"&amp;F2&amp;"'"&amp;"!c:c"))</f>
        <v>#REF!</v>
      </c>
      <c r="E2" s="2580" t="s">
        <v>2323</v>
      </c>
      <c r="F2" s="2581"/>
      <c r="G2" s="1120"/>
      <c r="H2" s="1120"/>
      <c r="I2" s="1120"/>
      <c r="J2" s="1120"/>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1390</v>
      </c>
      <c r="B3" s="399">
        <f>IF(C2="——",C49,ROUND(B2*10000/D3,0))</f>
        <v>16620</v>
      </c>
      <c r="C3" s="400" t="s">
        <v>2526</v>
      </c>
      <c r="D3" s="399">
        <f>IF(D1="",'数据-汇总表'!E3,SUMIF('数据-汇总表'!$C19:$C33,D1,'数据-汇总表'!$E19:$E33))</f>
        <v>91600</v>
      </c>
      <c r="E3" s="1120"/>
      <c r="F3" s="2588"/>
      <c r="G3" s="1120"/>
      <c r="H3" s="1120"/>
      <c r="I3" s="1120"/>
      <c r="J3" s="1120"/>
      <c r="K3" s="2582"/>
      <c r="L3" s="2583"/>
      <c r="M3" s="2584"/>
      <c r="N3" s="2584"/>
      <c r="O3" s="2584"/>
      <c r="P3" s="2585"/>
      <c r="Q3" s="2586"/>
      <c r="R3" s="2586"/>
      <c r="S3" s="2586"/>
      <c r="T3" s="2586"/>
      <c r="U3" s="2586"/>
      <c r="V3" s="2586"/>
      <c r="W3" s="2586"/>
      <c r="X3" s="2586"/>
      <c r="Y3" s="2586"/>
      <c r="Z3" s="2586"/>
      <c r="AA3" s="2586"/>
      <c r="AB3" s="2586"/>
      <c r="AC3" s="1278"/>
    </row>
    <row r="4" spans="1:29" ht="15">
      <c r="A4" s="401" t="s">
        <v>2527</v>
      </c>
      <c r="B4" s="402"/>
      <c r="C4" s="3292" t="s">
        <v>2528</v>
      </c>
      <c r="D4" s="3293"/>
      <c r="E4" s="3294" t="s">
        <v>2529</v>
      </c>
      <c r="F4" s="3295"/>
      <c r="G4" s="3292" t="s">
        <v>2530</v>
      </c>
      <c r="H4" s="3293"/>
      <c r="I4" s="3292" t="s">
        <v>2531</v>
      </c>
      <c r="J4" s="3293"/>
      <c r="K4" s="2589" t="s">
        <v>2532</v>
      </c>
      <c r="L4" s="1126"/>
      <c r="M4" s="1127"/>
      <c r="N4" s="1127"/>
      <c r="O4" s="1127"/>
      <c r="P4" s="3296" t="s">
        <v>2533</v>
      </c>
      <c r="Q4" s="3297"/>
      <c r="R4" s="3279" t="s">
        <v>2529</v>
      </c>
      <c r="S4" s="3280"/>
      <c r="T4" s="3279" t="s">
        <v>2530</v>
      </c>
      <c r="U4" s="3280"/>
      <c r="V4" s="3304" t="s">
        <v>2531</v>
      </c>
      <c r="W4" s="3304"/>
      <c r="X4" s="2999"/>
      <c r="Y4" s="3279" t="s">
        <v>2533</v>
      </c>
      <c r="Z4" s="3280"/>
      <c r="AA4" s="3274" t="s">
        <v>2529</v>
      </c>
      <c r="AB4" s="3274" t="s">
        <v>2530</v>
      </c>
      <c r="AC4" s="3274" t="s">
        <v>2531</v>
      </c>
    </row>
    <row r="5" spans="1:29" ht="15">
      <c r="A5" s="404"/>
      <c r="B5" s="405"/>
      <c r="C5" s="3285" t="s">
        <v>2534</v>
      </c>
      <c r="D5" s="3286"/>
      <c r="E5" s="3321" t="s">
        <v>3844</v>
      </c>
      <c r="F5" s="3284"/>
      <c r="G5" s="3322" t="s">
        <v>3845</v>
      </c>
      <c r="H5" s="3286"/>
      <c r="I5" s="3322" t="s">
        <v>3848</v>
      </c>
      <c r="J5" s="3286"/>
      <c r="K5" s="2590"/>
      <c r="L5" s="1126"/>
      <c r="M5" s="1127"/>
      <c r="N5" s="1127"/>
      <c r="O5" s="1127"/>
      <c r="P5" s="3298"/>
      <c r="Q5" s="3299"/>
      <c r="R5" s="3281"/>
      <c r="S5" s="3282"/>
      <c r="T5" s="3281"/>
      <c r="U5" s="3282"/>
      <c r="V5" s="3304"/>
      <c r="W5" s="3304"/>
      <c r="X5" s="2999"/>
      <c r="Y5" s="3281"/>
      <c r="Z5" s="3282"/>
      <c r="AA5" s="3275"/>
      <c r="AB5" s="3275"/>
      <c r="AC5" s="3275"/>
    </row>
    <row r="6" spans="1:29" ht="15.75" thickBot="1">
      <c r="A6" s="406"/>
      <c r="B6" s="407"/>
      <c r="C6" s="3287" t="s">
        <v>2538</v>
      </c>
      <c r="D6" s="3288"/>
      <c r="E6" s="3289" t="s">
        <v>2538</v>
      </c>
      <c r="F6" s="3290"/>
      <c r="G6" s="3287" t="s">
        <v>2538</v>
      </c>
      <c r="H6" s="3288"/>
      <c r="I6" s="3323" t="s">
        <v>3843</v>
      </c>
      <c r="J6" s="3288"/>
      <c r="K6" s="2590" t="s">
        <v>2539</v>
      </c>
      <c r="L6" s="1126"/>
      <c r="M6" s="1127"/>
      <c r="N6" s="1127"/>
      <c r="O6" s="1127"/>
      <c r="P6" s="3300"/>
      <c r="Q6" s="3301"/>
      <c r="R6" s="3281"/>
      <c r="S6" s="3282"/>
      <c r="T6" s="3302"/>
      <c r="U6" s="3303"/>
      <c r="V6" s="3304"/>
      <c r="W6" s="3304"/>
      <c r="X6" s="2999"/>
      <c r="Y6" s="3302"/>
      <c r="Z6" s="3303"/>
      <c r="AA6" s="3276"/>
      <c r="AB6" s="3276"/>
      <c r="AC6" s="3276"/>
    </row>
    <row r="7" spans="1:29" s="117" customFormat="1" ht="15.75" thickBot="1">
      <c r="A7" s="408" t="s">
        <v>2540</v>
      </c>
      <c r="B7" s="409"/>
      <c r="C7" s="410">
        <f>'数据-取费表'!B2</f>
        <v>43796</v>
      </c>
      <c r="D7" s="411">
        <v>100</v>
      </c>
      <c r="E7" s="412">
        <v>43770</v>
      </c>
      <c r="F7" s="413">
        <f>SUMIF(58:58,YEAR(E7)&amp;"-"&amp;MONTH(E7),59:59)</f>
        <v>100</v>
      </c>
      <c r="G7" s="412">
        <f>E7</f>
        <v>43770</v>
      </c>
      <c r="H7" s="411">
        <f>SUMIF(58:58,YEAR(G7)&amp;"-"&amp;MONTH(G7),59:59)</f>
        <v>100</v>
      </c>
      <c r="I7" s="412">
        <f>E7</f>
        <v>43770</v>
      </c>
      <c r="J7" s="411">
        <f>SUMIF(58:58,YEAR(I7)&amp;"-"&amp;MONTH(I7),59:59)</f>
        <v>100</v>
      </c>
      <c r="K7" s="2591"/>
      <c r="L7" s="1128"/>
      <c r="M7" s="1129"/>
      <c r="N7" s="1129"/>
      <c r="O7" s="1129"/>
      <c r="P7" s="3277" t="s">
        <v>2541</v>
      </c>
      <c r="Q7" s="3305"/>
      <c r="R7" s="768" t="s">
        <v>23</v>
      </c>
      <c r="S7" s="769">
        <f t="shared" ref="S7:S15" si="0">F7</f>
        <v>100</v>
      </c>
      <c r="T7" s="768" t="s">
        <v>23</v>
      </c>
      <c r="U7" s="769">
        <f t="shared" ref="U7:U15" si="1">H7</f>
        <v>100</v>
      </c>
      <c r="V7" s="768" t="s">
        <v>23</v>
      </c>
      <c r="W7" s="769">
        <f t="shared" ref="W7:W15" si="2">J7</f>
        <v>100</v>
      </c>
      <c r="X7" s="770"/>
      <c r="Y7" s="3277" t="s">
        <v>2541</v>
      </c>
      <c r="Z7" s="3278"/>
      <c r="AA7" s="771">
        <f>D7/F7</f>
        <v>1</v>
      </c>
      <c r="AB7" s="771">
        <f>D7/H7</f>
        <v>1</v>
      </c>
      <c r="AC7" s="771">
        <f>D7/J7</f>
        <v>1</v>
      </c>
    </row>
    <row r="8" spans="1:29" s="117" customFormat="1" ht="15.75" thickBot="1">
      <c r="A8" s="408" t="s">
        <v>2542</v>
      </c>
      <c r="B8" s="409"/>
      <c r="C8" s="414" t="s">
        <v>2543</v>
      </c>
      <c r="D8" s="411">
        <v>100</v>
      </c>
      <c r="E8" s="2592" t="s">
        <v>3605</v>
      </c>
      <c r="F8" s="413">
        <f>SUMIF(61:61,E8,62:62)-SUMIF(61:61,C8,62:62)+100</f>
        <v>100</v>
      </c>
      <c r="G8" s="2592" t="s">
        <v>3605</v>
      </c>
      <c r="H8" s="411">
        <f>SUMIF(61:61,G8,62:62)-SUMIF(61:61,C8,62:62)+100</f>
        <v>100</v>
      </c>
      <c r="I8" s="2592" t="s">
        <v>3605</v>
      </c>
      <c r="J8" s="411">
        <f>SUMIF(61:61,I8,62:62)-SUMIF(61:61,C8,62:62)+100</f>
        <v>100</v>
      </c>
      <c r="K8" s="2591"/>
      <c r="L8" s="1128"/>
      <c r="M8" s="1129"/>
      <c r="N8" s="1129"/>
      <c r="O8" s="1129"/>
      <c r="P8" s="3277" t="s">
        <v>2544</v>
      </c>
      <c r="Q8" s="3278"/>
      <c r="R8" s="768" t="s">
        <v>23</v>
      </c>
      <c r="S8" s="769">
        <f t="shared" si="0"/>
        <v>100</v>
      </c>
      <c r="T8" s="768" t="s">
        <v>23</v>
      </c>
      <c r="U8" s="769">
        <f t="shared" si="1"/>
        <v>100</v>
      </c>
      <c r="V8" s="768" t="s">
        <v>23</v>
      </c>
      <c r="W8" s="769">
        <f t="shared" si="2"/>
        <v>100</v>
      </c>
      <c r="X8" s="770"/>
      <c r="Y8" s="3277" t="s">
        <v>2544</v>
      </c>
      <c r="Z8" s="3278"/>
      <c r="AA8" s="771">
        <f t="shared" ref="AA8:AA19" si="3">D8/F8</f>
        <v>1</v>
      </c>
      <c r="AB8" s="771">
        <f t="shared" ref="AB8:AB19" si="4">D8/H8</f>
        <v>1</v>
      </c>
      <c r="AC8" s="771">
        <f t="shared" ref="AC8:AC19" si="5">D8/J8</f>
        <v>1</v>
      </c>
    </row>
    <row r="9" spans="1:29" s="117" customFormat="1">
      <c r="A9" s="415" t="s">
        <v>2545</v>
      </c>
      <c r="B9" s="71" t="s">
        <v>2546</v>
      </c>
      <c r="C9" s="3004" t="s">
        <v>3847</v>
      </c>
      <c r="D9" s="135">
        <v>100</v>
      </c>
      <c r="E9" s="417" t="s">
        <v>3116</v>
      </c>
      <c r="F9" s="418">
        <f>SUMIF(63:63,E9,64:64)-SUMIF(63:63,C9,64:64)+100</f>
        <v>100</v>
      </c>
      <c r="G9" s="417" t="s">
        <v>3116</v>
      </c>
      <c r="H9" s="135">
        <f>SUMIF(63:63,G9,64:64)-SUMIF(63:63,C9,64:64)+100</f>
        <v>100</v>
      </c>
      <c r="I9" s="417" t="s">
        <v>3116</v>
      </c>
      <c r="J9" s="135">
        <f>SUMIF(63:63,I9,64:64)-SUMIF(63:63,C9,64:64)+100</f>
        <v>100</v>
      </c>
      <c r="K9" s="2591"/>
      <c r="L9" s="1128"/>
      <c r="M9" s="1129"/>
      <c r="N9" s="1129"/>
      <c r="O9" s="1129"/>
      <c r="P9" s="3315" t="s">
        <v>2547</v>
      </c>
      <c r="Q9" s="2996" t="str">
        <f t="shared" ref="Q9:Q15" si="6">B9</f>
        <v>用途</v>
      </c>
      <c r="R9" s="768" t="s">
        <v>17</v>
      </c>
      <c r="S9" s="769">
        <f t="shared" si="0"/>
        <v>100</v>
      </c>
      <c r="T9" s="768" t="s">
        <v>17</v>
      </c>
      <c r="U9" s="769">
        <f t="shared" si="1"/>
        <v>100</v>
      </c>
      <c r="V9" s="768" t="s">
        <v>17</v>
      </c>
      <c r="W9" s="769">
        <f t="shared" si="2"/>
        <v>100</v>
      </c>
      <c r="X9" s="770"/>
      <c r="Y9" s="3136" t="s">
        <v>2548</v>
      </c>
      <c r="Z9" s="2997" t="str">
        <f t="shared" ref="Z9:Z15" si="7">Q9</f>
        <v>用途</v>
      </c>
      <c r="AA9" s="771">
        <f t="shared" si="3"/>
        <v>1</v>
      </c>
      <c r="AB9" s="771">
        <f t="shared" si="4"/>
        <v>1</v>
      </c>
      <c r="AC9" s="771">
        <f t="shared" si="5"/>
        <v>1</v>
      </c>
    </row>
    <row r="10" spans="1:29" s="427" customFormat="1" ht="27">
      <c r="A10" s="421"/>
      <c r="B10" s="2998" t="s">
        <v>2549</v>
      </c>
      <c r="C10" s="423" t="s">
        <v>3846</v>
      </c>
      <c r="D10" s="136">
        <v>100</v>
      </c>
      <c r="E10" s="423" t="s">
        <v>3846</v>
      </c>
      <c r="F10" s="425">
        <f>SUMIF(65:65,E10,66:66)-SUMIF(65:65,C10,66:66)+100</f>
        <v>100</v>
      </c>
      <c r="G10" s="423" t="s">
        <v>3846</v>
      </c>
      <c r="H10" s="136">
        <f>SUMIF(65:65,G10,66:66)-SUMIF(65:65,C10,66:66)+100</f>
        <v>100</v>
      </c>
      <c r="I10" s="423" t="s">
        <v>3846</v>
      </c>
      <c r="J10" s="136">
        <f>SUMIF(65:65,I10,66:66)-SUMIF(65:65,C10,66:66)+100</f>
        <v>100</v>
      </c>
      <c r="K10" s="426">
        <v>2</v>
      </c>
      <c r="L10" s="1131"/>
      <c r="M10" s="1132"/>
      <c r="N10" s="1132"/>
      <c r="O10" s="1132"/>
      <c r="P10" s="3315"/>
      <c r="Q10" s="2996" t="str">
        <f t="shared" si="6"/>
        <v>土地使用年限（年）</v>
      </c>
      <c r="R10" s="768" t="s">
        <v>17</v>
      </c>
      <c r="S10" s="769">
        <f t="shared" si="0"/>
        <v>100</v>
      </c>
      <c r="T10" s="768" t="s">
        <v>17</v>
      </c>
      <c r="U10" s="769">
        <f t="shared" si="1"/>
        <v>100</v>
      </c>
      <c r="V10" s="768" t="s">
        <v>17</v>
      </c>
      <c r="W10" s="769">
        <f t="shared" si="2"/>
        <v>100</v>
      </c>
      <c r="X10" s="770"/>
      <c r="Y10" s="3136"/>
      <c r="Z10" s="2997" t="str">
        <f t="shared" si="7"/>
        <v>土地使用年限（年）</v>
      </c>
      <c r="AA10" s="771">
        <f t="shared" si="3"/>
        <v>1</v>
      </c>
      <c r="AB10" s="771">
        <f t="shared" si="4"/>
        <v>1</v>
      </c>
      <c r="AC10" s="771">
        <f t="shared" si="5"/>
        <v>1</v>
      </c>
    </row>
    <row r="11" spans="1:29" ht="15">
      <c r="A11" s="428"/>
      <c r="B11" s="2998" t="s">
        <v>2550</v>
      </c>
      <c r="C11" s="429">
        <f>'数据-汇总表'!I7</f>
        <v>0</v>
      </c>
      <c r="D11" s="136">
        <v>100</v>
      </c>
      <c r="E11" s="430"/>
      <c r="F11" s="425">
        <f>LOOKUP(E11,68:68,69:69)-LOOKUP(C11,68:68,69:69)+100</f>
        <v>100</v>
      </c>
      <c r="G11" s="429"/>
      <c r="H11" s="136">
        <f>LOOKUP(G11,68:68,69:69)-LOOKUP(C11,68:68,69:69)+100</f>
        <v>100</v>
      </c>
      <c r="I11" s="429"/>
      <c r="J11" s="136">
        <f>LOOKUP(I11,68:68,69:69)-LOOKUP(C11,68:68,69:69)+100</f>
        <v>100</v>
      </c>
      <c r="K11" s="426"/>
      <c r="L11" s="1134"/>
      <c r="M11" s="1127"/>
      <c r="N11" s="1127"/>
      <c r="O11" s="1127"/>
      <c r="P11" s="3315"/>
      <c r="Q11" s="2996" t="str">
        <f t="shared" si="6"/>
        <v>容积率</v>
      </c>
      <c r="R11" s="768" t="s">
        <v>21</v>
      </c>
      <c r="S11" s="769">
        <f t="shared" si="0"/>
        <v>100</v>
      </c>
      <c r="T11" s="768" t="s">
        <v>21</v>
      </c>
      <c r="U11" s="769">
        <f t="shared" si="1"/>
        <v>100</v>
      </c>
      <c r="V11" s="768" t="s">
        <v>21</v>
      </c>
      <c r="W11" s="769">
        <f t="shared" si="2"/>
        <v>100</v>
      </c>
      <c r="X11" s="770"/>
      <c r="Y11" s="3136"/>
      <c r="Z11" s="2997" t="str">
        <f t="shared" si="7"/>
        <v>容积率</v>
      </c>
      <c r="AA11" s="771">
        <f t="shared" si="3"/>
        <v>1</v>
      </c>
      <c r="AB11" s="771">
        <f t="shared" si="4"/>
        <v>1</v>
      </c>
      <c r="AC11" s="771">
        <f t="shared" si="5"/>
        <v>1</v>
      </c>
    </row>
    <row r="12" spans="1:29" s="117" customFormat="1" ht="15">
      <c r="A12" s="431"/>
      <c r="B12" s="2593"/>
      <c r="C12" s="432"/>
      <c r="D12" s="433">
        <v>100</v>
      </c>
      <c r="E12" s="432"/>
      <c r="F12" s="425">
        <f>SUMIF(70:70,E12,71:71)-SUMIF(70:70,C12,71:71)+100</f>
        <v>100</v>
      </c>
      <c r="G12" s="432"/>
      <c r="H12" s="136">
        <f>SUMIF(70:70,G12,71:71)-SUMIF(70:70,C12,71:71)+100</f>
        <v>100</v>
      </c>
      <c r="I12" s="432"/>
      <c r="J12" s="136">
        <f>SUMIF(70:70,I12,71:71)-SUMIF(70:70,C12,71:71)+100</f>
        <v>100</v>
      </c>
      <c r="K12" s="2594"/>
      <c r="L12" s="1128"/>
      <c r="M12" s="1129"/>
      <c r="N12" s="1129"/>
      <c r="O12" s="1129"/>
      <c r="P12" s="3315"/>
      <c r="Q12" s="2996">
        <f t="shared" si="6"/>
        <v>0</v>
      </c>
      <c r="R12" s="768" t="s">
        <v>21</v>
      </c>
      <c r="S12" s="769">
        <f t="shared" si="0"/>
        <v>100</v>
      </c>
      <c r="T12" s="768" t="s">
        <v>21</v>
      </c>
      <c r="U12" s="769">
        <f t="shared" si="1"/>
        <v>100</v>
      </c>
      <c r="V12" s="768" t="s">
        <v>21</v>
      </c>
      <c r="W12" s="769">
        <f t="shared" si="2"/>
        <v>100</v>
      </c>
      <c r="X12" s="770"/>
      <c r="Y12" s="3136"/>
      <c r="Z12" s="2997">
        <f t="shared" si="7"/>
        <v>0</v>
      </c>
      <c r="AA12" s="771">
        <f>D12/F12</f>
        <v>1</v>
      </c>
      <c r="AB12" s="771">
        <f>D12/H12</f>
        <v>1</v>
      </c>
      <c r="AC12" s="771">
        <f>D12/J12</f>
        <v>1</v>
      </c>
    </row>
    <row r="13" spans="1:29" ht="15">
      <c r="A13" s="428"/>
      <c r="B13" s="2593"/>
      <c r="C13" s="434"/>
      <c r="D13" s="435">
        <v>100</v>
      </c>
      <c r="E13" s="434"/>
      <c r="F13" s="425">
        <f>SUMIF(72:72,E13,73:73)-SUMIF(72:72,C13,73:73)+100</f>
        <v>100</v>
      </c>
      <c r="G13" s="434"/>
      <c r="H13" s="435">
        <f>SUMIF(72:72,G13,73:73)-SUMIF(72:72,C13,73:73)+100</f>
        <v>100</v>
      </c>
      <c r="I13" s="434"/>
      <c r="J13" s="435">
        <f>SUMIF(72:72,I13,73:73)-SUMIF(72:72,C13,73:73)+100</f>
        <v>100</v>
      </c>
      <c r="K13" s="2594"/>
      <c r="L13" s="1136"/>
      <c r="M13" s="1127"/>
      <c r="N13" s="1127"/>
      <c r="O13" s="1127"/>
      <c r="P13" s="3315"/>
      <c r="Q13" s="2996">
        <f t="shared" si="6"/>
        <v>0</v>
      </c>
      <c r="R13" s="768" t="s">
        <v>21</v>
      </c>
      <c r="S13" s="769">
        <f t="shared" si="0"/>
        <v>100</v>
      </c>
      <c r="T13" s="768" t="s">
        <v>21</v>
      </c>
      <c r="U13" s="769">
        <f t="shared" si="1"/>
        <v>100</v>
      </c>
      <c r="V13" s="768" t="s">
        <v>21</v>
      </c>
      <c r="W13" s="769">
        <f t="shared" si="2"/>
        <v>100</v>
      </c>
      <c r="X13" s="770"/>
      <c r="Y13" s="3136"/>
      <c r="Z13" s="2997">
        <f t="shared" si="7"/>
        <v>0</v>
      </c>
      <c r="AA13" s="771">
        <f t="shared" si="3"/>
        <v>1</v>
      </c>
      <c r="AB13" s="771">
        <f t="shared" si="4"/>
        <v>1</v>
      </c>
      <c r="AC13" s="771">
        <f t="shared" si="5"/>
        <v>1</v>
      </c>
    </row>
    <row r="14" spans="1:29" ht="15.75" thickBot="1">
      <c r="A14" s="436"/>
      <c r="B14" s="2595"/>
      <c r="C14" s="437"/>
      <c r="D14" s="438">
        <v>100</v>
      </c>
      <c r="E14" s="437"/>
      <c r="F14" s="439">
        <f>SUMIF(74:74,E14,75:75)-SUMIF(74:74,C14,75:75)+100</f>
        <v>100</v>
      </c>
      <c r="G14" s="437"/>
      <c r="H14" s="438">
        <f>SUMIF(74:74,G14,75:75)-SUMIF(74:74,C14,75:75)+100</f>
        <v>100</v>
      </c>
      <c r="I14" s="437"/>
      <c r="J14" s="438">
        <f>SUMIF(74:74,I14,75:75)-SUMIF(74:74,C14,75:75)+100</f>
        <v>100</v>
      </c>
      <c r="K14" s="2594"/>
      <c r="L14" s="1136"/>
      <c r="M14" s="1127"/>
      <c r="N14" s="1127"/>
      <c r="O14" s="1127"/>
      <c r="P14" s="3315"/>
      <c r="Q14" s="2996">
        <f t="shared" si="6"/>
        <v>0</v>
      </c>
      <c r="R14" s="768" t="s">
        <v>21</v>
      </c>
      <c r="S14" s="769">
        <f t="shared" si="0"/>
        <v>100</v>
      </c>
      <c r="T14" s="768" t="s">
        <v>21</v>
      </c>
      <c r="U14" s="769">
        <f t="shared" si="1"/>
        <v>100</v>
      </c>
      <c r="V14" s="768" t="s">
        <v>21</v>
      </c>
      <c r="W14" s="769">
        <f t="shared" si="2"/>
        <v>100</v>
      </c>
      <c r="X14" s="770"/>
      <c r="Y14" s="3136"/>
      <c r="Z14" s="2997">
        <f t="shared" si="7"/>
        <v>0</v>
      </c>
      <c r="AA14" s="771">
        <f t="shared" si="3"/>
        <v>1</v>
      </c>
      <c r="AB14" s="771">
        <f t="shared" si="4"/>
        <v>1</v>
      </c>
      <c r="AC14" s="771">
        <f t="shared" si="5"/>
        <v>1</v>
      </c>
    </row>
    <row r="15" spans="1:29" ht="99.75">
      <c r="A15" s="440" t="s">
        <v>2551</v>
      </c>
      <c r="B15" s="69" t="s">
        <v>2080</v>
      </c>
      <c r="C15" s="259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5</v>
      </c>
      <c r="L15" s="1136"/>
      <c r="M15" s="1127"/>
      <c r="N15" s="1127"/>
      <c r="O15" s="1127"/>
      <c r="P15" s="3330" t="s">
        <v>2552</v>
      </c>
      <c r="Q15" s="3000" t="str">
        <f t="shared" si="6"/>
        <v>居住社区成熟度</v>
      </c>
      <c r="R15" s="772" t="s">
        <v>21</v>
      </c>
      <c r="S15" s="773">
        <f t="shared" si="0"/>
        <v>100</v>
      </c>
      <c r="T15" s="772" t="s">
        <v>21</v>
      </c>
      <c r="U15" s="773">
        <f t="shared" si="1"/>
        <v>100</v>
      </c>
      <c r="V15" s="772" t="s">
        <v>21</v>
      </c>
      <c r="W15" s="773">
        <f t="shared" si="2"/>
        <v>100</v>
      </c>
      <c r="X15" s="2999"/>
      <c r="Y15" s="3306" t="s">
        <v>2552</v>
      </c>
      <c r="Z15" s="3001" t="str">
        <f t="shared" si="7"/>
        <v>居住社区成熟度</v>
      </c>
      <c r="AA15" s="3002">
        <f t="shared" si="3"/>
        <v>1</v>
      </c>
      <c r="AB15" s="3002">
        <f t="shared" si="4"/>
        <v>1</v>
      </c>
      <c r="AC15" s="3002">
        <f t="shared" si="5"/>
        <v>1</v>
      </c>
    </row>
    <row r="16" spans="1:29" ht="15">
      <c r="A16" s="428"/>
      <c r="B16" s="446"/>
      <c r="C16" s="447" t="s">
        <v>3610</v>
      </c>
      <c r="D16" s="448"/>
      <c r="E16" s="2597" t="s">
        <v>3610</v>
      </c>
      <c r="F16" s="448"/>
      <c r="G16" s="2598" t="s">
        <v>3610</v>
      </c>
      <c r="H16" s="450"/>
      <c r="I16" s="2598" t="s">
        <v>3610</v>
      </c>
      <c r="J16" s="448"/>
      <c r="K16" s="2599"/>
      <c r="L16" s="1136"/>
      <c r="M16" s="1127"/>
      <c r="N16" s="1127"/>
      <c r="O16" s="1127"/>
      <c r="P16" s="3331"/>
      <c r="Q16" s="3000"/>
      <c r="R16" s="772"/>
      <c r="S16" s="773"/>
      <c r="T16" s="772"/>
      <c r="U16" s="773"/>
      <c r="V16" s="772"/>
      <c r="W16" s="773"/>
      <c r="X16" s="2999"/>
      <c r="Y16" s="3307"/>
      <c r="Z16" s="3001"/>
      <c r="AA16" s="3002">
        <v>1</v>
      </c>
      <c r="AB16" s="3002">
        <v>1</v>
      </c>
      <c r="AC16" s="3002">
        <v>1</v>
      </c>
    </row>
    <row r="17" spans="1:29" ht="85.5">
      <c r="A17" s="428"/>
      <c r="B17" s="451" t="s">
        <v>2092</v>
      </c>
      <c r="C17" s="2600" t="str">
        <f>估价对象房地状况!C6</f>
        <v>估价对象周边道路状况、公共交通通达情况、停车便捷程度，综合评价交通便捷度较好</v>
      </c>
      <c r="D17" s="450">
        <v>100</v>
      </c>
      <c r="E17" s="454"/>
      <c r="F17" s="450">
        <f>SUMIF(78:78,E18,79:79)-SUMIF(78:78,C18,79:79)+100</f>
        <v>97</v>
      </c>
      <c r="G17" s="452"/>
      <c r="H17" s="455">
        <f>SUMIF(78:78,G18,79:79)-SUMIF(78:78,C18,79:79)+100</f>
        <v>97</v>
      </c>
      <c r="I17" s="452"/>
      <c r="J17" s="455">
        <f>SUMIF(78:78,I18,79:79)-SUMIF(78:78,C18,79:79)+100</f>
        <v>97</v>
      </c>
      <c r="K17" s="445">
        <v>3</v>
      </c>
      <c r="L17" s="1136"/>
      <c r="M17" s="1127"/>
      <c r="N17" s="1127"/>
      <c r="O17" s="1127"/>
      <c r="P17" s="3331"/>
      <c r="Q17" s="3000" t="str">
        <f>B17</f>
        <v>交通便捷度</v>
      </c>
      <c r="R17" s="772" t="s">
        <v>21</v>
      </c>
      <c r="S17" s="773">
        <f>F17</f>
        <v>97</v>
      </c>
      <c r="T17" s="772" t="s">
        <v>21</v>
      </c>
      <c r="U17" s="773">
        <f>H17</f>
        <v>97</v>
      </c>
      <c r="V17" s="772" t="s">
        <v>21</v>
      </c>
      <c r="W17" s="773">
        <f>J17</f>
        <v>97</v>
      </c>
      <c r="X17" s="2999"/>
      <c r="Y17" s="3307"/>
      <c r="Z17" s="3001" t="str">
        <f>Q17</f>
        <v>交通便捷度</v>
      </c>
      <c r="AA17" s="3002">
        <f t="shared" si="3"/>
        <v>1.0309278350515463</v>
      </c>
      <c r="AB17" s="3002">
        <f t="shared" si="4"/>
        <v>1.0309278350515463</v>
      </c>
      <c r="AC17" s="3002">
        <f t="shared" si="5"/>
        <v>1.0309278350515463</v>
      </c>
    </row>
    <row r="18" spans="1:29" ht="15">
      <c r="A18" s="428"/>
      <c r="B18" s="456"/>
      <c r="C18" s="2601" t="s">
        <v>3610</v>
      </c>
      <c r="D18" s="450"/>
      <c r="E18" s="2602" t="s">
        <v>3611</v>
      </c>
      <c r="F18" s="450"/>
      <c r="G18" s="2602" t="s">
        <v>3611</v>
      </c>
      <c r="H18" s="448"/>
      <c r="I18" s="2602" t="s">
        <v>3611</v>
      </c>
      <c r="J18" s="448"/>
      <c r="K18" s="2599"/>
      <c r="L18" s="1136"/>
      <c r="M18" s="1127"/>
      <c r="N18" s="1127"/>
      <c r="O18" s="1127"/>
      <c r="P18" s="3331"/>
      <c r="Q18" s="3000"/>
      <c r="R18" s="772"/>
      <c r="S18" s="773"/>
      <c r="T18" s="772"/>
      <c r="U18" s="773"/>
      <c r="V18" s="772"/>
      <c r="W18" s="773"/>
      <c r="X18" s="2999"/>
      <c r="Y18" s="3307"/>
      <c r="Z18" s="3001"/>
      <c r="AA18" s="3002">
        <v>1</v>
      </c>
      <c r="AB18" s="3002">
        <v>1</v>
      </c>
      <c r="AC18" s="3002">
        <v>1</v>
      </c>
    </row>
    <row r="19" spans="1:29" ht="42.75">
      <c r="A19" s="428"/>
      <c r="B19" s="451" t="s">
        <v>2090</v>
      </c>
      <c r="C19" s="2600" t="str">
        <f>估价对象房地状况!C7</f>
        <v>估价对象所在区域公共配套设施齐备情况</v>
      </c>
      <c r="D19" s="455">
        <v>100</v>
      </c>
      <c r="E19" s="459"/>
      <c r="F19" s="455">
        <f>SUMIF(80:80,E20,81:81)-SUMIF(80:80,C20,81:81)+100</f>
        <v>100</v>
      </c>
      <c r="G19" s="459"/>
      <c r="H19" s="450">
        <f>SUMIF(80:80,G20,81:81)-SUMIF(80:80,C20,81:81)+100</f>
        <v>100</v>
      </c>
      <c r="I19" s="459"/>
      <c r="J19" s="450">
        <f>SUMIF(80:80,I20,81:81)-SUMIF(80:80,C20,81:81)+100</f>
        <v>100</v>
      </c>
      <c r="K19" s="445">
        <v>5</v>
      </c>
      <c r="L19" s="1136"/>
      <c r="M19" s="1127"/>
      <c r="N19" s="1127"/>
      <c r="O19" s="1127"/>
      <c r="P19" s="3331"/>
      <c r="Q19" s="3000" t="str">
        <f>B19</f>
        <v>公共配套设施</v>
      </c>
      <c r="R19" s="772" t="s">
        <v>21</v>
      </c>
      <c r="S19" s="773">
        <f>F19</f>
        <v>100</v>
      </c>
      <c r="T19" s="772" t="s">
        <v>21</v>
      </c>
      <c r="U19" s="773">
        <f>H19</f>
        <v>100</v>
      </c>
      <c r="V19" s="772" t="s">
        <v>21</v>
      </c>
      <c r="W19" s="773">
        <f>J19</f>
        <v>100</v>
      </c>
      <c r="X19" s="2999"/>
      <c r="Y19" s="3307"/>
      <c r="Z19" s="3001" t="str">
        <f>Q19</f>
        <v>公共配套设施</v>
      </c>
      <c r="AA19" s="3002">
        <f t="shared" si="3"/>
        <v>1</v>
      </c>
      <c r="AB19" s="3002">
        <f t="shared" si="4"/>
        <v>1</v>
      </c>
      <c r="AC19" s="3002">
        <f t="shared" si="5"/>
        <v>1</v>
      </c>
    </row>
    <row r="20" spans="1:29" ht="15">
      <c r="A20" s="428"/>
      <c r="B20" s="456"/>
      <c r="C20" s="447" t="s">
        <v>3610</v>
      </c>
      <c r="D20" s="448"/>
      <c r="E20" s="2597" t="s">
        <v>3610</v>
      </c>
      <c r="F20" s="448"/>
      <c r="G20" s="2597" t="s">
        <v>3610</v>
      </c>
      <c r="H20" s="448"/>
      <c r="I20" s="2597" t="s">
        <v>3610</v>
      </c>
      <c r="J20" s="448"/>
      <c r="K20" s="2599"/>
      <c r="L20" s="1136"/>
      <c r="M20" s="1127"/>
      <c r="N20" s="1127"/>
      <c r="O20" s="1127"/>
      <c r="P20" s="3331"/>
      <c r="Q20" s="3000"/>
      <c r="R20" s="772"/>
      <c r="S20" s="773"/>
      <c r="T20" s="772"/>
      <c r="U20" s="773"/>
      <c r="V20" s="772"/>
      <c r="W20" s="773"/>
      <c r="X20" s="2999"/>
      <c r="Y20" s="3307"/>
      <c r="Z20" s="3001"/>
      <c r="AA20" s="3002">
        <v>1</v>
      </c>
      <c r="AB20" s="3002">
        <v>1</v>
      </c>
      <c r="AC20" s="3002">
        <v>1</v>
      </c>
    </row>
    <row r="21" spans="1:29" ht="28.5">
      <c r="A21" s="428"/>
      <c r="B21" s="1380" t="s">
        <v>2093</v>
      </c>
      <c r="C21" s="2600" t="str">
        <f>估价对象房地状况!C8</f>
        <v>估价对象所在区域基础设施水平</v>
      </c>
      <c r="D21" s="450">
        <v>100</v>
      </c>
      <c r="E21" s="459"/>
      <c r="F21" s="455">
        <f>SUMIF(82:82,E22,83:83)-SUMIF(82:82,C22,83:83)+100</f>
        <v>100</v>
      </c>
      <c r="G21" s="459"/>
      <c r="H21" s="450">
        <f>SUMIF(82:82,G22,83:83)-SUMIF(82:82,C22,83:83)+100</f>
        <v>100</v>
      </c>
      <c r="I21" s="459"/>
      <c r="J21" s="450">
        <f>SUMIF(82:82,I22,83:83)-SUMIF(82:82,C22,83:83)+100</f>
        <v>100</v>
      </c>
      <c r="K21" s="445">
        <v>3</v>
      </c>
      <c r="L21" s="1136"/>
      <c r="M21" s="1127"/>
      <c r="N21" s="1127"/>
      <c r="O21" s="1127"/>
      <c r="P21" s="3331"/>
      <c r="Q21" s="3000" t="str">
        <f>B21</f>
        <v>基础设施水平</v>
      </c>
      <c r="R21" s="772" t="s">
        <v>17</v>
      </c>
      <c r="S21" s="773">
        <f>F21</f>
        <v>100</v>
      </c>
      <c r="T21" s="772" t="s">
        <v>17</v>
      </c>
      <c r="U21" s="773">
        <f>H21</f>
        <v>100</v>
      </c>
      <c r="V21" s="772" t="s">
        <v>17</v>
      </c>
      <c r="W21" s="773">
        <f>J21</f>
        <v>100</v>
      </c>
      <c r="X21" s="2999"/>
      <c r="Y21" s="3307"/>
      <c r="Z21" s="3001" t="str">
        <f>Q21</f>
        <v>基础设施水平</v>
      </c>
      <c r="AA21" s="3002">
        <f t="shared" ref="AA21" si="8">D21/F21</f>
        <v>1</v>
      </c>
      <c r="AB21" s="3002">
        <f t="shared" ref="AB21" si="9">D21/H21</f>
        <v>1</v>
      </c>
      <c r="AC21" s="3002">
        <f t="shared" ref="AC21" si="10">D21/J21</f>
        <v>1</v>
      </c>
    </row>
    <row r="22" spans="1:29" ht="15">
      <c r="A22" s="428"/>
      <c r="B22" s="1380"/>
      <c r="C22" s="2601" t="s">
        <v>3824</v>
      </c>
      <c r="D22" s="448"/>
      <c r="E22" s="447" t="s">
        <v>3824</v>
      </c>
      <c r="F22" s="448"/>
      <c r="G22" s="447" t="s">
        <v>3824</v>
      </c>
      <c r="H22" s="448"/>
      <c r="I22" s="447" t="s">
        <v>3824</v>
      </c>
      <c r="J22" s="448"/>
      <c r="K22" s="2605"/>
      <c r="L22" s="1136"/>
      <c r="M22" s="1127"/>
      <c r="N22" s="1127"/>
      <c r="O22" s="1127"/>
      <c r="P22" s="3331"/>
      <c r="Q22" s="3000"/>
      <c r="R22" s="772"/>
      <c r="S22" s="773"/>
      <c r="T22" s="772"/>
      <c r="U22" s="773"/>
      <c r="V22" s="772"/>
      <c r="W22" s="773"/>
      <c r="X22" s="2999"/>
      <c r="Y22" s="3307"/>
      <c r="Z22" s="3001"/>
      <c r="AA22" s="3002">
        <v>1</v>
      </c>
      <c r="AB22" s="3002">
        <v>1</v>
      </c>
      <c r="AC22" s="3002">
        <v>1</v>
      </c>
    </row>
    <row r="23" spans="1:29" ht="57">
      <c r="A23" s="428"/>
      <c r="B23" s="451" t="s">
        <v>2097</v>
      </c>
      <c r="C23" s="2600" t="str">
        <f>估价对象房地状况!C9</f>
        <v>区域自然环境：；人文环境；综合评价环境状况一般</v>
      </c>
      <c r="D23" s="450">
        <v>100</v>
      </c>
      <c r="E23" s="454"/>
      <c r="F23" s="450">
        <f>SUMIF(84:84,E24,85:85)-SUMIF(84:84,C24,85:85)+100</f>
        <v>100</v>
      </c>
      <c r="G23" s="454"/>
      <c r="H23" s="450">
        <f>SUMIF(84:84,G24,85:85)-SUMIF(84:84,C24,85:85)+100</f>
        <v>100</v>
      </c>
      <c r="I23" s="454"/>
      <c r="J23" s="450">
        <f>SUMIF(84:84,I24,85:85)-SUMIF(84:84,C24,85:85)+100</f>
        <v>100</v>
      </c>
      <c r="K23" s="445">
        <v>3</v>
      </c>
      <c r="L23" s="1136"/>
      <c r="M23" s="1127"/>
      <c r="N23" s="1127"/>
      <c r="O23" s="1127"/>
      <c r="P23" s="3331"/>
      <c r="Q23" s="3000" t="str">
        <f>B23</f>
        <v>自然及人文环境</v>
      </c>
      <c r="R23" s="772" t="s">
        <v>21</v>
      </c>
      <c r="S23" s="773">
        <f>F23</f>
        <v>100</v>
      </c>
      <c r="T23" s="772" t="s">
        <v>21</v>
      </c>
      <c r="U23" s="773">
        <f>H23</f>
        <v>100</v>
      </c>
      <c r="V23" s="772" t="s">
        <v>21</v>
      </c>
      <c r="W23" s="773">
        <f>J23</f>
        <v>100</v>
      </c>
      <c r="X23" s="2999"/>
      <c r="Y23" s="3307"/>
      <c r="Z23" s="3001" t="str">
        <f>Q23</f>
        <v>自然及人文环境</v>
      </c>
      <c r="AA23" s="3002">
        <f>D23/F23</f>
        <v>1</v>
      </c>
      <c r="AB23" s="3002">
        <f>D23/H23</f>
        <v>1</v>
      </c>
      <c r="AC23" s="3002">
        <f>D23/J23</f>
        <v>1</v>
      </c>
    </row>
    <row r="24" spans="1:29" ht="15">
      <c r="A24" s="428"/>
      <c r="B24" s="456"/>
      <c r="C24" s="447" t="s">
        <v>3610</v>
      </c>
      <c r="D24" s="448"/>
      <c r="E24" s="2597" t="s">
        <v>3610</v>
      </c>
      <c r="F24" s="448"/>
      <c r="G24" s="2597" t="s">
        <v>3610</v>
      </c>
      <c r="H24" s="448"/>
      <c r="I24" s="2597" t="s">
        <v>3610</v>
      </c>
      <c r="J24" s="448"/>
      <c r="K24" s="2599"/>
      <c r="L24" s="1136"/>
      <c r="M24" s="1127"/>
      <c r="N24" s="1127"/>
      <c r="O24" s="1127"/>
      <c r="P24" s="3331"/>
      <c r="Q24" s="3000"/>
      <c r="R24" s="772"/>
      <c r="S24" s="773"/>
      <c r="T24" s="772"/>
      <c r="U24" s="773"/>
      <c r="V24" s="772"/>
      <c r="W24" s="773"/>
      <c r="X24" s="2999"/>
      <c r="Y24" s="3307"/>
      <c r="Z24" s="3001"/>
      <c r="AA24" s="3002">
        <v>1</v>
      </c>
      <c r="AB24" s="3002">
        <v>1</v>
      </c>
      <c r="AC24" s="3002">
        <v>1</v>
      </c>
    </row>
    <row r="25" spans="1:29" ht="15">
      <c r="A25" s="428"/>
      <c r="B25" s="2998" t="s">
        <v>2553</v>
      </c>
      <c r="C25" s="460"/>
      <c r="D25" s="435">
        <v>100</v>
      </c>
      <c r="E25" s="2606"/>
      <c r="F25" s="435">
        <f>SUMIF(86:86,E25,87:87)-SUMIF(86:86,C25,87:87)+100</f>
        <v>100</v>
      </c>
      <c r="G25" s="2607"/>
      <c r="H25" s="435">
        <f>SUMIF(86:86,G25,87:87)-SUMIF(86:86,C25,87:87)+100</f>
        <v>100</v>
      </c>
      <c r="I25" s="2607"/>
      <c r="J25" s="435">
        <f>SUMIF(86:86,I25,87:87)-SUMIF(86:86,C25,87:87)+100</f>
        <v>100</v>
      </c>
      <c r="K25" s="426"/>
      <c r="L25" s="1136"/>
      <c r="M25" s="1127"/>
      <c r="N25" s="1127"/>
      <c r="O25" s="1127"/>
      <c r="P25" s="3331"/>
      <c r="Q25" s="3000" t="str">
        <f t="shared" ref="Q25:Q46" si="11">B25</f>
        <v>楼层-1</v>
      </c>
      <c r="R25" s="772" t="s">
        <v>21</v>
      </c>
      <c r="S25" s="773">
        <f t="shared" ref="S25:S46" si="12">F25</f>
        <v>100</v>
      </c>
      <c r="T25" s="772" t="s">
        <v>21</v>
      </c>
      <c r="U25" s="773">
        <f t="shared" ref="U25:U46" si="13">H25</f>
        <v>100</v>
      </c>
      <c r="V25" s="772" t="s">
        <v>21</v>
      </c>
      <c r="W25" s="773">
        <f t="shared" ref="W25:W46" si="14">J25</f>
        <v>100</v>
      </c>
      <c r="X25" s="2999"/>
      <c r="Y25" s="3307"/>
      <c r="Z25" s="3001" t="str">
        <f>Q25</f>
        <v>楼层-1</v>
      </c>
      <c r="AA25" s="3002">
        <f t="shared" ref="AA25:AA46" si="15">D25/F25</f>
        <v>1</v>
      </c>
      <c r="AB25" s="3002">
        <f t="shared" ref="AB25:AB46" si="16">D25/H25</f>
        <v>1</v>
      </c>
      <c r="AC25" s="3002">
        <f t="shared" ref="AC25:AC46" si="17">D25/J25</f>
        <v>1</v>
      </c>
    </row>
    <row r="26" spans="1:29" ht="15">
      <c r="A26" s="428"/>
      <c r="B26" s="2998" t="s">
        <v>2554</v>
      </c>
      <c r="C26" s="460"/>
      <c r="D26" s="435">
        <v>100</v>
      </c>
      <c r="E26" s="2606"/>
      <c r="F26" s="435">
        <f>SUMIF(88:88,E26,89:89)-SUMIF(88:88,C26,89:89)+100</f>
        <v>100</v>
      </c>
      <c r="G26" s="2607"/>
      <c r="H26" s="435">
        <f>SUMIF(88:88,G26,89:89)-SUMIF(88:88,C26,89:89)+100</f>
        <v>100</v>
      </c>
      <c r="I26" s="2607"/>
      <c r="J26" s="435">
        <f>SUMIF(88:88,I26,89:89)-SUMIF(88:88,C26,89:89)+100</f>
        <v>100</v>
      </c>
      <c r="K26" s="426"/>
      <c r="L26" s="1136"/>
      <c r="M26" s="1127"/>
      <c r="N26" s="1127"/>
      <c r="O26" s="1127"/>
      <c r="P26" s="3331"/>
      <c r="Q26" s="3000" t="str">
        <f t="shared" si="11"/>
        <v>朝向</v>
      </c>
      <c r="R26" s="772" t="s">
        <v>21</v>
      </c>
      <c r="S26" s="773">
        <f t="shared" si="12"/>
        <v>100</v>
      </c>
      <c r="T26" s="772" t="s">
        <v>21</v>
      </c>
      <c r="U26" s="773">
        <f t="shared" si="13"/>
        <v>100</v>
      </c>
      <c r="V26" s="772" t="s">
        <v>21</v>
      </c>
      <c r="W26" s="773">
        <f t="shared" si="14"/>
        <v>100</v>
      </c>
      <c r="X26" s="2999"/>
      <c r="Y26" s="3307"/>
      <c r="Z26" s="3001" t="str">
        <f>Q26</f>
        <v>朝向</v>
      </c>
      <c r="AA26" s="3002">
        <f t="shared" si="15"/>
        <v>1</v>
      </c>
      <c r="AB26" s="3002">
        <f t="shared" si="16"/>
        <v>1</v>
      </c>
      <c r="AC26" s="3002">
        <f t="shared" si="17"/>
        <v>1</v>
      </c>
    </row>
    <row r="27" spans="1:29" s="117" customFormat="1" ht="15">
      <c r="A27" s="431"/>
      <c r="B27" s="1382"/>
      <c r="C27" s="432"/>
      <c r="D27" s="462">
        <v>100</v>
      </c>
      <c r="E27" s="465"/>
      <c r="F27" s="462">
        <f>SUMIF(90:90,E27,91:91)-SUMIF(90:90,C27,91:91)+100</f>
        <v>100</v>
      </c>
      <c r="G27" s="463"/>
      <c r="H27" s="462">
        <f>SUMIF(90:90,G27,91:91)-SUMIF(90:90,C27,91:91)+100</f>
        <v>100</v>
      </c>
      <c r="I27" s="463"/>
      <c r="J27" s="462">
        <f>SUMIF(90:90,I27,91:91)-SUMIF(90:90,C27,91:91)+100</f>
        <v>100</v>
      </c>
      <c r="K27" s="2594"/>
      <c r="L27" s="1128"/>
      <c r="M27" s="1129"/>
      <c r="N27" s="1129"/>
      <c r="O27" s="1129"/>
      <c r="P27" s="3331"/>
      <c r="Q27" s="2996">
        <f t="shared" si="11"/>
        <v>0</v>
      </c>
      <c r="R27" s="768" t="s">
        <v>21</v>
      </c>
      <c r="S27" s="769">
        <f t="shared" si="12"/>
        <v>100</v>
      </c>
      <c r="T27" s="768" t="s">
        <v>21</v>
      </c>
      <c r="U27" s="769">
        <f t="shared" si="13"/>
        <v>100</v>
      </c>
      <c r="V27" s="768" t="s">
        <v>21</v>
      </c>
      <c r="W27" s="769">
        <f t="shared" si="14"/>
        <v>100</v>
      </c>
      <c r="X27" s="770"/>
      <c r="Y27" s="3307"/>
      <c r="Z27" s="2997">
        <f>Q27</f>
        <v>0</v>
      </c>
      <c r="AA27" s="3002">
        <f t="shared" si="15"/>
        <v>1</v>
      </c>
      <c r="AB27" s="3002">
        <f t="shared" si="16"/>
        <v>1</v>
      </c>
      <c r="AC27" s="3002">
        <f t="shared" si="17"/>
        <v>1</v>
      </c>
    </row>
    <row r="28" spans="1:29" ht="15">
      <c r="A28" s="428"/>
      <c r="B28" s="1382"/>
      <c r="C28" s="434"/>
      <c r="D28" s="435">
        <v>100</v>
      </c>
      <c r="E28" s="434"/>
      <c r="F28" s="435">
        <f>SUMIF(92:92,E28,93:93)-SUMIF(92:92,C28,93:93)+100</f>
        <v>100</v>
      </c>
      <c r="G28" s="2608"/>
      <c r="H28" s="435">
        <f>SUMIF(92:92,G28,93:93)-SUMIF(92:92,C28,93:93)+100</f>
        <v>100</v>
      </c>
      <c r="I28" s="434"/>
      <c r="J28" s="435">
        <f>SUMIF(92:92,I28,93:93)-SUMIF(92:92,C28,93:93)+100</f>
        <v>100</v>
      </c>
      <c r="K28" s="2594"/>
      <c r="L28" s="1136"/>
      <c r="M28" s="1127"/>
      <c r="N28" s="1127"/>
      <c r="O28" s="1127"/>
      <c r="P28" s="3331"/>
      <c r="Q28" s="3000">
        <f t="shared" si="11"/>
        <v>0</v>
      </c>
      <c r="R28" s="772" t="s">
        <v>21</v>
      </c>
      <c r="S28" s="773">
        <f t="shared" si="12"/>
        <v>100</v>
      </c>
      <c r="T28" s="772" t="s">
        <v>21</v>
      </c>
      <c r="U28" s="773">
        <f t="shared" si="13"/>
        <v>100</v>
      </c>
      <c r="V28" s="772" t="s">
        <v>21</v>
      </c>
      <c r="W28" s="773">
        <f t="shared" si="14"/>
        <v>100</v>
      </c>
      <c r="X28" s="2999"/>
      <c r="Y28" s="3307"/>
      <c r="Z28" s="3001">
        <f t="shared" ref="Z28:Z46" si="18">Q28</f>
        <v>0</v>
      </c>
      <c r="AA28" s="3002">
        <f t="shared" si="15"/>
        <v>1</v>
      </c>
      <c r="AB28" s="3002">
        <f t="shared" si="16"/>
        <v>1</v>
      </c>
      <c r="AC28" s="3002">
        <f t="shared" si="17"/>
        <v>1</v>
      </c>
    </row>
    <row r="29" spans="1:29" ht="15">
      <c r="A29" s="428"/>
      <c r="B29" s="1382"/>
      <c r="C29" s="434"/>
      <c r="D29" s="435">
        <v>100</v>
      </c>
      <c r="E29" s="434"/>
      <c r="F29" s="435">
        <f>SUMIF(94:94,E29,95:95)-SUMIF(94:94,C29,95:95)+100</f>
        <v>100</v>
      </c>
      <c r="G29" s="2608"/>
      <c r="H29" s="435">
        <f>SUMIF(94:94,G29,95:95)-SUMIF(94:94,C29,95:95)+100</f>
        <v>100</v>
      </c>
      <c r="I29" s="434"/>
      <c r="J29" s="435">
        <f>SUMIF(94:94,I29,95:95)-SUMIF(94:94,C29,95:95)+100</f>
        <v>100</v>
      </c>
      <c r="K29" s="2594"/>
      <c r="L29" s="1136"/>
      <c r="M29" s="1127"/>
      <c r="N29" s="1127"/>
      <c r="O29" s="1127"/>
      <c r="P29" s="3331"/>
      <c r="Q29" s="3000">
        <f t="shared" si="11"/>
        <v>0</v>
      </c>
      <c r="R29" s="772" t="s">
        <v>21</v>
      </c>
      <c r="S29" s="773">
        <f t="shared" si="12"/>
        <v>100</v>
      </c>
      <c r="T29" s="772" t="s">
        <v>21</v>
      </c>
      <c r="U29" s="773">
        <f t="shared" si="13"/>
        <v>100</v>
      </c>
      <c r="V29" s="772" t="s">
        <v>21</v>
      </c>
      <c r="W29" s="773">
        <f t="shared" si="14"/>
        <v>100</v>
      </c>
      <c r="X29" s="2999"/>
      <c r="Y29" s="3307"/>
      <c r="Z29" s="3001">
        <f t="shared" si="18"/>
        <v>0</v>
      </c>
      <c r="AA29" s="3002">
        <f t="shared" si="15"/>
        <v>1</v>
      </c>
      <c r="AB29" s="3002">
        <f t="shared" si="16"/>
        <v>1</v>
      </c>
      <c r="AC29" s="3002">
        <f t="shared" si="17"/>
        <v>1</v>
      </c>
    </row>
    <row r="30" spans="1:29" ht="15">
      <c r="A30" s="428"/>
      <c r="B30" s="1382"/>
      <c r="C30" s="434"/>
      <c r="D30" s="435">
        <v>100</v>
      </c>
      <c r="E30" s="434"/>
      <c r="F30" s="435">
        <f>SUMIF(96:96,E30,97:97)-SUMIF(96:96,C30,97:97)+100</f>
        <v>100</v>
      </c>
      <c r="G30" s="2608"/>
      <c r="H30" s="435">
        <f>SUMIF(96:96,G30,97:97)-SUMIF(96:96,C30,97:97)+100</f>
        <v>100</v>
      </c>
      <c r="I30" s="434"/>
      <c r="J30" s="435">
        <f>SUMIF(96:96,I30,97:97)-SUMIF(96:96,C30,97:97)+100</f>
        <v>100</v>
      </c>
      <c r="K30" s="2594"/>
      <c r="L30" s="1136"/>
      <c r="M30" s="1127"/>
      <c r="N30" s="1127"/>
      <c r="O30" s="1127"/>
      <c r="P30" s="3331"/>
      <c r="Q30" s="3000">
        <f t="shared" si="11"/>
        <v>0</v>
      </c>
      <c r="R30" s="772" t="s">
        <v>21</v>
      </c>
      <c r="S30" s="773">
        <f t="shared" si="12"/>
        <v>100</v>
      </c>
      <c r="T30" s="772" t="s">
        <v>21</v>
      </c>
      <c r="U30" s="773">
        <f t="shared" si="13"/>
        <v>100</v>
      </c>
      <c r="V30" s="772" t="s">
        <v>21</v>
      </c>
      <c r="W30" s="773">
        <f t="shared" si="14"/>
        <v>100</v>
      </c>
      <c r="X30" s="2999"/>
      <c r="Y30" s="3307"/>
      <c r="Z30" s="3001">
        <f t="shared" si="18"/>
        <v>0</v>
      </c>
      <c r="AA30" s="3002">
        <f t="shared" si="15"/>
        <v>1</v>
      </c>
      <c r="AB30" s="3002">
        <f t="shared" si="16"/>
        <v>1</v>
      </c>
      <c r="AC30" s="3002">
        <f t="shared" si="17"/>
        <v>1</v>
      </c>
    </row>
    <row r="31" spans="1:29" ht="15.75" thickBot="1">
      <c r="A31" s="436"/>
      <c r="B31" s="1382"/>
      <c r="C31" s="437"/>
      <c r="D31" s="438">
        <v>100</v>
      </c>
      <c r="E31" s="437"/>
      <c r="F31" s="438">
        <f>SUMIF(98:98,E31,99:99)-SUMIF(98:98,C31,99:99)+100</f>
        <v>100</v>
      </c>
      <c r="G31" s="2609"/>
      <c r="H31" s="438">
        <f>SUMIF(98:98,G31,99:99)-SUMIF(98:98,C31,99:99)+100</f>
        <v>100</v>
      </c>
      <c r="I31" s="437"/>
      <c r="J31" s="438">
        <f>SUMIF(98:98,I31,99:99)-SUMIF(98:98,C31,99:99)+100</f>
        <v>100</v>
      </c>
      <c r="K31" s="2594"/>
      <c r="L31" s="1136"/>
      <c r="M31" s="1127"/>
      <c r="N31" s="1127"/>
      <c r="O31" s="1127"/>
      <c r="P31" s="3331"/>
      <c r="Q31" s="3000">
        <f t="shared" si="11"/>
        <v>0</v>
      </c>
      <c r="R31" s="772" t="s">
        <v>21</v>
      </c>
      <c r="S31" s="773">
        <f t="shared" si="12"/>
        <v>100</v>
      </c>
      <c r="T31" s="772" t="s">
        <v>21</v>
      </c>
      <c r="U31" s="773">
        <f t="shared" si="13"/>
        <v>100</v>
      </c>
      <c r="V31" s="772" t="s">
        <v>21</v>
      </c>
      <c r="W31" s="773">
        <f t="shared" si="14"/>
        <v>100</v>
      </c>
      <c r="X31" s="2999"/>
      <c r="Y31" s="3307"/>
      <c r="Z31" s="3001">
        <f t="shared" si="18"/>
        <v>0</v>
      </c>
      <c r="AA31" s="3002">
        <f t="shared" si="15"/>
        <v>1</v>
      </c>
      <c r="AB31" s="3002">
        <f t="shared" si="16"/>
        <v>1</v>
      </c>
      <c r="AC31" s="3002">
        <f t="shared" si="17"/>
        <v>1</v>
      </c>
    </row>
    <row r="32" spans="1:29" ht="15">
      <c r="A32" s="440" t="s">
        <v>2555</v>
      </c>
      <c r="B32" s="71" t="s">
        <v>2556</v>
      </c>
      <c r="C32" s="2610" t="s">
        <v>3149</v>
      </c>
      <c r="D32" s="467">
        <v>100</v>
      </c>
      <c r="E32" s="2610" t="s">
        <v>3149</v>
      </c>
      <c r="F32" s="461">
        <f>SUMIF(100:100,E32,101:101)-SUMIF(100:100,C32,101:101)+100</f>
        <v>100</v>
      </c>
      <c r="G32" s="2610" t="s">
        <v>3149</v>
      </c>
      <c r="H32" s="467">
        <f>SUMIF(100:100,G32,101:101)-SUMIF(100:100,C32,101:101)+100</f>
        <v>100</v>
      </c>
      <c r="I32" s="2610" t="s">
        <v>3149</v>
      </c>
      <c r="J32" s="435">
        <f>SUMIF(100:100,I32,101:101)-SUMIF(100:100,C32,101:101)+100</f>
        <v>100</v>
      </c>
      <c r="K32" s="426">
        <v>5</v>
      </c>
      <c r="L32" s="1136"/>
      <c r="M32" s="1127"/>
      <c r="N32" s="1127"/>
      <c r="O32" s="1127"/>
      <c r="P32" s="3326" t="s">
        <v>2557</v>
      </c>
      <c r="Q32" s="3000" t="str">
        <f t="shared" si="11"/>
        <v>建筑类型</v>
      </c>
      <c r="R32" s="772" t="s">
        <v>21</v>
      </c>
      <c r="S32" s="773">
        <f t="shared" si="12"/>
        <v>100</v>
      </c>
      <c r="T32" s="772" t="s">
        <v>21</v>
      </c>
      <c r="U32" s="773">
        <f t="shared" si="13"/>
        <v>100</v>
      </c>
      <c r="V32" s="772" t="s">
        <v>21</v>
      </c>
      <c r="W32" s="773">
        <f t="shared" si="14"/>
        <v>100</v>
      </c>
      <c r="X32" s="2999"/>
      <c r="Y32" s="3309" t="s">
        <v>2557</v>
      </c>
      <c r="Z32" s="3001" t="str">
        <f t="shared" si="18"/>
        <v>建筑类型</v>
      </c>
      <c r="AA32" s="3002">
        <f t="shared" si="15"/>
        <v>1</v>
      </c>
      <c r="AB32" s="3002">
        <f t="shared" si="16"/>
        <v>1</v>
      </c>
      <c r="AC32" s="3002">
        <f t="shared" si="17"/>
        <v>1</v>
      </c>
    </row>
    <row r="33" spans="1:29" s="471" customFormat="1" ht="15">
      <c r="A33" s="468"/>
      <c r="B33" s="2998" t="s">
        <v>2558</v>
      </c>
      <c r="C33" s="469"/>
      <c r="D33" s="136">
        <v>100</v>
      </c>
      <c r="E33" s="469"/>
      <c r="F33" s="425">
        <f>LOOKUP(E33,103:103,104:104)-LOOKUP(C33,103:103,104:104)+100</f>
        <v>100</v>
      </c>
      <c r="G33" s="469"/>
      <c r="H33" s="136">
        <f>LOOKUP(G33,103:103,104:104)-LOOKUP(C33,103:103,104:104)+100</f>
        <v>100</v>
      </c>
      <c r="I33" s="469"/>
      <c r="J33" s="136">
        <f>LOOKUP(I33,103:103,104:104)-LOOKUP(C33,103:103,104:104)+100</f>
        <v>100</v>
      </c>
      <c r="K33" s="2594"/>
      <c r="L33" s="1134"/>
      <c r="M33" s="1137"/>
      <c r="N33" s="1137"/>
      <c r="O33" s="1137"/>
      <c r="P33" s="3327"/>
      <c r="Q33" s="774" t="str">
        <f t="shared" si="11"/>
        <v>项目建筑规模</v>
      </c>
      <c r="R33" s="775" t="s">
        <v>21</v>
      </c>
      <c r="S33" s="776">
        <f t="shared" si="12"/>
        <v>100</v>
      </c>
      <c r="T33" s="775" t="s">
        <v>21</v>
      </c>
      <c r="U33" s="776">
        <f t="shared" si="13"/>
        <v>100</v>
      </c>
      <c r="V33" s="775" t="s">
        <v>21</v>
      </c>
      <c r="W33" s="776">
        <f t="shared" si="14"/>
        <v>100</v>
      </c>
      <c r="X33" s="777"/>
      <c r="Y33" s="3309"/>
      <c r="Z33" s="778" t="str">
        <f t="shared" si="18"/>
        <v>项目建筑规模</v>
      </c>
      <c r="AA33" s="3002">
        <f t="shared" si="15"/>
        <v>1</v>
      </c>
      <c r="AB33" s="3002">
        <f t="shared" si="16"/>
        <v>1</v>
      </c>
      <c r="AC33" s="3002">
        <f t="shared" si="17"/>
        <v>1</v>
      </c>
    </row>
    <row r="34" spans="1:29" ht="15">
      <c r="A34" s="472"/>
      <c r="B34" s="2998" t="s">
        <v>2559</v>
      </c>
      <c r="C34" s="2611" t="s">
        <v>3075</v>
      </c>
      <c r="D34" s="435">
        <v>100</v>
      </c>
      <c r="E34" s="2611" t="s">
        <v>3075</v>
      </c>
      <c r="F34" s="461">
        <f>SUMIF(105:105,E34,106:106)-SUMIF(105:105,C34,106:106)+100</f>
        <v>100</v>
      </c>
      <c r="G34" s="2611" t="s">
        <v>3075</v>
      </c>
      <c r="H34" s="435">
        <f>SUMIF(105:105,G34,106:106)-SUMIF(105:105,C34,106:106)+100</f>
        <v>100</v>
      </c>
      <c r="I34" s="2611" t="s">
        <v>3075</v>
      </c>
      <c r="J34" s="435">
        <f>SUMIF(105:105,I34,106:106)-SUMIF(105:105,C34,106:106)+100</f>
        <v>100</v>
      </c>
      <c r="K34" s="426">
        <v>2</v>
      </c>
      <c r="L34" s="1136"/>
      <c r="M34" s="1127"/>
      <c r="N34" s="1127"/>
      <c r="O34" s="1127"/>
      <c r="P34" s="3327"/>
      <c r="Q34" s="3000" t="str">
        <f t="shared" si="11"/>
        <v>建筑结构</v>
      </c>
      <c r="R34" s="772" t="s">
        <v>21</v>
      </c>
      <c r="S34" s="773">
        <f t="shared" si="12"/>
        <v>100</v>
      </c>
      <c r="T34" s="772" t="s">
        <v>21</v>
      </c>
      <c r="U34" s="773">
        <f t="shared" si="13"/>
        <v>100</v>
      </c>
      <c r="V34" s="772" t="s">
        <v>21</v>
      </c>
      <c r="W34" s="773">
        <f t="shared" si="14"/>
        <v>100</v>
      </c>
      <c r="X34" s="2999"/>
      <c r="Y34" s="3309"/>
      <c r="Z34" s="3001" t="str">
        <f t="shared" si="18"/>
        <v>建筑结构</v>
      </c>
      <c r="AA34" s="3002">
        <f t="shared" si="15"/>
        <v>1</v>
      </c>
      <c r="AB34" s="3002">
        <f t="shared" si="16"/>
        <v>1</v>
      </c>
      <c r="AC34" s="3002">
        <f t="shared" si="17"/>
        <v>1</v>
      </c>
    </row>
    <row r="35" spans="1:29" ht="15">
      <c r="A35" s="472"/>
      <c r="B35" s="2998" t="s">
        <v>2560</v>
      </c>
      <c r="C35" s="2606" t="s">
        <v>3827</v>
      </c>
      <c r="D35" s="435">
        <v>100</v>
      </c>
      <c r="E35" s="2606" t="s">
        <v>3827</v>
      </c>
      <c r="F35" s="461">
        <f>SUMIF(107:107,E35,108:108)-SUMIF(107:107,C35,108:108)+100</f>
        <v>100</v>
      </c>
      <c r="G35" s="2606" t="s">
        <v>3827</v>
      </c>
      <c r="H35" s="435">
        <f>SUMIF(107:107,G35,108:108)-SUMIF(107:107,C35,108:108)+100</f>
        <v>100</v>
      </c>
      <c r="I35" s="2606" t="s">
        <v>3827</v>
      </c>
      <c r="J35" s="435">
        <f>SUMIF(107:107,I35,108:108)-SUMIF(107:107,C35,108:108)+100</f>
        <v>100</v>
      </c>
      <c r="K35" s="426">
        <v>5</v>
      </c>
      <c r="L35" s="1136"/>
      <c r="M35" s="1127"/>
      <c r="N35" s="1127"/>
      <c r="O35" s="1127"/>
      <c r="P35" s="3327"/>
      <c r="Q35" s="3000" t="str">
        <f t="shared" si="11"/>
        <v>建筑品质</v>
      </c>
      <c r="R35" s="772" t="s">
        <v>21</v>
      </c>
      <c r="S35" s="773">
        <f t="shared" si="12"/>
        <v>100</v>
      </c>
      <c r="T35" s="772" t="s">
        <v>21</v>
      </c>
      <c r="U35" s="773">
        <f t="shared" si="13"/>
        <v>100</v>
      </c>
      <c r="V35" s="772" t="s">
        <v>21</v>
      </c>
      <c r="W35" s="773">
        <f t="shared" si="14"/>
        <v>100</v>
      </c>
      <c r="X35" s="2999"/>
      <c r="Y35" s="3309"/>
      <c r="Z35" s="3001" t="str">
        <f t="shared" si="18"/>
        <v>建筑品质</v>
      </c>
      <c r="AA35" s="3002">
        <f t="shared" si="15"/>
        <v>1</v>
      </c>
      <c r="AB35" s="3002">
        <f t="shared" si="16"/>
        <v>1</v>
      </c>
      <c r="AC35" s="3002">
        <f t="shared" si="17"/>
        <v>1</v>
      </c>
    </row>
    <row r="36" spans="1:29" ht="15">
      <c r="A36" s="472"/>
      <c r="B36" s="2998" t="s">
        <v>2561</v>
      </c>
      <c r="C36" s="2606" t="s">
        <v>3829</v>
      </c>
      <c r="D36" s="435">
        <v>100</v>
      </c>
      <c r="E36" s="2606" t="s">
        <v>3829</v>
      </c>
      <c r="F36" s="461">
        <f>SUMIF(109:109,E36,110:110)-SUMIF(109:109,C36,110:110)+100</f>
        <v>100</v>
      </c>
      <c r="G36" s="2606" t="s">
        <v>3829</v>
      </c>
      <c r="H36" s="435">
        <f>SUMIF(109:109,G36,110:110)-SUMIF(109:109,C36,110:110)+100</f>
        <v>100</v>
      </c>
      <c r="I36" s="2606" t="s">
        <v>3829</v>
      </c>
      <c r="J36" s="435">
        <f>SUMIF(109:109,I36,110:110)-SUMIF(109:109,C36,110:110)+100</f>
        <v>100</v>
      </c>
      <c r="K36" s="426">
        <v>2</v>
      </c>
      <c r="L36" s="1136"/>
      <c r="M36" s="1127"/>
      <c r="N36" s="1127"/>
      <c r="O36" s="1127"/>
      <c r="P36" s="3327"/>
      <c r="Q36" s="3000" t="str">
        <f t="shared" si="11"/>
        <v>公共部分装修</v>
      </c>
      <c r="R36" s="772" t="s">
        <v>21</v>
      </c>
      <c r="S36" s="773">
        <f t="shared" si="12"/>
        <v>100</v>
      </c>
      <c r="T36" s="772" t="s">
        <v>21</v>
      </c>
      <c r="U36" s="773">
        <f t="shared" si="13"/>
        <v>100</v>
      </c>
      <c r="V36" s="772" t="s">
        <v>21</v>
      </c>
      <c r="W36" s="773">
        <f t="shared" si="14"/>
        <v>100</v>
      </c>
      <c r="X36" s="2999"/>
      <c r="Y36" s="3309"/>
      <c r="Z36" s="3001" t="str">
        <f t="shared" si="18"/>
        <v>公共部分装修</v>
      </c>
      <c r="AA36" s="3002">
        <f t="shared" si="15"/>
        <v>1</v>
      </c>
      <c r="AB36" s="3002">
        <f t="shared" si="16"/>
        <v>1</v>
      </c>
      <c r="AC36" s="3002">
        <f t="shared" si="17"/>
        <v>1</v>
      </c>
    </row>
    <row r="37" spans="1:29" s="117" customFormat="1" ht="15">
      <c r="A37" s="473"/>
      <c r="B37" s="2998" t="s">
        <v>2562</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2</v>
      </c>
      <c r="L37" s="1128"/>
      <c r="M37" s="1129"/>
      <c r="N37" s="1129"/>
      <c r="O37" s="1129"/>
      <c r="P37" s="3327"/>
      <c r="Q37" s="2996" t="str">
        <f t="shared" si="11"/>
        <v>成新度</v>
      </c>
      <c r="R37" s="768" t="s">
        <v>21</v>
      </c>
      <c r="S37" s="769">
        <f t="shared" si="12"/>
        <v>100</v>
      </c>
      <c r="T37" s="768" t="s">
        <v>21</v>
      </c>
      <c r="U37" s="769">
        <f t="shared" si="13"/>
        <v>100</v>
      </c>
      <c r="V37" s="768" t="s">
        <v>21</v>
      </c>
      <c r="W37" s="769">
        <f t="shared" si="14"/>
        <v>100</v>
      </c>
      <c r="X37" s="770"/>
      <c r="Y37" s="3309"/>
      <c r="Z37" s="2997" t="str">
        <f t="shared" si="18"/>
        <v>成新度</v>
      </c>
      <c r="AA37" s="771">
        <f t="shared" si="15"/>
        <v>1</v>
      </c>
      <c r="AB37" s="771">
        <f t="shared" si="16"/>
        <v>1</v>
      </c>
      <c r="AC37" s="771">
        <f t="shared" si="17"/>
        <v>1</v>
      </c>
    </row>
    <row r="38" spans="1:29" ht="15">
      <c r="A38" s="472"/>
      <c r="B38" s="2998" t="s">
        <v>2563</v>
      </c>
      <c r="C38" s="2606" t="s">
        <v>3831</v>
      </c>
      <c r="D38" s="435">
        <v>100</v>
      </c>
      <c r="E38" s="2606" t="s">
        <v>3831</v>
      </c>
      <c r="F38" s="461">
        <f>SUMIF(114:114,E38,115:115)-SUMIF(114:114,C38,115:115)+100</f>
        <v>100</v>
      </c>
      <c r="G38" s="2606" t="s">
        <v>3831</v>
      </c>
      <c r="H38" s="435">
        <f>SUMIF(114:114,G38,115:115)-SUMIF(114:114,C38,115:115)+100</f>
        <v>100</v>
      </c>
      <c r="I38" s="2606" t="s">
        <v>3831</v>
      </c>
      <c r="J38" s="435">
        <f>SUMIF(114:114,I38,115:115)-SUMIF(114:114,C38,115:115)+100</f>
        <v>100</v>
      </c>
      <c r="K38" s="426">
        <v>2</v>
      </c>
      <c r="L38" s="1136"/>
      <c r="M38" s="1127"/>
      <c r="N38" s="1127"/>
      <c r="O38" s="1127"/>
      <c r="P38" s="3327" t="s">
        <v>2557</v>
      </c>
      <c r="Q38" s="3000" t="str">
        <f t="shared" si="11"/>
        <v>物业管理</v>
      </c>
      <c r="R38" s="772" t="s">
        <v>21</v>
      </c>
      <c r="S38" s="773">
        <f t="shared" si="12"/>
        <v>100</v>
      </c>
      <c r="T38" s="772" t="s">
        <v>21</v>
      </c>
      <c r="U38" s="773">
        <f t="shared" si="13"/>
        <v>100</v>
      </c>
      <c r="V38" s="772" t="s">
        <v>21</v>
      </c>
      <c r="W38" s="773">
        <f t="shared" si="14"/>
        <v>100</v>
      </c>
      <c r="X38" s="2999"/>
      <c r="Y38" s="3309" t="s">
        <v>2557</v>
      </c>
      <c r="Z38" s="3001" t="str">
        <f t="shared" si="18"/>
        <v>物业管理</v>
      </c>
      <c r="AA38" s="3002">
        <f t="shared" si="15"/>
        <v>1</v>
      </c>
      <c r="AB38" s="3002">
        <f t="shared" si="16"/>
        <v>1</v>
      </c>
      <c r="AC38" s="3002">
        <f t="shared" si="17"/>
        <v>1</v>
      </c>
    </row>
    <row r="39" spans="1:29" ht="15">
      <c r="A39" s="472"/>
      <c r="B39" s="2998" t="s">
        <v>2564</v>
      </c>
      <c r="C39" s="2606" t="s">
        <v>3824</v>
      </c>
      <c r="D39" s="435">
        <v>100</v>
      </c>
      <c r="E39" s="2606" t="s">
        <v>3824</v>
      </c>
      <c r="F39" s="461">
        <f>SUMIF(116:116,E39,117:117)-SUMIF(116:116,C39,117:117)+100</f>
        <v>100</v>
      </c>
      <c r="G39" s="2606" t="s">
        <v>3824</v>
      </c>
      <c r="H39" s="435">
        <f>SUMIF(116:116,G39,117:117)-SUMIF(116:116,C39,117:117)+100</f>
        <v>100</v>
      </c>
      <c r="I39" s="2606" t="s">
        <v>3824</v>
      </c>
      <c r="J39" s="435">
        <f>SUMIF(116:116,I39,117:117)-SUMIF(116:116,C39,117:117)+100</f>
        <v>100</v>
      </c>
      <c r="K39" s="426">
        <v>2</v>
      </c>
      <c r="L39" s="1136"/>
      <c r="M39" s="1127"/>
      <c r="N39" s="1127"/>
      <c r="O39" s="1127"/>
      <c r="P39" s="3327"/>
      <c r="Q39" s="3000" t="str">
        <f t="shared" si="11"/>
        <v>市政基础设施</v>
      </c>
      <c r="R39" s="772" t="s">
        <v>21</v>
      </c>
      <c r="S39" s="773">
        <f t="shared" si="12"/>
        <v>100</v>
      </c>
      <c r="T39" s="772" t="s">
        <v>21</v>
      </c>
      <c r="U39" s="773">
        <f t="shared" si="13"/>
        <v>100</v>
      </c>
      <c r="V39" s="772" t="s">
        <v>21</v>
      </c>
      <c r="W39" s="773">
        <f t="shared" si="14"/>
        <v>100</v>
      </c>
      <c r="X39" s="2999"/>
      <c r="Y39" s="3309"/>
      <c r="Z39" s="3001" t="str">
        <f t="shared" si="18"/>
        <v>市政基础设施</v>
      </c>
      <c r="AA39" s="3002">
        <f t="shared" si="15"/>
        <v>1</v>
      </c>
      <c r="AB39" s="3002">
        <f t="shared" si="16"/>
        <v>1</v>
      </c>
      <c r="AC39" s="3002">
        <f t="shared" si="17"/>
        <v>1</v>
      </c>
    </row>
    <row r="40" spans="1:29" ht="15">
      <c r="A40" s="472"/>
      <c r="B40" s="2998" t="s">
        <v>2565</v>
      </c>
      <c r="C40" s="2606" t="s">
        <v>3834</v>
      </c>
      <c r="D40" s="435">
        <v>100</v>
      </c>
      <c r="E40" s="2606" t="s">
        <v>3834</v>
      </c>
      <c r="F40" s="461">
        <f>SUMIF(118:118,E40,119:119)-SUMIF(118:118,C40,119:119)+100</f>
        <v>100</v>
      </c>
      <c r="G40" s="2606" t="s">
        <v>3834</v>
      </c>
      <c r="H40" s="435">
        <f>SUMIF(118:118,G40,119:119)-SUMIF(118:118,C40,119:119)+100</f>
        <v>100</v>
      </c>
      <c r="I40" s="2606" t="s">
        <v>3834</v>
      </c>
      <c r="J40" s="435">
        <f>SUMIF(118:118,I40,119:119)-SUMIF(118:118,C40,119:119)+100</f>
        <v>100</v>
      </c>
      <c r="K40" s="426">
        <v>2</v>
      </c>
      <c r="L40" s="1136"/>
      <c r="M40" s="1127"/>
      <c r="N40" s="1127"/>
      <c r="O40" s="1127"/>
      <c r="P40" s="3327"/>
      <c r="Q40" s="3000" t="str">
        <f t="shared" si="11"/>
        <v>房型</v>
      </c>
      <c r="R40" s="772" t="s">
        <v>21</v>
      </c>
      <c r="S40" s="773">
        <f t="shared" si="12"/>
        <v>100</v>
      </c>
      <c r="T40" s="772" t="s">
        <v>21</v>
      </c>
      <c r="U40" s="773">
        <f t="shared" si="13"/>
        <v>100</v>
      </c>
      <c r="V40" s="772" t="s">
        <v>21</v>
      </c>
      <c r="W40" s="773">
        <f t="shared" si="14"/>
        <v>100</v>
      </c>
      <c r="X40" s="2999"/>
      <c r="Y40" s="3309"/>
      <c r="Z40" s="3001" t="str">
        <f t="shared" si="18"/>
        <v>房型</v>
      </c>
      <c r="AA40" s="3002">
        <f t="shared" si="15"/>
        <v>1</v>
      </c>
      <c r="AB40" s="3002">
        <f t="shared" si="16"/>
        <v>1</v>
      </c>
      <c r="AC40" s="3002">
        <f t="shared" si="17"/>
        <v>1</v>
      </c>
    </row>
    <row r="41" spans="1:29" s="471" customFormat="1" ht="28.5">
      <c r="A41" s="468"/>
      <c r="B41" s="2998" t="s">
        <v>2566</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4"/>
      <c r="L41" s="1134"/>
      <c r="M41" s="1137"/>
      <c r="N41" s="1137"/>
      <c r="O41" s="1137"/>
      <c r="P41" s="3327"/>
      <c r="Q41" s="774" t="str">
        <f t="shared" si="11"/>
        <v>单套/主力户型建筑面积</v>
      </c>
      <c r="R41" s="775" t="s">
        <v>21</v>
      </c>
      <c r="S41" s="776">
        <f t="shared" si="12"/>
        <v>100</v>
      </c>
      <c r="T41" s="775" t="s">
        <v>21</v>
      </c>
      <c r="U41" s="776">
        <f t="shared" si="13"/>
        <v>100</v>
      </c>
      <c r="V41" s="775" t="s">
        <v>21</v>
      </c>
      <c r="W41" s="776">
        <f t="shared" si="14"/>
        <v>100</v>
      </c>
      <c r="X41" s="777"/>
      <c r="Y41" s="3309"/>
      <c r="Z41" s="778" t="str">
        <f t="shared" si="18"/>
        <v>单套/主力户型建筑面积</v>
      </c>
      <c r="AA41" s="3002">
        <f t="shared" si="15"/>
        <v>1</v>
      </c>
      <c r="AB41" s="3002">
        <f t="shared" si="16"/>
        <v>1</v>
      </c>
      <c r="AC41" s="3002">
        <f t="shared" si="17"/>
        <v>1</v>
      </c>
    </row>
    <row r="42" spans="1:29" ht="15">
      <c r="A42" s="472"/>
      <c r="B42" s="2998" t="s">
        <v>2567</v>
      </c>
      <c r="C42" s="2606" t="s">
        <v>3839</v>
      </c>
      <c r="D42" s="435">
        <v>100</v>
      </c>
      <c r="E42" s="2606" t="s">
        <v>3839</v>
      </c>
      <c r="F42" s="461">
        <f>SUMIF(122:122,E42,123:123)-SUMIF(122:122,C42,123:123)+100</f>
        <v>100</v>
      </c>
      <c r="G42" s="2606" t="s">
        <v>3836</v>
      </c>
      <c r="H42" s="435">
        <f>SUMIF(122:122,G42,123:123)-SUMIF(122:122,C42,123:123)+100</f>
        <v>110</v>
      </c>
      <c r="I42" s="2606" t="s">
        <v>3839</v>
      </c>
      <c r="J42" s="435">
        <f>SUMIF(122:122,I42,123:123)-SUMIF(122:122,C42,123:123)+100</f>
        <v>100</v>
      </c>
      <c r="K42" s="426">
        <v>5</v>
      </c>
      <c r="L42" s="1136"/>
      <c r="M42" s="1127"/>
      <c r="N42" s="1127"/>
      <c r="O42" s="1127"/>
      <c r="P42" s="3327"/>
      <c r="Q42" s="3000" t="str">
        <f t="shared" si="11"/>
        <v>内部装修</v>
      </c>
      <c r="R42" s="772" t="s">
        <v>21</v>
      </c>
      <c r="S42" s="773">
        <f t="shared" si="12"/>
        <v>100</v>
      </c>
      <c r="T42" s="772" t="s">
        <v>21</v>
      </c>
      <c r="U42" s="773">
        <f t="shared" si="13"/>
        <v>110</v>
      </c>
      <c r="V42" s="772" t="s">
        <v>21</v>
      </c>
      <c r="W42" s="773">
        <f t="shared" si="14"/>
        <v>100</v>
      </c>
      <c r="X42" s="2999"/>
      <c r="Y42" s="3309"/>
      <c r="Z42" s="3001" t="str">
        <f t="shared" si="18"/>
        <v>内部装修</v>
      </c>
      <c r="AA42" s="3002">
        <f t="shared" si="15"/>
        <v>1</v>
      </c>
      <c r="AB42" s="3002">
        <f t="shared" si="16"/>
        <v>0.90909090909090906</v>
      </c>
      <c r="AC42" s="3002">
        <f t="shared" si="17"/>
        <v>1</v>
      </c>
    </row>
    <row r="43" spans="1:29" ht="15">
      <c r="A43" s="472"/>
      <c r="B43" s="2998" t="s">
        <v>2568</v>
      </c>
      <c r="C43" s="2606" t="s">
        <v>3610</v>
      </c>
      <c r="D43" s="435">
        <v>100</v>
      </c>
      <c r="E43" s="2606" t="s">
        <v>3610</v>
      </c>
      <c r="F43" s="461">
        <f>SUMIF(124:124,E43,125:125)-SUMIF(124:124,C43,125:125)+100</f>
        <v>100</v>
      </c>
      <c r="G43" s="2606" t="s">
        <v>3610</v>
      </c>
      <c r="H43" s="435">
        <f>SUMIF(124:124,G43,125:125)-SUMIF(124:124,C43,125:125)+100</f>
        <v>100</v>
      </c>
      <c r="I43" s="2606" t="s">
        <v>3610</v>
      </c>
      <c r="J43" s="435">
        <f>SUMIF(124:124,I43,125:125)-SUMIF(124:124,C43,125:125)+100</f>
        <v>100</v>
      </c>
      <c r="K43" s="426"/>
      <c r="L43" s="1136"/>
      <c r="M43" s="1127"/>
      <c r="N43" s="1127"/>
      <c r="O43" s="1127"/>
      <c r="P43" s="3327"/>
      <c r="Q43" s="3000" t="str">
        <f t="shared" si="11"/>
        <v>内部装修维护情况</v>
      </c>
      <c r="R43" s="772" t="s">
        <v>21</v>
      </c>
      <c r="S43" s="773">
        <f t="shared" si="12"/>
        <v>100</v>
      </c>
      <c r="T43" s="772" t="s">
        <v>21</v>
      </c>
      <c r="U43" s="773">
        <f t="shared" si="13"/>
        <v>100</v>
      </c>
      <c r="V43" s="772" t="s">
        <v>21</v>
      </c>
      <c r="W43" s="773">
        <f t="shared" si="14"/>
        <v>100</v>
      </c>
      <c r="X43" s="2999"/>
      <c r="Y43" s="3309"/>
      <c r="Z43" s="3001" t="str">
        <f t="shared" si="18"/>
        <v>内部装修维护情况</v>
      </c>
      <c r="AA43" s="3002">
        <f t="shared" si="15"/>
        <v>1</v>
      </c>
      <c r="AB43" s="3002">
        <f t="shared" si="16"/>
        <v>1</v>
      </c>
      <c r="AC43" s="3002">
        <f t="shared" si="17"/>
        <v>1</v>
      </c>
    </row>
    <row r="44" spans="1:29" s="117" customFormat="1" ht="15">
      <c r="A44" s="473"/>
      <c r="B44" s="1382"/>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28"/>
      <c r="M44" s="1129"/>
      <c r="N44" s="1129"/>
      <c r="O44" s="1129"/>
      <c r="P44" s="3327"/>
      <c r="Q44" s="2996">
        <f t="shared" si="11"/>
        <v>0</v>
      </c>
      <c r="R44" s="768" t="s">
        <v>21</v>
      </c>
      <c r="S44" s="769">
        <f t="shared" si="12"/>
        <v>100</v>
      </c>
      <c r="T44" s="768" t="s">
        <v>21</v>
      </c>
      <c r="U44" s="769">
        <f t="shared" si="13"/>
        <v>100</v>
      </c>
      <c r="V44" s="768" t="s">
        <v>21</v>
      </c>
      <c r="W44" s="769">
        <f t="shared" si="14"/>
        <v>100</v>
      </c>
      <c r="X44" s="770"/>
      <c r="Y44" s="3309"/>
      <c r="Z44" s="2997">
        <f t="shared" si="18"/>
        <v>0</v>
      </c>
      <c r="AA44" s="771">
        <f t="shared" si="15"/>
        <v>1</v>
      </c>
      <c r="AB44" s="771">
        <f t="shared" si="16"/>
        <v>1</v>
      </c>
      <c r="AC44" s="771">
        <f t="shared" si="17"/>
        <v>1</v>
      </c>
    </row>
    <row r="45" spans="1:29" ht="15">
      <c r="A45" s="472"/>
      <c r="B45" s="1382"/>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36"/>
      <c r="M45" s="1127"/>
      <c r="N45" s="1127"/>
      <c r="O45" s="1127"/>
      <c r="P45" s="3327"/>
      <c r="Q45" s="3000">
        <f t="shared" si="11"/>
        <v>0</v>
      </c>
      <c r="R45" s="772" t="s">
        <v>21</v>
      </c>
      <c r="S45" s="773">
        <f t="shared" si="12"/>
        <v>100</v>
      </c>
      <c r="T45" s="772" t="s">
        <v>21</v>
      </c>
      <c r="U45" s="773">
        <f t="shared" si="13"/>
        <v>100</v>
      </c>
      <c r="V45" s="772" t="s">
        <v>21</v>
      </c>
      <c r="W45" s="773">
        <f t="shared" si="14"/>
        <v>100</v>
      </c>
      <c r="X45" s="2999"/>
      <c r="Y45" s="3309"/>
      <c r="Z45" s="3001">
        <f t="shared" si="18"/>
        <v>0</v>
      </c>
      <c r="AA45" s="3002">
        <f t="shared" si="15"/>
        <v>1</v>
      </c>
      <c r="AB45" s="3002">
        <f t="shared" si="16"/>
        <v>1</v>
      </c>
      <c r="AC45" s="3002">
        <f t="shared" si="17"/>
        <v>1</v>
      </c>
    </row>
    <row r="46" spans="1:29" ht="15.75" thickBot="1">
      <c r="A46" s="478"/>
      <c r="B46" s="2595"/>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36"/>
      <c r="M46" s="1127"/>
      <c r="N46" s="1127"/>
      <c r="O46" s="1127"/>
      <c r="P46" s="3328"/>
      <c r="Q46" s="3000">
        <f t="shared" si="11"/>
        <v>0</v>
      </c>
      <c r="R46" s="772" t="s">
        <v>20</v>
      </c>
      <c r="S46" s="773">
        <f t="shared" si="12"/>
        <v>100</v>
      </c>
      <c r="T46" s="772" t="s">
        <v>20</v>
      </c>
      <c r="U46" s="773">
        <f t="shared" si="13"/>
        <v>100</v>
      </c>
      <c r="V46" s="772" t="s">
        <v>20</v>
      </c>
      <c r="W46" s="773">
        <f t="shared" si="14"/>
        <v>100</v>
      </c>
      <c r="X46" s="2999"/>
      <c r="Y46" s="3329"/>
      <c r="Z46" s="3001">
        <f t="shared" si="18"/>
        <v>0</v>
      </c>
      <c r="AA46" s="3002">
        <f t="shared" si="15"/>
        <v>1</v>
      </c>
      <c r="AB46" s="3002">
        <f t="shared" si="16"/>
        <v>1</v>
      </c>
      <c r="AC46" s="3002">
        <f t="shared" si="17"/>
        <v>1</v>
      </c>
    </row>
    <row r="47" spans="1:29" ht="15">
      <c r="A47" s="479" t="s">
        <v>2569</v>
      </c>
      <c r="B47" s="480"/>
      <c r="C47" s="1403" t="s">
        <v>19</v>
      </c>
      <c r="D47" s="1404"/>
      <c r="E47" s="1405">
        <v>18500</v>
      </c>
      <c r="F47" s="1406"/>
      <c r="G47" s="1407">
        <v>18000</v>
      </c>
      <c r="H47" s="1408"/>
      <c r="I47" s="1405">
        <v>13500</v>
      </c>
      <c r="J47" s="1408"/>
      <c r="K47" s="2612"/>
      <c r="L47" s="1139"/>
      <c r="M47" s="1140"/>
      <c r="N47" s="1127"/>
      <c r="O47" s="1140"/>
      <c r="P47" s="3291" t="str">
        <f>A47</f>
        <v>成交单价（元/平方米）</v>
      </c>
      <c r="Q47" s="3291"/>
      <c r="R47" s="3325">
        <f>E47</f>
        <v>18500</v>
      </c>
      <c r="S47" s="3325"/>
      <c r="T47" s="3325">
        <f>G47</f>
        <v>18000</v>
      </c>
      <c r="U47" s="3325"/>
      <c r="V47" s="3325">
        <f>I47</f>
        <v>13500</v>
      </c>
      <c r="W47" s="3325"/>
      <c r="X47" s="757"/>
      <c r="Y47" s="779"/>
      <c r="Z47" s="757"/>
      <c r="AA47" s="757"/>
      <c r="AB47" s="757"/>
      <c r="AC47" s="757"/>
    </row>
    <row r="48" spans="1:29" ht="15.75" thickBot="1">
      <c r="A48" s="486" t="s">
        <v>2570</v>
      </c>
      <c r="B48" s="487"/>
      <c r="C48" s="1409">
        <f>R49</f>
        <v>16620</v>
      </c>
      <c r="D48" s="1410"/>
      <c r="E48" s="1411">
        <f>R48</f>
        <v>19072</v>
      </c>
      <c r="F48" s="1411"/>
      <c r="G48" s="1409">
        <f>T48</f>
        <v>16870</v>
      </c>
      <c r="H48" s="1410"/>
      <c r="I48" s="1411">
        <f>V48</f>
        <v>13918</v>
      </c>
      <c r="J48" s="1410"/>
      <c r="K48" s="2613"/>
      <c r="L48" s="1139"/>
      <c r="M48" s="1140"/>
      <c r="N48" s="1140"/>
      <c r="O48" s="1140"/>
      <c r="P48" s="3291" t="str">
        <f>A48</f>
        <v>比较价值（元/平方米）</v>
      </c>
      <c r="Q48" s="3291"/>
      <c r="R48" s="3325">
        <f>IF(F1="售价",ROUND(PRODUCT(R47,AA7:AA46),0),ROUND(PRODUCT(R47,AA7:AA46),1))</f>
        <v>19072</v>
      </c>
      <c r="S48" s="3325"/>
      <c r="T48" s="3325">
        <f>IF(F1="售价",ROUND(PRODUCT(T47,AB7:AB46),0),ROUND(PRODUCT(T47,AB7:AB46),1))</f>
        <v>16870</v>
      </c>
      <c r="U48" s="3325"/>
      <c r="V48" s="3325">
        <f>IF(F1="售价",ROUND(PRODUCT(V47,AC7:AC46),0),ROUND(PRODUCT(V47,AC7:AC46),1))</f>
        <v>13918</v>
      </c>
      <c r="W48" s="3325"/>
      <c r="X48" s="757"/>
      <c r="Y48" s="757"/>
      <c r="Z48" s="757"/>
      <c r="AA48" s="757"/>
      <c r="AB48" s="757"/>
      <c r="AC48" s="757"/>
    </row>
    <row r="49" spans="1:29" ht="15.75" thickBot="1">
      <c r="A49" s="492" t="s">
        <v>2571</v>
      </c>
      <c r="B49" s="493"/>
      <c r="C49" s="1412">
        <f>R49</f>
        <v>16620</v>
      </c>
      <c r="D49" s="1413"/>
      <c r="E49" s="1413"/>
      <c r="F49" s="1413"/>
      <c r="G49" s="1413"/>
      <c r="H49" s="1413"/>
      <c r="I49" s="1413"/>
      <c r="J49" s="1413"/>
      <c r="K49" s="2614"/>
      <c r="L49" s="1139"/>
      <c r="M49" s="1140"/>
      <c r="N49" s="1140"/>
      <c r="O49" s="1140"/>
      <c r="P49" s="3311" t="str">
        <f>A49</f>
        <v>估价对象XX用房的比较价值（楼面单价，元/平方米）</v>
      </c>
      <c r="Q49" s="3312"/>
      <c r="R49" s="3324">
        <f>IF(F1="售价",ROUND(AVERAGE(R48:V48),0),ROUND(AVERAGE(R48:V48),1))</f>
        <v>16620</v>
      </c>
      <c r="S49" s="3324"/>
      <c r="T49" s="3324"/>
      <c r="U49" s="3324"/>
      <c r="V49" s="3324"/>
      <c r="W49" s="3324"/>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2572</v>
      </c>
      <c r="D52" s="498"/>
      <c r="E52" s="499">
        <f>IF(E47&lt;E48,E48/E47-1,E47/E48-1)</f>
        <v>3.0918918918918958E-2</v>
      </c>
      <c r="F52" s="500" t="str">
        <f>IF(OR(E52&gt;=0.3,E52&lt;=-0.3),"超过30%","")</f>
        <v/>
      </c>
      <c r="G52" s="499">
        <f>IF(G47&lt;G48,G48/G47-1,G47/G48-1)</f>
        <v>6.6982809721398917E-2</v>
      </c>
      <c r="H52" s="500" t="str">
        <f>IF(OR(G52&gt;=0.3,G52&lt;=-0.3),"超过30%","")</f>
        <v/>
      </c>
      <c r="I52" s="499">
        <f>IF(I47&lt;I48,I48/I47-1,I47/I48-1)</f>
        <v>3.0962962962962859E-2</v>
      </c>
      <c r="J52" s="500" t="str">
        <f>IF(OR(I52&gt;=0.3,I52&lt;=-0.3),"超过30%","")</f>
        <v/>
      </c>
      <c r="K52" s="1101"/>
      <c r="L52" s="1102"/>
      <c r="M52" s="1140"/>
      <c r="N52" s="1140"/>
      <c r="O52" s="1140"/>
    </row>
    <row r="53" spans="1:29" ht="13.5" customHeight="1">
      <c r="A53" s="1140"/>
      <c r="B53" s="1140"/>
      <c r="C53" s="497" t="s">
        <v>2573</v>
      </c>
      <c r="D53" s="501"/>
      <c r="E53" s="499">
        <f>IF(E48&lt;G48,G48/E48-1,E48/G48-1)</f>
        <v>0.13052756372258445</v>
      </c>
      <c r="F53" s="500" t="str">
        <f>IF(OR(E53&gt;=0.2,E53&lt;=-0.2),"超过20%","")</f>
        <v/>
      </c>
      <c r="G53" s="499">
        <f>IF(G48&lt;I48,I48/G48-1,G48/I48-1)</f>
        <v>0.2120994395746516</v>
      </c>
      <c r="H53" s="500" t="str">
        <f>IF(OR(G53&gt;=0.2,G53&lt;=-0.2),"超过20%","")</f>
        <v>超过20%</v>
      </c>
      <c r="I53" s="499">
        <f>IF(I48&lt;E48,E48/I48-1,I48/E48-1)</f>
        <v>0.37031182641184079</v>
      </c>
      <c r="J53" s="500" t="str">
        <f>IF(OR(I53&gt;=0.2,I53&lt;=-0.2),"超过20%","")</f>
        <v>超过20%</v>
      </c>
      <c r="K53" s="1101"/>
      <c r="L53" s="1102"/>
      <c r="M53" s="1140"/>
      <c r="N53" s="1140"/>
      <c r="O53" s="1140"/>
    </row>
    <row r="54" spans="1:29" s="502" customFormat="1" ht="13.5" customHeight="1">
      <c r="A54" s="1141"/>
      <c r="B54" s="1141"/>
      <c r="C54" s="497" t="s">
        <v>2574</v>
      </c>
      <c r="D54" s="501"/>
      <c r="E54" s="499">
        <f>IF(E47&lt;G47,G47/E47-1,E47/G47-1)</f>
        <v>2.7777777777777679E-2</v>
      </c>
      <c r="F54" s="500" t="str">
        <f>IF(OR(E54&gt;=0.3,E54&lt;=-0.3),"超过30%","")</f>
        <v/>
      </c>
      <c r="G54" s="499">
        <f>IF(G47&lt;I47,I47/G47-1,G47/I47-1)</f>
        <v>0.33333333333333326</v>
      </c>
      <c r="H54" s="500" t="str">
        <f>IF(OR(G54&gt;=0.3,G54&lt;=-0.3),"超过30%","")</f>
        <v>超过30%</v>
      </c>
      <c r="I54" s="499">
        <f>IF(I47&lt;E47,E47/I47-1,I47/E47-1)</f>
        <v>0.37037037037037046</v>
      </c>
      <c r="J54" s="500" t="str">
        <f>IF(OR(I54&gt;=0.3,I54&lt;=-0.3),"超过30%","")</f>
        <v>超过30%</v>
      </c>
      <c r="K54" s="1144"/>
      <c r="L54" s="1145"/>
      <c r="M54" s="1141"/>
      <c r="N54" s="1141"/>
      <c r="O54" s="1141"/>
      <c r="P54" s="2616"/>
    </row>
    <row r="55" spans="1:29" s="502" customFormat="1">
      <c r="A55" s="1141"/>
      <c r="B55" s="1142"/>
      <c r="C55" s="1146"/>
      <c r="D55" s="1141"/>
      <c r="E55" s="1141"/>
      <c r="F55" s="1141"/>
      <c r="G55" s="1141"/>
      <c r="H55" s="1141"/>
      <c r="I55" s="1141"/>
      <c r="J55" s="1141"/>
      <c r="K55" s="1144"/>
      <c r="L55" s="1145"/>
      <c r="M55" s="1141"/>
      <c r="N55" s="1141"/>
      <c r="O55" s="1141"/>
      <c r="P55" s="2616"/>
    </row>
    <row r="56" spans="1:29">
      <c r="A56" s="1140"/>
      <c r="B56" s="1142"/>
      <c r="C56" s="1146"/>
      <c r="D56" s="1140"/>
      <c r="E56" s="1140"/>
      <c r="F56" s="1140"/>
      <c r="G56" s="1140"/>
      <c r="H56" s="1140"/>
      <c r="I56" s="1140"/>
      <c r="J56" s="1140"/>
      <c r="K56" s="1101"/>
      <c r="L56" s="1102"/>
      <c r="M56" s="1140"/>
      <c r="N56" s="1140"/>
      <c r="O56" s="1140"/>
    </row>
    <row r="57" spans="1:29" ht="21.75" thickBot="1">
      <c r="A57" s="761" t="s">
        <v>2575</v>
      </c>
      <c r="B57" s="757"/>
      <c r="C57" s="762"/>
      <c r="D57" s="762"/>
      <c r="E57" s="762"/>
      <c r="F57" s="763"/>
      <c r="G57" s="763"/>
      <c r="H57" s="762"/>
      <c r="I57" s="762"/>
      <c r="J57" s="762"/>
      <c r="K57" s="1156"/>
      <c r="L57" s="1157"/>
      <c r="M57" s="1155"/>
      <c r="N57" s="1155"/>
      <c r="O57" s="1155"/>
      <c r="P57" s="2617"/>
      <c r="Q57" s="504"/>
    </row>
    <row r="58" spans="1:29" s="508" customFormat="1" ht="15">
      <c r="A58" s="505" t="s">
        <v>2540</v>
      </c>
      <c r="B58" s="506"/>
      <c r="C58" s="1571" t="str">
        <f>YEAR(C7)&amp;"-"&amp;MONTH(C7)</f>
        <v>2019-11</v>
      </c>
      <c r="D58" s="1570">
        <f>EDATE(C58,-1)</f>
        <v>43739</v>
      </c>
      <c r="E58" s="1570">
        <f>EDATE(D58,-1)</f>
        <v>43709</v>
      </c>
      <c r="F58" s="1570">
        <f t="shared" ref="F58:O58" si="19">EDATE(E58,-1)</f>
        <v>43678</v>
      </c>
      <c r="G58" s="1570">
        <f t="shared" si="19"/>
        <v>43647</v>
      </c>
      <c r="H58" s="1570">
        <f t="shared" si="19"/>
        <v>43617</v>
      </c>
      <c r="I58" s="1570">
        <f t="shared" si="19"/>
        <v>43586</v>
      </c>
      <c r="J58" s="1570">
        <f t="shared" si="19"/>
        <v>43556</v>
      </c>
      <c r="K58" s="1570">
        <f t="shared" si="19"/>
        <v>43525</v>
      </c>
      <c r="L58" s="1570">
        <f t="shared" si="19"/>
        <v>43497</v>
      </c>
      <c r="M58" s="1570">
        <f t="shared" si="19"/>
        <v>43466</v>
      </c>
      <c r="N58" s="1570">
        <f t="shared" si="19"/>
        <v>43435</v>
      </c>
      <c r="O58" s="1570">
        <f t="shared" si="19"/>
        <v>43405</v>
      </c>
      <c r="P58" s="1565"/>
    </row>
    <row r="59" spans="1:29" s="117" customFormat="1" ht="15">
      <c r="A59" s="509"/>
      <c r="B59" s="2618"/>
      <c r="C59" s="1568">
        <v>100</v>
      </c>
      <c r="D59" s="511"/>
      <c r="E59" s="512"/>
      <c r="F59" s="512"/>
      <c r="G59" s="512"/>
      <c r="H59" s="512"/>
      <c r="I59" s="512"/>
      <c r="J59" s="512"/>
      <c r="K59" s="512"/>
      <c r="L59" s="512"/>
      <c r="M59" s="513"/>
      <c r="N59" s="512"/>
      <c r="O59" s="513"/>
      <c r="P59" s="2619"/>
    </row>
    <row r="60" spans="1:29" s="117" customFormat="1" ht="15.75" thickBot="1">
      <c r="A60" s="515" t="s">
        <v>2577</v>
      </c>
      <c r="B60" s="516"/>
      <c r="C60" s="517"/>
      <c r="D60" s="518"/>
      <c r="E60" s="518"/>
      <c r="F60" s="518"/>
      <c r="G60" s="518"/>
      <c r="H60" s="518"/>
      <c r="I60" s="518"/>
      <c r="J60" s="518"/>
      <c r="K60" s="518"/>
      <c r="L60" s="518"/>
      <c r="M60" s="519"/>
      <c r="N60" s="518"/>
      <c r="O60" s="519"/>
      <c r="P60" s="2619"/>
      <c r="Q60" s="504"/>
    </row>
    <row r="61" spans="1:29" s="117" customFormat="1" ht="15">
      <c r="A61" s="521" t="s">
        <v>2542</v>
      </c>
      <c r="B61" s="510"/>
      <c r="C61" s="522" t="s">
        <v>2579</v>
      </c>
      <c r="D61" s="523"/>
      <c r="E61" s="523"/>
      <c r="F61" s="523"/>
      <c r="G61" s="523"/>
      <c r="H61" s="523"/>
      <c r="I61" s="523"/>
      <c r="J61" s="523"/>
      <c r="K61" s="523"/>
      <c r="L61" s="524"/>
      <c r="M61" s="525"/>
      <c r="N61" s="1147"/>
      <c r="O61" s="1147"/>
      <c r="P61" s="2620"/>
      <c r="Q61" s="504"/>
    </row>
    <row r="62" spans="1:29" s="117" customFormat="1" ht="15.75" thickBot="1">
      <c r="A62" s="521"/>
      <c r="B62" s="510"/>
      <c r="C62" s="511">
        <v>100</v>
      </c>
      <c r="D62" s="512"/>
      <c r="E62" s="512"/>
      <c r="F62" s="512"/>
      <c r="G62" s="512"/>
      <c r="H62" s="512"/>
      <c r="I62" s="512"/>
      <c r="J62" s="512"/>
      <c r="K62" s="512"/>
      <c r="L62" s="512"/>
      <c r="M62" s="514"/>
      <c r="N62" s="1147"/>
      <c r="O62" s="1147"/>
      <c r="P62" s="2619"/>
      <c r="Q62" s="504"/>
    </row>
    <row r="63" spans="1:29">
      <c r="A63" s="527" t="s">
        <v>2580</v>
      </c>
      <c r="B63" s="528" t="s">
        <v>2546</v>
      </c>
      <c r="C63" s="529" t="str">
        <f>C9</f>
        <v>公寓</v>
      </c>
      <c r="D63" s="530"/>
      <c r="E63" s="530"/>
      <c r="F63" s="530"/>
      <c r="G63" s="530"/>
      <c r="H63" s="530"/>
      <c r="I63" s="530"/>
      <c r="J63" s="530"/>
      <c r="K63" s="531"/>
      <c r="L63" s="532"/>
      <c r="M63" s="533"/>
      <c r="N63" s="1148"/>
      <c r="O63" s="1148"/>
      <c r="P63" s="2621"/>
      <c r="Q63" s="504"/>
    </row>
    <row r="64" spans="1:29" ht="15.75" thickBot="1">
      <c r="A64" s="534"/>
      <c r="B64" s="535"/>
      <c r="C64" s="536">
        <v>100</v>
      </c>
      <c r="D64" s="536"/>
      <c r="E64" s="536"/>
      <c r="F64" s="536"/>
      <c r="G64" s="536"/>
      <c r="H64" s="536"/>
      <c r="I64" s="536"/>
      <c r="J64" s="536"/>
      <c r="K64" s="536"/>
      <c r="L64" s="536"/>
      <c r="M64" s="537"/>
      <c r="N64" s="1149"/>
      <c r="O64" s="1149"/>
      <c r="P64" s="2621"/>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48"/>
      <c r="O65" s="1148"/>
      <c r="P65" s="2621"/>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49"/>
      <c r="O66" s="1149"/>
      <c r="P66" s="2621"/>
      <c r="Q66" s="504"/>
    </row>
    <row r="67" spans="1:17" ht="15.75" thickTop="1">
      <c r="A67" s="534"/>
      <c r="B67" s="546" t="s">
        <v>2550</v>
      </c>
      <c r="C67" s="547" t="str">
        <f>C68&amp;"（含）"&amp;"-"&amp;D68</f>
        <v>0（含）-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1"/>
      <c r="Q67" s="504"/>
    </row>
    <row r="68" spans="1:17" ht="15">
      <c r="A68" s="534"/>
      <c r="B68" s="548"/>
      <c r="C68" s="549">
        <v>0</v>
      </c>
      <c r="D68" s="549"/>
      <c r="E68" s="549"/>
      <c r="F68" s="549"/>
      <c r="G68" s="549"/>
      <c r="H68" s="549"/>
      <c r="I68" s="549"/>
      <c r="J68" s="549"/>
      <c r="K68" s="550"/>
      <c r="L68" s="551"/>
      <c r="M68" s="552"/>
      <c r="N68" s="1148"/>
      <c r="O68" s="1148"/>
      <c r="P68" s="262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1"/>
      <c r="Q69" s="504"/>
    </row>
    <row r="70" spans="1:17" s="471" customFormat="1" ht="15.75" thickTop="1">
      <c r="A70" s="553"/>
      <c r="B70" s="538">
        <f>B12</f>
        <v>0</v>
      </c>
      <c r="C70" s="554"/>
      <c r="D70" s="554"/>
      <c r="E70" s="554"/>
      <c r="F70" s="554"/>
      <c r="G70" s="554"/>
      <c r="H70" s="555"/>
      <c r="I70" s="555"/>
      <c r="J70" s="555"/>
      <c r="K70" s="555"/>
      <c r="L70" s="556"/>
      <c r="M70" s="557"/>
      <c r="N70" s="1150"/>
      <c r="O70" s="1150"/>
      <c r="P70" s="2622"/>
      <c r="Q70" s="559"/>
    </row>
    <row r="71" spans="1:17" s="471" customFormat="1" ht="15.75" thickBot="1">
      <c r="A71" s="553"/>
      <c r="B71" s="543"/>
      <c r="C71" s="560"/>
      <c r="D71" s="536"/>
      <c r="E71" s="536"/>
      <c r="F71" s="536"/>
      <c r="G71" s="536"/>
      <c r="H71" s="536"/>
      <c r="I71" s="536"/>
      <c r="J71" s="536"/>
      <c r="K71" s="536"/>
      <c r="L71" s="536"/>
      <c r="M71" s="537"/>
      <c r="N71" s="1149"/>
      <c r="O71" s="1149"/>
      <c r="P71" s="2622"/>
      <c r="Q71" s="559"/>
    </row>
    <row r="72" spans="1:17" s="471" customFormat="1" ht="15.75" thickTop="1">
      <c r="A72" s="553"/>
      <c r="B72" s="538">
        <f>B13</f>
        <v>0</v>
      </c>
      <c r="C72" s="554"/>
      <c r="D72" s="554"/>
      <c r="E72" s="554"/>
      <c r="F72" s="554"/>
      <c r="G72" s="554"/>
      <c r="H72" s="555"/>
      <c r="I72" s="555"/>
      <c r="J72" s="555"/>
      <c r="K72" s="555"/>
      <c r="L72" s="556"/>
      <c r="M72" s="557"/>
      <c r="N72" s="1150"/>
      <c r="O72" s="1150"/>
      <c r="P72" s="2623"/>
      <c r="Q72" s="561"/>
    </row>
    <row r="73" spans="1:17" s="471" customFormat="1" ht="15.75" thickBot="1">
      <c r="A73" s="553"/>
      <c r="B73" s="543"/>
      <c r="C73" s="560"/>
      <c r="D73" s="560"/>
      <c r="E73" s="560"/>
      <c r="F73" s="560"/>
      <c r="G73" s="560"/>
      <c r="H73" s="562"/>
      <c r="I73" s="562"/>
      <c r="J73" s="562"/>
      <c r="K73" s="562"/>
      <c r="L73" s="562"/>
      <c r="M73" s="563"/>
      <c r="N73" s="1150"/>
      <c r="O73" s="1150"/>
      <c r="P73" s="2622"/>
      <c r="Q73" s="559"/>
    </row>
    <row r="74" spans="1:17" s="471" customFormat="1" ht="15.75" thickTop="1">
      <c r="A74" s="553"/>
      <c r="B74" s="546">
        <f>B14</f>
        <v>0</v>
      </c>
      <c r="C74" s="554"/>
      <c r="D74" s="554"/>
      <c r="E74" s="554"/>
      <c r="F74" s="554"/>
      <c r="G74" s="523"/>
      <c r="H74" s="564"/>
      <c r="I74" s="564"/>
      <c r="J74" s="564"/>
      <c r="K74" s="564"/>
      <c r="L74" s="565"/>
      <c r="M74" s="566"/>
      <c r="N74" s="1150"/>
      <c r="O74" s="1150"/>
      <c r="P74" s="2624"/>
      <c r="Q74" s="559"/>
    </row>
    <row r="75" spans="1:17" s="471" customFormat="1" ht="15.75" thickBot="1">
      <c r="A75" s="568"/>
      <c r="B75" s="569"/>
      <c r="C75" s="570"/>
      <c r="D75" s="570"/>
      <c r="E75" s="570"/>
      <c r="F75" s="570"/>
      <c r="G75" s="570"/>
      <c r="H75" s="571"/>
      <c r="I75" s="571"/>
      <c r="J75" s="571"/>
      <c r="K75" s="571"/>
      <c r="L75" s="571"/>
      <c r="M75" s="572"/>
      <c r="N75" s="1150"/>
      <c r="O75" s="1150"/>
      <c r="P75" s="2622"/>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48"/>
      <c r="O76" s="1148"/>
      <c r="P76" s="2625"/>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49"/>
      <c r="O77" s="1149"/>
      <c r="P77" s="2621"/>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48"/>
      <c r="O78" s="1148"/>
      <c r="P78" s="2621"/>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49"/>
      <c r="O79" s="1149"/>
      <c r="P79" s="2621"/>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48"/>
      <c r="O80" s="1148"/>
      <c r="P80" s="2621"/>
      <c r="Q80" s="504"/>
    </row>
    <row r="81" spans="1:17" ht="15.75" thickBot="1">
      <c r="A81" s="534"/>
      <c r="B81" s="543"/>
      <c r="C81" s="544">
        <v>100</v>
      </c>
      <c r="D81" s="544">
        <f>C81-$K19</f>
        <v>95</v>
      </c>
      <c r="E81" s="544">
        <f>D81-$K19</f>
        <v>90</v>
      </c>
      <c r="F81" s="544">
        <f>E81-$K19</f>
        <v>85</v>
      </c>
      <c r="G81" s="544">
        <f>F81-$K19</f>
        <v>80</v>
      </c>
      <c r="H81" s="544"/>
      <c r="I81" s="544"/>
      <c r="J81" s="544"/>
      <c r="K81" s="544"/>
      <c r="L81" s="544"/>
      <c r="M81" s="545"/>
      <c r="N81" s="1149"/>
      <c r="O81" s="1149"/>
      <c r="P81" s="2621"/>
      <c r="Q81" s="504"/>
    </row>
    <row r="82" spans="1:17" ht="15.75" thickTop="1">
      <c r="A82" s="534"/>
      <c r="B82" s="546" t="s">
        <v>2093</v>
      </c>
      <c r="C82" s="539" t="s">
        <v>2596</v>
      </c>
      <c r="D82" s="539" t="s">
        <v>2597</v>
      </c>
      <c r="E82" s="539" t="s">
        <v>2598</v>
      </c>
      <c r="F82" s="539" t="s">
        <v>2599</v>
      </c>
      <c r="G82" s="539" t="s">
        <v>2600</v>
      </c>
      <c r="H82" s="539"/>
      <c r="I82" s="539"/>
      <c r="J82" s="539"/>
      <c r="K82" s="539"/>
      <c r="L82" s="539"/>
      <c r="M82" s="1378"/>
      <c r="N82" s="1149"/>
      <c r="O82" s="1149"/>
      <c r="P82" s="2621"/>
      <c r="Q82" s="504"/>
    </row>
    <row r="83" spans="1:17" ht="15.75" thickBot="1">
      <c r="A83" s="534"/>
      <c r="B83" s="546"/>
      <c r="C83" s="659">
        <v>100</v>
      </c>
      <c r="D83" s="659">
        <f>C83-$K21</f>
        <v>97</v>
      </c>
      <c r="E83" s="659">
        <f t="shared" ref="E83:G83" si="23">D83-$K21</f>
        <v>94</v>
      </c>
      <c r="F83" s="659">
        <f t="shared" si="23"/>
        <v>91</v>
      </c>
      <c r="G83" s="659">
        <f t="shared" si="23"/>
        <v>88</v>
      </c>
      <c r="H83" s="659"/>
      <c r="I83" s="659"/>
      <c r="J83" s="659"/>
      <c r="K83" s="659"/>
      <c r="L83" s="659"/>
      <c r="M83" s="450"/>
      <c r="N83" s="1149"/>
      <c r="O83" s="1149"/>
      <c r="P83" s="2621"/>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48"/>
      <c r="O84" s="1148"/>
      <c r="P84" s="2621"/>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49"/>
      <c r="O85" s="1149"/>
      <c r="P85" s="2621"/>
      <c r="Q85" s="504"/>
    </row>
    <row r="86" spans="1:17" s="117" customFormat="1" ht="15.75" thickTop="1">
      <c r="A86" s="579"/>
      <c r="B86" s="538" t="s">
        <v>2602</v>
      </c>
      <c r="C86" s="554"/>
      <c r="D86" s="554"/>
      <c r="E86" s="554"/>
      <c r="F86" s="554"/>
      <c r="G86" s="554"/>
      <c r="H86" s="554"/>
      <c r="I86" s="554"/>
      <c r="J86" s="554"/>
      <c r="K86" s="554"/>
      <c r="L86" s="580"/>
      <c r="M86" s="581"/>
      <c r="N86" s="1147"/>
      <c r="O86" s="1147"/>
      <c r="P86" s="262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1"/>
      <c r="Q87" s="504"/>
    </row>
    <row r="88" spans="1:17" s="117" customFormat="1" ht="15.75" thickTop="1">
      <c r="A88" s="579"/>
      <c r="B88" s="538" t="s">
        <v>2603</v>
      </c>
      <c r="C88" s="554"/>
      <c r="D88" s="554"/>
      <c r="E88" s="554"/>
      <c r="F88" s="2626"/>
      <c r="G88" s="554"/>
      <c r="H88" s="554"/>
      <c r="I88" s="554"/>
      <c r="J88" s="554"/>
      <c r="K88" s="554"/>
      <c r="L88" s="554"/>
      <c r="M88" s="581"/>
      <c r="N88" s="1147"/>
      <c r="O88" s="1147"/>
      <c r="P88" s="262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1"/>
      <c r="Q89" s="504"/>
    </row>
    <row r="90" spans="1:17" s="471" customFormat="1" ht="15.75" thickTop="1">
      <c r="A90" s="553"/>
      <c r="B90" s="538">
        <f>B27</f>
        <v>0</v>
      </c>
      <c r="C90" s="554"/>
      <c r="D90" s="554"/>
      <c r="E90" s="554"/>
      <c r="F90" s="554"/>
      <c r="G90" s="554"/>
      <c r="H90" s="555"/>
      <c r="I90" s="555"/>
      <c r="J90" s="555"/>
      <c r="K90" s="555"/>
      <c r="L90" s="556"/>
      <c r="M90" s="557"/>
      <c r="N90" s="1150"/>
      <c r="O90" s="1150"/>
      <c r="P90" s="2622"/>
      <c r="Q90" s="559"/>
    </row>
    <row r="91" spans="1:17" s="471" customFormat="1" ht="15.75" thickBot="1">
      <c r="A91" s="553"/>
      <c r="B91" s="543"/>
      <c r="C91" s="560"/>
      <c r="D91" s="560"/>
      <c r="E91" s="560"/>
      <c r="F91" s="560"/>
      <c r="G91" s="560"/>
      <c r="H91" s="562"/>
      <c r="I91" s="562"/>
      <c r="J91" s="562"/>
      <c r="K91" s="562"/>
      <c r="L91" s="562"/>
      <c r="M91" s="563"/>
      <c r="N91" s="1150"/>
      <c r="O91" s="1150"/>
      <c r="P91" s="2622"/>
      <c r="Q91" s="559"/>
    </row>
    <row r="92" spans="1:17" ht="15.75" thickTop="1">
      <c r="A92" s="534"/>
      <c r="B92" s="538">
        <f>B28</f>
        <v>0</v>
      </c>
      <c r="C92" s="554"/>
      <c r="D92" s="554"/>
      <c r="E92" s="554"/>
      <c r="F92" s="554"/>
      <c r="G92" s="583"/>
      <c r="H92" s="583"/>
      <c r="I92" s="583"/>
      <c r="J92" s="583"/>
      <c r="K92" s="584"/>
      <c r="L92" s="585"/>
      <c r="M92" s="586"/>
      <c r="N92" s="1148"/>
      <c r="O92" s="1148"/>
      <c r="P92" s="2621"/>
      <c r="Q92" s="504"/>
    </row>
    <row r="93" spans="1:17" ht="15.75" thickBot="1">
      <c r="A93" s="534"/>
      <c r="B93" s="543"/>
      <c r="C93" s="560"/>
      <c r="D93" s="536"/>
      <c r="E93" s="536"/>
      <c r="F93" s="536"/>
      <c r="G93" s="536"/>
      <c r="H93" s="536"/>
      <c r="I93" s="536"/>
      <c r="J93" s="536"/>
      <c r="K93" s="536"/>
      <c r="L93" s="536"/>
      <c r="M93" s="537"/>
      <c r="N93" s="1149"/>
      <c r="O93" s="1149"/>
      <c r="P93" s="2621"/>
      <c r="Q93" s="504"/>
    </row>
    <row r="94" spans="1:17" ht="15.75" thickTop="1">
      <c r="A94" s="534"/>
      <c r="B94" s="538">
        <f>B29</f>
        <v>0</v>
      </c>
      <c r="C94" s="554"/>
      <c r="D94" s="554"/>
      <c r="E94" s="554"/>
      <c r="F94" s="554"/>
      <c r="G94" s="583"/>
      <c r="H94" s="583"/>
      <c r="I94" s="583"/>
      <c r="J94" s="583"/>
      <c r="K94" s="584"/>
      <c r="L94" s="585"/>
      <c r="M94" s="586"/>
      <c r="N94" s="1148"/>
      <c r="O94" s="1148"/>
      <c r="P94" s="2621"/>
      <c r="Q94" s="504"/>
    </row>
    <row r="95" spans="1:17" ht="15.75" thickBot="1">
      <c r="A95" s="534"/>
      <c r="B95" s="543"/>
      <c r="C95" s="560"/>
      <c r="D95" s="560"/>
      <c r="E95" s="560"/>
      <c r="F95" s="560"/>
      <c r="G95" s="536"/>
      <c r="H95" s="536"/>
      <c r="I95" s="536"/>
      <c r="J95" s="536"/>
      <c r="K95" s="536"/>
      <c r="L95" s="536"/>
      <c r="M95" s="537"/>
      <c r="N95" s="1149"/>
      <c r="O95" s="1149"/>
      <c r="P95" s="2621"/>
      <c r="Q95" s="504"/>
    </row>
    <row r="96" spans="1:17" ht="15.75" thickTop="1">
      <c r="A96" s="534"/>
      <c r="B96" s="538">
        <f>B30</f>
        <v>0</v>
      </c>
      <c r="C96" s="554"/>
      <c r="D96" s="554"/>
      <c r="E96" s="554"/>
      <c r="F96" s="554"/>
      <c r="G96" s="583"/>
      <c r="H96" s="583"/>
      <c r="I96" s="583"/>
      <c r="J96" s="583"/>
      <c r="K96" s="584"/>
      <c r="L96" s="585"/>
      <c r="M96" s="586"/>
      <c r="N96" s="1148"/>
      <c r="O96" s="1148"/>
      <c r="P96" s="2621"/>
      <c r="Q96" s="504"/>
    </row>
    <row r="97" spans="1:17" ht="15.75" thickBot="1">
      <c r="A97" s="534"/>
      <c r="B97" s="543"/>
      <c r="C97" s="570"/>
      <c r="D97" s="570"/>
      <c r="E97" s="570"/>
      <c r="F97" s="570"/>
      <c r="G97" s="536"/>
      <c r="H97" s="536"/>
      <c r="I97" s="536"/>
      <c r="J97" s="536"/>
      <c r="K97" s="536"/>
      <c r="L97" s="536"/>
      <c r="M97" s="537"/>
      <c r="N97" s="1149"/>
      <c r="O97" s="1149"/>
      <c r="P97" s="2621"/>
      <c r="Q97" s="504"/>
    </row>
    <row r="98" spans="1:17" ht="15.75" thickTop="1">
      <c r="A98" s="534"/>
      <c r="B98" s="546">
        <f>B31</f>
        <v>0</v>
      </c>
      <c r="C98" s="587"/>
      <c r="D98" s="587"/>
      <c r="E98" s="587"/>
      <c r="F98" s="587"/>
      <c r="G98" s="587"/>
      <c r="H98" s="587"/>
      <c r="I98" s="587"/>
      <c r="J98" s="587"/>
      <c r="K98" s="588"/>
      <c r="L98" s="589"/>
      <c r="M98" s="590"/>
      <c r="N98" s="1148"/>
      <c r="O98" s="1148"/>
      <c r="P98" s="2621"/>
      <c r="Q98" s="504"/>
    </row>
    <row r="99" spans="1:17" ht="15.75" thickBot="1">
      <c r="A99" s="2627"/>
      <c r="B99" s="569"/>
      <c r="C99" s="591"/>
      <c r="D99" s="591"/>
      <c r="E99" s="591"/>
      <c r="F99" s="591"/>
      <c r="G99" s="591"/>
      <c r="H99" s="591"/>
      <c r="I99" s="591"/>
      <c r="J99" s="591"/>
      <c r="K99" s="591"/>
      <c r="L99" s="591"/>
      <c r="M99" s="592"/>
      <c r="N99" s="1149"/>
      <c r="O99" s="1149"/>
      <c r="P99" s="2621"/>
      <c r="Q99" s="504"/>
    </row>
    <row r="100" spans="1:17">
      <c r="A100" s="527" t="s">
        <v>2555</v>
      </c>
      <c r="B100" s="528" t="s">
        <v>2604</v>
      </c>
      <c r="C100" s="2985" t="s">
        <v>3825</v>
      </c>
      <c r="D100" s="530"/>
      <c r="E100" s="530"/>
      <c r="F100" s="530"/>
      <c r="G100" s="530"/>
      <c r="H100" s="530"/>
      <c r="I100" s="530"/>
      <c r="J100" s="530"/>
      <c r="K100" s="531"/>
      <c r="L100" s="532"/>
      <c r="M100" s="533"/>
      <c r="N100" s="1148"/>
      <c r="O100" s="1148"/>
      <c r="P100" s="2621"/>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49"/>
      <c r="O101" s="1149"/>
      <c r="P101" s="2621"/>
      <c r="Q101" s="504"/>
    </row>
    <row r="102" spans="1:17" ht="15.75" thickTop="1">
      <c r="A102" s="534"/>
      <c r="B102" s="538" t="s">
        <v>2605</v>
      </c>
      <c r="C102" s="578" t="str">
        <f>C103&amp;"(含)"&amp;"-"&amp;D103</f>
        <v>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1"/>
      <c r="Q102" s="504"/>
    </row>
    <row r="103" spans="1:17" s="471" customFormat="1">
      <c r="A103" s="593"/>
      <c r="B103" s="594"/>
      <c r="C103" s="595">
        <v>0</v>
      </c>
      <c r="D103" s="595"/>
      <c r="E103" s="595"/>
      <c r="F103" s="595"/>
      <c r="G103" s="595"/>
      <c r="H103" s="595"/>
      <c r="I103" s="595"/>
      <c r="J103" s="596"/>
      <c r="K103" s="596"/>
      <c r="L103" s="597"/>
      <c r="M103" s="598"/>
      <c r="N103" s="1150"/>
      <c r="O103" s="1150"/>
      <c r="P103" s="2622"/>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2"/>
      <c r="Q104" s="559"/>
    </row>
    <row r="105" spans="1:17" ht="15" thickTop="1">
      <c r="A105" s="599"/>
      <c r="B105" s="538" t="s">
        <v>2606</v>
      </c>
      <c r="C105" s="3005" t="s">
        <v>3826</v>
      </c>
      <c r="D105" s="554"/>
      <c r="E105" s="583"/>
      <c r="F105" s="583"/>
      <c r="G105" s="583"/>
      <c r="H105" s="583"/>
      <c r="I105" s="583"/>
      <c r="J105" s="583"/>
      <c r="K105" s="584"/>
      <c r="L105" s="585"/>
      <c r="M105" s="586"/>
      <c r="N105" s="1148"/>
      <c r="O105" s="1148"/>
      <c r="P105" s="2621"/>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49"/>
      <c r="O106" s="1149"/>
      <c r="P106" s="2621"/>
      <c r="Q106" s="504"/>
    </row>
    <row r="107" spans="1:17" ht="15" thickTop="1">
      <c r="A107" s="599"/>
      <c r="B107" s="538" t="s">
        <v>2607</v>
      </c>
      <c r="C107" s="3006" t="s">
        <v>3841</v>
      </c>
      <c r="D107" s="3006" t="s">
        <v>3828</v>
      </c>
      <c r="E107" s="583"/>
      <c r="F107" s="583"/>
      <c r="G107" s="583"/>
      <c r="H107" s="583"/>
      <c r="I107" s="583"/>
      <c r="J107" s="583"/>
      <c r="K107" s="584"/>
      <c r="L107" s="585"/>
      <c r="M107" s="586"/>
      <c r="N107" s="1148"/>
      <c r="O107" s="1148"/>
      <c r="P107" s="2621"/>
      <c r="Q107" s="504"/>
    </row>
    <row r="108" spans="1:17" ht="15.75" thickBot="1">
      <c r="A108" s="534"/>
      <c r="B108" s="543"/>
      <c r="C108" s="544">
        <v>100</v>
      </c>
      <c r="D108" s="544">
        <f t="shared" ref="D108:M108" si="29">C108-$K35</f>
        <v>95</v>
      </c>
      <c r="E108" s="544">
        <f t="shared" si="29"/>
        <v>90</v>
      </c>
      <c r="F108" s="544">
        <f t="shared" si="29"/>
        <v>85</v>
      </c>
      <c r="G108" s="544">
        <f t="shared" si="29"/>
        <v>80</v>
      </c>
      <c r="H108" s="544">
        <f t="shared" si="29"/>
        <v>75</v>
      </c>
      <c r="I108" s="544">
        <f t="shared" si="29"/>
        <v>70</v>
      </c>
      <c r="J108" s="544">
        <f t="shared" si="29"/>
        <v>65</v>
      </c>
      <c r="K108" s="544">
        <f t="shared" si="29"/>
        <v>60</v>
      </c>
      <c r="L108" s="544">
        <f t="shared" si="29"/>
        <v>55</v>
      </c>
      <c r="M108" s="544">
        <f t="shared" si="29"/>
        <v>50</v>
      </c>
      <c r="N108" s="1149"/>
      <c r="O108" s="1149"/>
      <c r="P108" s="2621"/>
      <c r="Q108" s="504"/>
    </row>
    <row r="109" spans="1:17" ht="15" thickTop="1">
      <c r="A109" s="599"/>
      <c r="B109" s="538" t="s">
        <v>2608</v>
      </c>
      <c r="C109" s="3005" t="s">
        <v>3830</v>
      </c>
      <c r="D109" s="554"/>
      <c r="E109" s="554"/>
      <c r="F109" s="583"/>
      <c r="G109" s="583"/>
      <c r="H109" s="583"/>
      <c r="I109" s="583"/>
      <c r="J109" s="583"/>
      <c r="K109" s="584"/>
      <c r="L109" s="585"/>
      <c r="M109" s="586"/>
      <c r="N109" s="1148"/>
      <c r="O109" s="1148"/>
      <c r="P109" s="2621"/>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49"/>
      <c r="O110" s="1149"/>
      <c r="P110" s="2621"/>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2"/>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0"/>
      <c r="O113" s="1150"/>
      <c r="P113" s="2622"/>
      <c r="Q113" s="559"/>
    </row>
    <row r="114" spans="1:17" ht="15" thickTop="1">
      <c r="A114" s="599"/>
      <c r="B114" s="538" t="s">
        <v>2609</v>
      </c>
      <c r="C114" s="3005" t="s">
        <v>3832</v>
      </c>
      <c r="D114" s="554"/>
      <c r="E114" s="583"/>
      <c r="F114" s="583"/>
      <c r="G114" s="583"/>
      <c r="H114" s="583"/>
      <c r="I114" s="583"/>
      <c r="J114" s="583"/>
      <c r="K114" s="584"/>
      <c r="L114" s="585"/>
      <c r="M114" s="586"/>
      <c r="N114" s="1148"/>
      <c r="O114" s="1148"/>
      <c r="P114" s="2621"/>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49"/>
      <c r="O115" s="1149"/>
      <c r="P115" s="2621"/>
      <c r="Q115" s="504"/>
    </row>
    <row r="116" spans="1:17" ht="15" thickTop="1">
      <c r="A116" s="599"/>
      <c r="B116" s="538" t="s">
        <v>2610</v>
      </c>
      <c r="C116" s="3005" t="s">
        <v>3833</v>
      </c>
      <c r="D116" s="554"/>
      <c r="E116" s="554"/>
      <c r="F116" s="554"/>
      <c r="G116" s="554"/>
      <c r="H116" s="583"/>
      <c r="I116" s="583"/>
      <c r="J116" s="583"/>
      <c r="K116" s="584"/>
      <c r="L116" s="585"/>
      <c r="M116" s="586"/>
      <c r="N116" s="1148"/>
      <c r="O116" s="1148"/>
      <c r="P116" s="2621"/>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49"/>
      <c r="O117" s="1149"/>
      <c r="P117" s="2621"/>
      <c r="Q117" s="504"/>
    </row>
    <row r="118" spans="1:17" ht="15" thickTop="1">
      <c r="A118" s="599"/>
      <c r="B118" s="538" t="s">
        <v>2611</v>
      </c>
      <c r="C118" s="3006" t="s">
        <v>3835</v>
      </c>
      <c r="D118" s="583"/>
      <c r="E118" s="583"/>
      <c r="F118" s="583"/>
      <c r="G118" s="583"/>
      <c r="H118" s="583"/>
      <c r="I118" s="583"/>
      <c r="J118" s="583"/>
      <c r="K118" s="584"/>
      <c r="L118" s="585"/>
      <c r="M118" s="586"/>
      <c r="N118" s="1148"/>
      <c r="O118" s="1148"/>
      <c r="P118" s="2621"/>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49"/>
      <c r="O119" s="1149"/>
      <c r="P119" s="2621"/>
      <c r="Q119" s="504"/>
    </row>
    <row r="120" spans="1:17" s="471" customFormat="1" ht="28.5" thickTop="1">
      <c r="A120" s="593"/>
      <c r="B120" s="538" t="s">
        <v>2566</v>
      </c>
      <c r="C120" s="554"/>
      <c r="D120" s="554"/>
      <c r="E120" s="554"/>
      <c r="F120" s="554"/>
      <c r="G120" s="554"/>
      <c r="H120" s="554"/>
      <c r="I120" s="554"/>
      <c r="J120" s="554"/>
      <c r="K120" s="554"/>
      <c r="L120" s="580"/>
      <c r="M120" s="581"/>
      <c r="N120" s="1150"/>
      <c r="O120" s="1150"/>
      <c r="P120" s="2622"/>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2"/>
      <c r="Q121" s="559"/>
    </row>
    <row r="122" spans="1:17" ht="15" thickTop="1">
      <c r="A122" s="599"/>
      <c r="B122" s="538" t="s">
        <v>2612</v>
      </c>
      <c r="C122" s="3005" t="s">
        <v>3837</v>
      </c>
      <c r="D122" s="3005" t="s">
        <v>3838</v>
      </c>
      <c r="E122" s="3005" t="s">
        <v>3840</v>
      </c>
      <c r="F122" s="583"/>
      <c r="G122" s="583"/>
      <c r="H122" s="583"/>
      <c r="I122" s="583"/>
      <c r="J122" s="583"/>
      <c r="K122" s="584"/>
      <c r="L122" s="585"/>
      <c r="M122" s="586"/>
      <c r="N122" s="1148"/>
      <c r="O122" s="1148"/>
      <c r="P122" s="2621"/>
      <c r="Q122" s="504"/>
    </row>
    <row r="123" spans="1:17" ht="15.75" thickBot="1">
      <c r="A123" s="534"/>
      <c r="B123" s="543"/>
      <c r="C123" s="544">
        <v>100</v>
      </c>
      <c r="D123" s="544">
        <f t="shared" ref="D123:M123" si="33">C123-$K42</f>
        <v>95</v>
      </c>
      <c r="E123" s="544">
        <f t="shared" si="33"/>
        <v>90</v>
      </c>
      <c r="F123" s="544">
        <f t="shared" si="33"/>
        <v>85</v>
      </c>
      <c r="G123" s="544">
        <f t="shared" si="33"/>
        <v>80</v>
      </c>
      <c r="H123" s="544">
        <f t="shared" si="33"/>
        <v>75</v>
      </c>
      <c r="I123" s="544">
        <f t="shared" si="33"/>
        <v>70</v>
      </c>
      <c r="J123" s="544">
        <f t="shared" si="33"/>
        <v>65</v>
      </c>
      <c r="K123" s="544">
        <f t="shared" si="33"/>
        <v>60</v>
      </c>
      <c r="L123" s="544">
        <f t="shared" si="33"/>
        <v>55</v>
      </c>
      <c r="M123" s="544">
        <f t="shared" si="33"/>
        <v>50</v>
      </c>
      <c r="N123" s="1149"/>
      <c r="O123" s="1149"/>
      <c r="P123" s="2621"/>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48"/>
      <c r="O124" s="1148"/>
      <c r="P124" s="262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1"/>
      <c r="Q125" s="504"/>
    </row>
    <row r="126" spans="1:17" s="471" customFormat="1" ht="15" thickTop="1">
      <c r="A126" s="593"/>
      <c r="B126" s="538">
        <f>B44</f>
        <v>0</v>
      </c>
      <c r="C126" s="554"/>
      <c r="D126" s="554"/>
      <c r="E126" s="554"/>
      <c r="F126" s="554"/>
      <c r="G126" s="554"/>
      <c r="H126" s="555"/>
      <c r="I126" s="555"/>
      <c r="J126" s="555"/>
      <c r="K126" s="555"/>
      <c r="L126" s="556"/>
      <c r="M126" s="557"/>
      <c r="N126" s="1150"/>
      <c r="O126" s="1150"/>
      <c r="P126" s="2622"/>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2"/>
      <c r="Q127" s="559"/>
    </row>
    <row r="128" spans="1:17" ht="15" thickTop="1">
      <c r="A128" s="599"/>
      <c r="B128" s="538">
        <f>B45</f>
        <v>0</v>
      </c>
      <c r="C128" s="554"/>
      <c r="D128" s="554"/>
      <c r="E128" s="554"/>
      <c r="F128" s="554"/>
      <c r="G128" s="583"/>
      <c r="H128" s="583"/>
      <c r="I128" s="583"/>
      <c r="J128" s="583"/>
      <c r="K128" s="584"/>
      <c r="L128" s="585"/>
      <c r="M128" s="586"/>
      <c r="N128" s="1148"/>
      <c r="O128" s="1148"/>
      <c r="P128" s="2621"/>
      <c r="Q128" s="504"/>
    </row>
    <row r="129" spans="1:17" ht="15.75" thickBot="1">
      <c r="A129" s="534"/>
      <c r="B129" s="543"/>
      <c r="C129" s="560"/>
      <c r="D129" s="560"/>
      <c r="E129" s="560"/>
      <c r="F129" s="560"/>
      <c r="G129" s="536"/>
      <c r="H129" s="536"/>
      <c r="I129" s="536"/>
      <c r="J129" s="536"/>
      <c r="K129" s="536"/>
      <c r="L129" s="536"/>
      <c r="M129" s="537"/>
      <c r="N129" s="1149"/>
      <c r="O129" s="1149"/>
      <c r="P129" s="2621"/>
      <c r="Q129" s="504"/>
    </row>
    <row r="130" spans="1:17" ht="15" thickTop="1">
      <c r="A130" s="599"/>
      <c r="B130" s="546">
        <f>B46</f>
        <v>0</v>
      </c>
      <c r="C130" s="554"/>
      <c r="D130" s="554"/>
      <c r="E130" s="554"/>
      <c r="F130" s="554"/>
      <c r="G130" s="587"/>
      <c r="H130" s="587"/>
      <c r="I130" s="587"/>
      <c r="J130" s="587"/>
      <c r="K130" s="523"/>
      <c r="L130" s="524"/>
      <c r="M130" s="590"/>
      <c r="N130" s="1148"/>
      <c r="O130" s="1148"/>
      <c r="P130" s="2621"/>
      <c r="Q130" s="504"/>
    </row>
    <row r="131" spans="1:17" ht="15.75" thickBot="1">
      <c r="A131" s="2627"/>
      <c r="B131" s="569"/>
      <c r="C131" s="570"/>
      <c r="D131" s="570"/>
      <c r="E131" s="570"/>
      <c r="F131" s="570"/>
      <c r="G131" s="591"/>
      <c r="H131" s="591"/>
      <c r="I131" s="591"/>
      <c r="J131" s="591"/>
      <c r="K131" s="591"/>
      <c r="L131" s="591"/>
      <c r="M131" s="592"/>
      <c r="N131" s="1149"/>
      <c r="O131" s="1149"/>
      <c r="P131" s="2621"/>
      <c r="Q131" s="504"/>
    </row>
    <row r="136" spans="1:17" ht="15" thickBot="1">
      <c r="B136" s="2628" t="s">
        <v>2614</v>
      </c>
    </row>
    <row r="137" spans="1:17" ht="15">
      <c r="B137" s="2629" t="s">
        <v>2615</v>
      </c>
      <c r="C137" s="2630"/>
      <c r="D137" s="2630"/>
      <c r="E137" s="2630"/>
      <c r="F137" s="2630"/>
      <c r="G137" s="2631"/>
      <c r="H137" s="2632"/>
      <c r="I137" s="2633" t="s">
        <v>2616</v>
      </c>
      <c r="J137" s="2630"/>
      <c r="K137" s="2634"/>
    </row>
    <row r="138" spans="1:17" ht="15">
      <c r="B138" s="2635"/>
      <c r="C138" s="146" t="s">
        <v>2617</v>
      </c>
      <c r="D138" s="146" t="s">
        <v>2618</v>
      </c>
      <c r="E138" s="2636" t="s">
        <v>2619</v>
      </c>
      <c r="F138" s="2637" t="s">
        <v>2620</v>
      </c>
      <c r="G138" s="146" t="s">
        <v>2618</v>
      </c>
      <c r="H138" s="147" t="s">
        <v>2619</v>
      </c>
      <c r="I138" s="2638"/>
      <c r="J138" s="146" t="s">
        <v>2621</v>
      </c>
      <c r="K138" s="147" t="s">
        <v>2622</v>
      </c>
    </row>
    <row r="139" spans="1:17" ht="15">
      <c r="B139" s="1080">
        <v>6</v>
      </c>
      <c r="C139" s="1081">
        <v>96</v>
      </c>
      <c r="D139" s="2639" t="s">
        <v>2623</v>
      </c>
      <c r="E139" s="1082">
        <v>100</v>
      </c>
      <c r="F139" s="1083">
        <v>102.5</v>
      </c>
      <c r="G139" s="2639" t="s">
        <v>2623</v>
      </c>
      <c r="H139" s="1084">
        <v>105</v>
      </c>
      <c r="I139" s="2640" t="s">
        <v>2624</v>
      </c>
      <c r="J139" s="1081">
        <v>20</v>
      </c>
      <c r="K139" s="1085">
        <f>C145/(J139-2)</f>
        <v>4.0555555555555553E-3</v>
      </c>
    </row>
    <row r="140" spans="1:17" ht="15">
      <c r="B140" s="1086">
        <v>5</v>
      </c>
      <c r="C140" s="1087">
        <v>100</v>
      </c>
      <c r="D140" s="1087"/>
      <c r="E140" s="1088"/>
      <c r="F140" s="1089">
        <v>102</v>
      </c>
      <c r="G140" s="1087"/>
      <c r="H140" s="1090"/>
      <c r="I140" s="2641" t="s">
        <v>2625</v>
      </c>
      <c r="J140" s="315">
        <f>ROUNDUP((J139-1)/2,0)</f>
        <v>10</v>
      </c>
      <c r="K140" s="1091">
        <v>100</v>
      </c>
    </row>
    <row r="141" spans="1:17" ht="15">
      <c r="B141" s="1086">
        <v>4</v>
      </c>
      <c r="C141" s="1087">
        <v>102</v>
      </c>
      <c r="D141" s="1087"/>
      <c r="E141" s="1088"/>
      <c r="F141" s="1089">
        <v>101.5</v>
      </c>
      <c r="G141" s="1087"/>
      <c r="H141" s="1090"/>
      <c r="I141" s="2641" t="s">
        <v>2626</v>
      </c>
      <c r="J141" s="315">
        <v>1</v>
      </c>
      <c r="K141" s="1092">
        <f>ROUND(100+(J141-J140)*K139*100,1)</f>
        <v>96.4</v>
      </c>
    </row>
    <row r="142" spans="1:17" ht="15">
      <c r="B142" s="1086">
        <v>3</v>
      </c>
      <c r="C142" s="1087">
        <v>103</v>
      </c>
      <c r="D142" s="1087"/>
      <c r="E142" s="1088"/>
      <c r="F142" s="1089">
        <v>101</v>
      </c>
      <c r="G142" s="1087"/>
      <c r="H142" s="1090"/>
      <c r="I142" s="2641" t="s">
        <v>2627</v>
      </c>
      <c r="J142" s="315">
        <f>J139</f>
        <v>20</v>
      </c>
      <c r="K142" s="1093">
        <v>95</v>
      </c>
    </row>
    <row r="143" spans="1:17" ht="15">
      <c r="B143" s="1086">
        <v>2</v>
      </c>
      <c r="C143" s="1087">
        <v>100</v>
      </c>
      <c r="D143" s="1087"/>
      <c r="E143" s="1088"/>
      <c r="F143" s="1089">
        <v>100.5</v>
      </c>
      <c r="G143" s="1087"/>
      <c r="H143" s="1090"/>
      <c r="I143" s="2641" t="s">
        <v>2628</v>
      </c>
      <c r="J143" s="1087">
        <v>15</v>
      </c>
      <c r="K143" s="1092">
        <f>ROUND(100+(J143-J140)*K139*100,1)</f>
        <v>102</v>
      </c>
    </row>
    <row r="144" spans="1:17" ht="15">
      <c r="B144" s="1086">
        <v>1</v>
      </c>
      <c r="C144" s="1087">
        <v>98</v>
      </c>
      <c r="D144" s="2642" t="s">
        <v>2629</v>
      </c>
      <c r="E144" s="1088">
        <v>102</v>
      </c>
      <c r="F144" s="1094">
        <v>100</v>
      </c>
      <c r="G144" s="2642" t="s">
        <v>2629</v>
      </c>
      <c r="H144" s="1090">
        <v>105</v>
      </c>
      <c r="I144" s="2641" t="s">
        <v>2628</v>
      </c>
      <c r="J144" s="1087">
        <v>18</v>
      </c>
      <c r="K144" s="1092">
        <f>ROUND(100+(J144-J140)*K139*100,1)</f>
        <v>103.2</v>
      </c>
    </row>
    <row r="145" spans="2:11" ht="15.75" thickBot="1">
      <c r="B145" s="2643" t="s">
        <v>2630</v>
      </c>
      <c r="C145" s="1095">
        <f>ROUND(MAX(C139:C144)/MIN(C139:C144)-1,3)</f>
        <v>7.2999999999999995E-2</v>
      </c>
      <c r="D145" s="1096"/>
      <c r="E145" s="1096"/>
      <c r="F145" s="2644" t="s">
        <v>2631</v>
      </c>
      <c r="G145" s="2645"/>
      <c r="H145" s="2646"/>
      <c r="I145" s="2647" t="s">
        <v>2628</v>
      </c>
      <c r="J145" s="1097">
        <v>8</v>
      </c>
      <c r="K145" s="1098">
        <f>ROUND(100+(J145-J140)*K139*100,1)</f>
        <v>99.2</v>
      </c>
    </row>
    <row r="147" spans="2:11">
      <c r="B147" s="2628" t="s">
        <v>2632</v>
      </c>
    </row>
    <row r="148" spans="2:11">
      <c r="B148" s="2628" t="s">
        <v>2633</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28" priority="14" stopIfTrue="1" operator="containsText" text="超过">
      <formula>NOT(ISERROR(SEARCH("超过",F52)))</formula>
    </cfRule>
  </conditionalFormatting>
  <conditionalFormatting sqref="J54">
    <cfRule type="containsText" dxfId="127" priority="13" stopIfTrue="1" operator="containsText" text="超过">
      <formula>NOT(ISERROR(SEARCH("超过",J54)))</formula>
    </cfRule>
  </conditionalFormatting>
  <conditionalFormatting sqref="H54">
    <cfRule type="containsText" dxfId="126" priority="12" stopIfTrue="1" operator="containsText" text="超过">
      <formula>NOT(ISERROR(SEARCH("超过",H54)))</formula>
    </cfRule>
  </conditionalFormatting>
  <conditionalFormatting sqref="F54">
    <cfRule type="containsText" dxfId="125" priority="11" stopIfTrue="1" operator="containsText" text="超过">
      <formula>NOT(ISERROR(SEARCH("超过",F54)))</formula>
    </cfRule>
  </conditionalFormatting>
  <conditionalFormatting sqref="F53 H53 J53">
    <cfRule type="containsText" dxfId="124" priority="10" stopIfTrue="1" operator="containsText" text="超过">
      <formula>NOT(ISERROR(SEARCH("超过",F53)))</formula>
    </cfRule>
  </conditionalFormatting>
  <conditionalFormatting sqref="E52">
    <cfRule type="expression" dxfId="123" priority="9"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C40" sqref="C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2520</v>
      </c>
      <c r="B1" s="2575" t="s">
        <v>2634</v>
      </c>
      <c r="C1" s="1629" t="s">
        <v>2522</v>
      </c>
      <c r="D1" s="1616" t="s">
        <v>3116</v>
      </c>
      <c r="E1" s="2648"/>
      <c r="F1" s="2577" t="s">
        <v>3849</v>
      </c>
      <c r="G1" s="1626" t="s">
        <v>2635</v>
      </c>
      <c r="H1" s="1625"/>
      <c r="I1" s="1625"/>
      <c r="J1" s="1625"/>
      <c r="K1" s="1627"/>
      <c r="L1" s="1628"/>
      <c r="M1" s="1629"/>
      <c r="N1" s="1629"/>
      <c r="O1" s="1629"/>
      <c r="P1" s="2649"/>
      <c r="Q1" s="2650"/>
      <c r="R1" s="2650"/>
      <c r="S1" s="2650"/>
      <c r="T1" s="2650"/>
      <c r="U1" s="2650"/>
      <c r="V1" s="2650"/>
      <c r="W1" s="2650"/>
      <c r="X1" s="2650"/>
      <c r="Y1" s="2650"/>
      <c r="Z1" s="2650"/>
      <c r="AA1" s="2650"/>
      <c r="AB1" s="2650"/>
      <c r="AC1" s="2651"/>
    </row>
    <row r="2" spans="1:29" s="398" customFormat="1" ht="28.5" customHeight="1" thickTop="1">
      <c r="A2" s="1612" t="s">
        <v>2322</v>
      </c>
      <c r="B2" s="1414">
        <f>IF(C2="——",ROUND(C49*D3/10000,0),ROUND(C49*D3/10000,0)-D2)</f>
        <v>163588</v>
      </c>
      <c r="C2" s="2579" t="s">
        <v>70</v>
      </c>
      <c r="D2" s="1361" t="e">
        <f ca="1">SUMIF(INDIRECT("'"&amp;F2&amp;"'"&amp;"!A:A"),"承租人权益价值",INDIRECT("'"&amp;F2&amp;"'"&amp;"!c:c"))</f>
        <v>#REF!</v>
      </c>
      <c r="E2" s="2580" t="s">
        <v>2323</v>
      </c>
      <c r="F2" s="2581"/>
      <c r="G2" s="1121"/>
      <c r="H2" s="1121"/>
      <c r="I2" s="1121"/>
      <c r="J2" s="1121"/>
      <c r="K2" s="1121"/>
      <c r="L2" s="1124"/>
      <c r="M2" s="1125"/>
      <c r="N2" s="1125"/>
      <c r="O2" s="1125"/>
      <c r="P2" s="2652"/>
      <c r="Q2" s="1125"/>
      <c r="R2" s="1125"/>
      <c r="S2" s="1125"/>
      <c r="T2" s="1125"/>
      <c r="U2" s="1125"/>
      <c r="V2" s="1125"/>
      <c r="W2" s="1125"/>
      <c r="X2" s="1125"/>
      <c r="Y2" s="1125"/>
      <c r="Z2" s="1125"/>
      <c r="AA2" s="1125"/>
      <c r="AB2" s="1125"/>
      <c r="AC2" s="2653"/>
    </row>
    <row r="3" spans="1:29" s="398" customFormat="1" ht="28.5" customHeight="1" thickBot="1">
      <c r="A3" s="247" t="s">
        <v>2324</v>
      </c>
      <c r="B3" s="609">
        <f>IF(C2="——",C49,ROUND(B2*10000/D3,0))</f>
        <v>20031</v>
      </c>
      <c r="C3" s="400" t="s">
        <v>2636</v>
      </c>
      <c r="D3" s="399">
        <f>IF(D1="",'数据-汇总表'!E3,SUMIF('数据-汇总表'!$C19:$C33,D1,'数据-汇总表'!$E19:$E33))</f>
        <v>81667.509999999995</v>
      </c>
      <c r="E3" s="2654"/>
      <c r="F3" s="1122"/>
      <c r="G3" s="1121"/>
      <c r="H3" s="1121"/>
      <c r="I3" s="1121"/>
      <c r="J3" s="1121"/>
      <c r="K3" s="1123"/>
      <c r="L3" s="1124"/>
      <c r="M3" s="1125"/>
      <c r="N3" s="1125"/>
      <c r="O3" s="1125"/>
      <c r="P3" s="2652"/>
      <c r="Q3" s="1125"/>
      <c r="R3" s="1125"/>
      <c r="S3" s="1125"/>
      <c r="T3" s="1125"/>
      <c r="U3" s="1125"/>
      <c r="V3" s="1125"/>
      <c r="W3" s="1125"/>
      <c r="X3" s="1125"/>
      <c r="Y3" s="1125"/>
      <c r="Z3" s="1125"/>
      <c r="AA3" s="1125"/>
      <c r="AB3" s="1125"/>
      <c r="AC3" s="2654"/>
    </row>
    <row r="4" spans="1:29" ht="15">
      <c r="A4" s="401" t="s">
        <v>2637</v>
      </c>
      <c r="B4" s="402"/>
      <c r="C4" s="3292" t="s">
        <v>2638</v>
      </c>
      <c r="D4" s="3293"/>
      <c r="E4" s="3294" t="s">
        <v>2639</v>
      </c>
      <c r="F4" s="3295"/>
      <c r="G4" s="3292" t="s">
        <v>2640</v>
      </c>
      <c r="H4" s="3293"/>
      <c r="I4" s="3292" t="s">
        <v>2641</v>
      </c>
      <c r="J4" s="3293"/>
      <c r="K4" s="610" t="s">
        <v>2642</v>
      </c>
      <c r="L4" s="1126"/>
      <c r="M4" s="1127"/>
      <c r="N4" s="1127"/>
      <c r="O4" s="1127"/>
      <c r="P4" s="3296" t="s">
        <v>2643</v>
      </c>
      <c r="Q4" s="3297"/>
      <c r="R4" s="3279" t="s">
        <v>2639</v>
      </c>
      <c r="S4" s="3280"/>
      <c r="T4" s="3279" t="s">
        <v>2640</v>
      </c>
      <c r="U4" s="3280"/>
      <c r="V4" s="3304" t="s">
        <v>2641</v>
      </c>
      <c r="W4" s="3304"/>
      <c r="X4" s="1808"/>
      <c r="Y4" s="3279" t="s">
        <v>2643</v>
      </c>
      <c r="Z4" s="3280"/>
      <c r="AA4" s="3274" t="s">
        <v>2639</v>
      </c>
      <c r="AB4" s="3304" t="s">
        <v>2640</v>
      </c>
      <c r="AC4" s="3274" t="s">
        <v>2641</v>
      </c>
    </row>
    <row r="5" spans="1:29" ht="15">
      <c r="A5" s="404"/>
      <c r="B5" s="405"/>
      <c r="C5" s="3285" t="s">
        <v>2534</v>
      </c>
      <c r="D5" s="3286"/>
      <c r="E5" s="3321" t="s">
        <v>3844</v>
      </c>
      <c r="F5" s="3284"/>
      <c r="G5" s="3322" t="s">
        <v>4085</v>
      </c>
      <c r="H5" s="3286"/>
      <c r="I5" s="3322" t="s">
        <v>4086</v>
      </c>
      <c r="J5" s="3286"/>
      <c r="K5" s="610"/>
      <c r="L5" s="1126"/>
      <c r="M5" s="1127"/>
      <c r="N5" s="1127"/>
      <c r="O5" s="1127"/>
      <c r="P5" s="3298"/>
      <c r="Q5" s="3299"/>
      <c r="R5" s="3281"/>
      <c r="S5" s="3282"/>
      <c r="T5" s="3281"/>
      <c r="U5" s="3282"/>
      <c r="V5" s="3304"/>
      <c r="W5" s="3304"/>
      <c r="X5" s="1808"/>
      <c r="Y5" s="3281"/>
      <c r="Z5" s="3282"/>
      <c r="AA5" s="3275"/>
      <c r="AB5" s="3304"/>
      <c r="AC5" s="3275"/>
    </row>
    <row r="6" spans="1:29" ht="15.75" thickBot="1">
      <c r="A6" s="406"/>
      <c r="B6" s="407"/>
      <c r="C6" s="3287" t="s">
        <v>2538</v>
      </c>
      <c r="D6" s="3288"/>
      <c r="E6" s="3289" t="s">
        <v>2538</v>
      </c>
      <c r="F6" s="3290"/>
      <c r="G6" s="3287" t="s">
        <v>2538</v>
      </c>
      <c r="H6" s="3288"/>
      <c r="I6" s="3287" t="s">
        <v>2538</v>
      </c>
      <c r="J6" s="3288"/>
      <c r="K6" s="610" t="s">
        <v>2539</v>
      </c>
      <c r="L6" s="1126"/>
      <c r="M6" s="1127"/>
      <c r="N6" s="1127"/>
      <c r="O6" s="1127"/>
      <c r="P6" s="3300"/>
      <c r="Q6" s="3301"/>
      <c r="R6" s="3281"/>
      <c r="S6" s="3282"/>
      <c r="T6" s="3302"/>
      <c r="U6" s="3303"/>
      <c r="V6" s="3304"/>
      <c r="W6" s="3304"/>
      <c r="X6" s="1808"/>
      <c r="Y6" s="3302"/>
      <c r="Z6" s="3303"/>
      <c r="AA6" s="3276"/>
      <c r="AB6" s="3304"/>
      <c r="AC6" s="3276"/>
    </row>
    <row r="7" spans="1:29" s="117" customFormat="1" ht="15.75" thickBot="1">
      <c r="A7" s="408" t="s">
        <v>2540</v>
      </c>
      <c r="B7" s="409"/>
      <c r="C7" s="410">
        <f>'数据-取费表'!B2</f>
        <v>43796</v>
      </c>
      <c r="D7" s="411">
        <v>100</v>
      </c>
      <c r="E7" s="412">
        <v>43770</v>
      </c>
      <c r="F7" s="413">
        <f>SUMIF(58:58,YEAR(E7)&amp;"-"&amp;MONTH(E7),59:59)</f>
        <v>100</v>
      </c>
      <c r="G7" s="412">
        <f>E7</f>
        <v>43770</v>
      </c>
      <c r="H7" s="411">
        <f>SUMIF(58:58,YEAR(G7)&amp;"-"&amp;MONTH(G7),59:59)</f>
        <v>100</v>
      </c>
      <c r="I7" s="412">
        <f>E7</f>
        <v>43770</v>
      </c>
      <c r="J7" s="411">
        <f>SUMIF(58:58,YEAR(I7)&amp;"-"&amp;MONTH(I7),59:59)</f>
        <v>100</v>
      </c>
      <c r="K7" s="611"/>
      <c r="L7" s="1128"/>
      <c r="M7" s="1129"/>
      <c r="N7" s="1129"/>
      <c r="O7" s="1129"/>
      <c r="P7" s="3277" t="s">
        <v>2541</v>
      </c>
      <c r="Q7" s="3305"/>
      <c r="R7" s="768" t="s">
        <v>17</v>
      </c>
      <c r="S7" s="769">
        <f t="shared" ref="S7:S15" si="0">F7</f>
        <v>100</v>
      </c>
      <c r="T7" s="768" t="s">
        <v>17</v>
      </c>
      <c r="U7" s="769">
        <f t="shared" ref="U7:U15" si="1">H7</f>
        <v>100</v>
      </c>
      <c r="V7" s="768" t="s">
        <v>17</v>
      </c>
      <c r="W7" s="769">
        <f t="shared" ref="W7:W15" si="2">J7</f>
        <v>100</v>
      </c>
      <c r="X7" s="770"/>
      <c r="Y7" s="3277" t="s">
        <v>2541</v>
      </c>
      <c r="Z7" s="3278"/>
      <c r="AA7" s="771">
        <f>D7/F7</f>
        <v>1</v>
      </c>
      <c r="AB7" s="771">
        <f>D7/H7</f>
        <v>1</v>
      </c>
      <c r="AC7" s="771">
        <f>D7/J7</f>
        <v>1</v>
      </c>
    </row>
    <row r="8" spans="1:29" s="117" customFormat="1" ht="15.75" thickBot="1">
      <c r="A8" s="408" t="s">
        <v>2542</v>
      </c>
      <c r="B8" s="409"/>
      <c r="C8" s="414" t="s">
        <v>2644</v>
      </c>
      <c r="D8" s="411">
        <v>100</v>
      </c>
      <c r="E8" s="414" t="s">
        <v>3605</v>
      </c>
      <c r="F8" s="413">
        <f>SUMIF(61:61,E8,62:62)-SUMIF(61:61,C8,62:62)+100</f>
        <v>100</v>
      </c>
      <c r="G8" s="414" t="s">
        <v>3605</v>
      </c>
      <c r="H8" s="411">
        <f>SUMIF(61:61,G8,62:62)-SUMIF(61:61,C8,62:62)+100</f>
        <v>100</v>
      </c>
      <c r="I8" s="414" t="s">
        <v>3605</v>
      </c>
      <c r="J8" s="411">
        <f>SUMIF(61:61,I8,62:62)-SUMIF(61:61,C8,62:62)+100</f>
        <v>100</v>
      </c>
      <c r="K8" s="611"/>
      <c r="L8" s="1128"/>
      <c r="M8" s="1129"/>
      <c r="N8" s="1129"/>
      <c r="O8" s="1129"/>
      <c r="P8" s="3277" t="s">
        <v>2544</v>
      </c>
      <c r="Q8" s="3278"/>
      <c r="R8" s="768" t="s">
        <v>17</v>
      </c>
      <c r="S8" s="769">
        <f t="shared" si="0"/>
        <v>100</v>
      </c>
      <c r="T8" s="768" t="s">
        <v>17</v>
      </c>
      <c r="U8" s="769">
        <f t="shared" si="1"/>
        <v>100</v>
      </c>
      <c r="V8" s="768" t="s">
        <v>17</v>
      </c>
      <c r="W8" s="769">
        <f t="shared" si="2"/>
        <v>100</v>
      </c>
      <c r="X8" s="770"/>
      <c r="Y8" s="3277" t="s">
        <v>2544</v>
      </c>
      <c r="Z8" s="3278"/>
      <c r="AA8" s="771">
        <f t="shared" ref="AA8:AA46" si="3">D8/F8</f>
        <v>1</v>
      </c>
      <c r="AB8" s="771">
        <f t="shared" ref="AB8:AB46" si="4">D8/H8</f>
        <v>1</v>
      </c>
      <c r="AC8" s="771">
        <f t="shared" ref="AC8:AC46" si="5">D8/J8</f>
        <v>1</v>
      </c>
    </row>
    <row r="9" spans="1:29" s="117" customFormat="1">
      <c r="A9" s="415" t="s">
        <v>2545</v>
      </c>
      <c r="B9" s="71" t="s">
        <v>2546</v>
      </c>
      <c r="C9" s="3004" t="s">
        <v>3851</v>
      </c>
      <c r="D9" s="135">
        <v>100</v>
      </c>
      <c r="E9" s="417" t="s">
        <v>3850</v>
      </c>
      <c r="F9" s="418">
        <f>SUMIF(63:63,E9,64:64)-SUMIF(63:63,C9,64:64)+100</f>
        <v>100</v>
      </c>
      <c r="G9" s="417" t="s">
        <v>3850</v>
      </c>
      <c r="H9" s="135">
        <f>SUMIF(63:63,G9,64:64)-SUMIF(63:63,C9,64:64)+100</f>
        <v>100</v>
      </c>
      <c r="I9" s="417" t="s">
        <v>3850</v>
      </c>
      <c r="J9" s="135">
        <f>SUMIF(63:63,I9,64:64)-SUMIF(63:63,C9,64:64)+100</f>
        <v>100</v>
      </c>
      <c r="K9" s="611"/>
      <c r="L9" s="1128"/>
      <c r="M9" s="1129"/>
      <c r="N9" s="1129"/>
      <c r="O9" s="1129"/>
      <c r="P9" s="3315" t="s">
        <v>2547</v>
      </c>
      <c r="Q9" s="1790" t="str">
        <f t="shared" ref="Q9:Q15" si="6">B9</f>
        <v>用途</v>
      </c>
      <c r="R9" s="768" t="s">
        <v>17</v>
      </c>
      <c r="S9" s="769">
        <f t="shared" si="0"/>
        <v>100</v>
      </c>
      <c r="T9" s="768" t="s">
        <v>17</v>
      </c>
      <c r="U9" s="769">
        <f t="shared" si="1"/>
        <v>100</v>
      </c>
      <c r="V9" s="768" t="s">
        <v>17</v>
      </c>
      <c r="W9" s="769">
        <f t="shared" si="2"/>
        <v>100</v>
      </c>
      <c r="X9" s="770"/>
      <c r="Y9" s="3136" t="s">
        <v>2548</v>
      </c>
      <c r="Z9" s="55" t="str">
        <f t="shared" ref="Z9:Z15" si="7">Q9</f>
        <v>用途</v>
      </c>
      <c r="AA9" s="771">
        <f t="shared" si="3"/>
        <v>1</v>
      </c>
      <c r="AB9" s="771">
        <f t="shared" si="4"/>
        <v>1</v>
      </c>
      <c r="AC9" s="771">
        <f t="shared" si="5"/>
        <v>1</v>
      </c>
    </row>
    <row r="10" spans="1:29" s="427" customFormat="1" ht="27">
      <c r="A10" s="421"/>
      <c r="B10" s="422" t="s">
        <v>2549</v>
      </c>
      <c r="C10" s="423" t="s">
        <v>3846</v>
      </c>
      <c r="D10" s="136">
        <v>100</v>
      </c>
      <c r="E10" s="424" t="s">
        <v>3846</v>
      </c>
      <c r="F10" s="425">
        <f>SUMIF(65:65,E10,66:66)-SUMIF(65:65,C10,66:66)+100</f>
        <v>100</v>
      </c>
      <c r="G10" s="424" t="s">
        <v>3846</v>
      </c>
      <c r="H10" s="136">
        <f>SUMIF(65:65,G10,66:66)-SUMIF(65:65,C10,66:66)+100</f>
        <v>100</v>
      </c>
      <c r="I10" s="424" t="s">
        <v>3846</v>
      </c>
      <c r="J10" s="136">
        <f>SUMIF(65:65,I10,66:66)-SUMIF(65:65,C10,66:66)+100</f>
        <v>100</v>
      </c>
      <c r="K10" s="612">
        <v>2</v>
      </c>
      <c r="L10" s="1131"/>
      <c r="M10" s="1132"/>
      <c r="N10" s="1132"/>
      <c r="O10" s="1132"/>
      <c r="P10" s="3315"/>
      <c r="Q10" s="1790" t="str">
        <f t="shared" si="6"/>
        <v>土地使用年限（年）</v>
      </c>
      <c r="R10" s="768" t="s">
        <v>17</v>
      </c>
      <c r="S10" s="769">
        <f t="shared" si="0"/>
        <v>100</v>
      </c>
      <c r="T10" s="768" t="s">
        <v>17</v>
      </c>
      <c r="U10" s="769">
        <f t="shared" si="1"/>
        <v>100</v>
      </c>
      <c r="V10" s="768" t="s">
        <v>17</v>
      </c>
      <c r="W10" s="769">
        <f t="shared" si="2"/>
        <v>100</v>
      </c>
      <c r="X10" s="770"/>
      <c r="Y10" s="3136"/>
      <c r="Z10" s="55" t="str">
        <f t="shared" si="7"/>
        <v>土地使用年限（年）</v>
      </c>
      <c r="AA10" s="771">
        <f t="shared" si="3"/>
        <v>1</v>
      </c>
      <c r="AB10" s="771">
        <f t="shared" si="4"/>
        <v>1</v>
      </c>
      <c r="AC10" s="771">
        <f t="shared" si="5"/>
        <v>1</v>
      </c>
    </row>
    <row r="11" spans="1:29" ht="15">
      <c r="A11" s="428"/>
      <c r="B11" s="422" t="s">
        <v>2550</v>
      </c>
      <c r="C11" s="429"/>
      <c r="D11" s="136">
        <v>100</v>
      </c>
      <c r="E11" s="430"/>
      <c r="F11" s="425">
        <f>LOOKUP(E11,68:68,69:69)-LOOKUP(C11,68:68,69:69)+100</f>
        <v>100</v>
      </c>
      <c r="G11" s="429"/>
      <c r="H11" s="136">
        <f>LOOKUP(G11,68:68,69:69)-LOOKUP(C11,68:68,69:69)+100</f>
        <v>100</v>
      </c>
      <c r="I11" s="429"/>
      <c r="J11" s="136">
        <f>LOOKUP(I11,68:68,69:69)-LOOKUP(C11,68:68,69:69)+100</f>
        <v>100</v>
      </c>
      <c r="K11" s="612"/>
      <c r="L11" s="1134"/>
      <c r="M11" s="1127"/>
      <c r="N11" s="1127"/>
      <c r="O11" s="1127"/>
      <c r="P11" s="3315"/>
      <c r="Q11" s="1790" t="str">
        <f t="shared" si="6"/>
        <v>容积率</v>
      </c>
      <c r="R11" s="768" t="s">
        <v>17</v>
      </c>
      <c r="S11" s="769">
        <f t="shared" si="0"/>
        <v>100</v>
      </c>
      <c r="T11" s="768" t="s">
        <v>17</v>
      </c>
      <c r="U11" s="769">
        <f t="shared" si="1"/>
        <v>100</v>
      </c>
      <c r="V11" s="768" t="s">
        <v>17</v>
      </c>
      <c r="W11" s="769">
        <f t="shared" si="2"/>
        <v>100</v>
      </c>
      <c r="X11" s="770"/>
      <c r="Y11" s="3136"/>
      <c r="Z11" s="55" t="str">
        <f t="shared" si="7"/>
        <v>容积率</v>
      </c>
      <c r="AA11" s="771">
        <f t="shared" si="3"/>
        <v>1</v>
      </c>
      <c r="AB11" s="771">
        <f t="shared" si="4"/>
        <v>1</v>
      </c>
      <c r="AC11" s="771">
        <f t="shared" si="5"/>
        <v>1</v>
      </c>
    </row>
    <row r="12" spans="1:29" s="117" customFormat="1" ht="15">
      <c r="A12" s="431"/>
      <c r="B12" s="2593"/>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315"/>
      <c r="Q12" s="1790">
        <f t="shared" si="6"/>
        <v>0</v>
      </c>
      <c r="R12" s="768" t="s">
        <v>17</v>
      </c>
      <c r="S12" s="769">
        <f t="shared" si="0"/>
        <v>100</v>
      </c>
      <c r="T12" s="768" t="s">
        <v>17</v>
      </c>
      <c r="U12" s="769">
        <f t="shared" si="1"/>
        <v>100</v>
      </c>
      <c r="V12" s="768" t="s">
        <v>17</v>
      </c>
      <c r="W12" s="769">
        <f t="shared" si="2"/>
        <v>100</v>
      </c>
      <c r="X12" s="770"/>
      <c r="Y12" s="3136"/>
      <c r="Z12" s="55">
        <f t="shared" si="7"/>
        <v>0</v>
      </c>
      <c r="AA12" s="771">
        <f>D12/F12</f>
        <v>1</v>
      </c>
      <c r="AB12" s="771">
        <f>D12/H12</f>
        <v>1</v>
      </c>
      <c r="AC12" s="771">
        <f>D12/J12</f>
        <v>1</v>
      </c>
    </row>
    <row r="13" spans="1:29" ht="15">
      <c r="A13" s="428"/>
      <c r="B13" s="2593"/>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315"/>
      <c r="Q13" s="1790">
        <f t="shared" si="6"/>
        <v>0</v>
      </c>
      <c r="R13" s="768" t="s">
        <v>17</v>
      </c>
      <c r="S13" s="769">
        <f t="shared" si="0"/>
        <v>100</v>
      </c>
      <c r="T13" s="768" t="s">
        <v>17</v>
      </c>
      <c r="U13" s="769">
        <f t="shared" si="1"/>
        <v>100</v>
      </c>
      <c r="V13" s="768" t="s">
        <v>17</v>
      </c>
      <c r="W13" s="769">
        <f t="shared" si="2"/>
        <v>100</v>
      </c>
      <c r="X13" s="770"/>
      <c r="Y13" s="3136"/>
      <c r="Z13" s="55">
        <f t="shared" si="7"/>
        <v>0</v>
      </c>
      <c r="AA13" s="771">
        <f t="shared" si="3"/>
        <v>1</v>
      </c>
      <c r="AB13" s="771">
        <f t="shared" si="4"/>
        <v>1</v>
      </c>
      <c r="AC13" s="771">
        <f t="shared" si="5"/>
        <v>1</v>
      </c>
    </row>
    <row r="14" spans="1:29" ht="15.75" thickBot="1">
      <c r="A14" s="436"/>
      <c r="B14" s="2595"/>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315"/>
      <c r="Q14" s="1790">
        <f t="shared" si="6"/>
        <v>0</v>
      </c>
      <c r="R14" s="768" t="s">
        <v>17</v>
      </c>
      <c r="S14" s="769">
        <f t="shared" si="0"/>
        <v>100</v>
      </c>
      <c r="T14" s="768" t="s">
        <v>17</v>
      </c>
      <c r="U14" s="769">
        <f t="shared" si="1"/>
        <v>100</v>
      </c>
      <c r="V14" s="768" t="s">
        <v>17</v>
      </c>
      <c r="W14" s="769">
        <f t="shared" si="2"/>
        <v>100</v>
      </c>
      <c r="X14" s="770"/>
      <c r="Y14" s="3136"/>
      <c r="Z14" s="55">
        <f t="shared" si="7"/>
        <v>0</v>
      </c>
      <c r="AA14" s="771">
        <f t="shared" si="3"/>
        <v>1</v>
      </c>
      <c r="AB14" s="771">
        <f t="shared" si="4"/>
        <v>1</v>
      </c>
      <c r="AC14" s="771">
        <f t="shared" si="5"/>
        <v>1</v>
      </c>
    </row>
    <row r="15" spans="1:29" ht="71.25">
      <c r="A15" s="440" t="s">
        <v>2551</v>
      </c>
      <c r="B15" s="69" t="s">
        <v>2645</v>
      </c>
      <c r="C15" s="2596" t="str">
        <f>估价对象房地状况!C4</f>
        <v>估价对象位于XX商圈，周边商业氛围成熟，人流量大，商业繁华度好</v>
      </c>
      <c r="D15" s="441">
        <v>100</v>
      </c>
      <c r="E15" s="442"/>
      <c r="F15" s="443">
        <f>SUMIF(76:76,E16,77:77)-SUMIF(76:76,C16,77:77)+100</f>
        <v>95</v>
      </c>
      <c r="G15" s="444"/>
      <c r="H15" s="441">
        <f>SUMIF(76:76,G16,77:77)-SUMIF(76:76,C16,77:77)+100</f>
        <v>90</v>
      </c>
      <c r="I15" s="442"/>
      <c r="J15" s="441">
        <f>SUMIF(76:76,I16,77:77)-SUMIF(76:76,C16,77:77)+100</f>
        <v>90</v>
      </c>
      <c r="K15" s="614">
        <v>5</v>
      </c>
      <c r="L15" s="1136"/>
      <c r="M15" s="1127"/>
      <c r="N15" s="1127"/>
      <c r="O15" s="1127"/>
      <c r="P15" s="3330" t="s">
        <v>2552</v>
      </c>
      <c r="Q15" s="1805" t="str">
        <f t="shared" si="6"/>
        <v>商业繁华度</v>
      </c>
      <c r="R15" s="772" t="s">
        <v>17</v>
      </c>
      <c r="S15" s="773">
        <f t="shared" si="0"/>
        <v>95</v>
      </c>
      <c r="T15" s="772" t="s">
        <v>17</v>
      </c>
      <c r="U15" s="773">
        <f t="shared" si="1"/>
        <v>90</v>
      </c>
      <c r="V15" s="772" t="s">
        <v>17</v>
      </c>
      <c r="W15" s="773">
        <f t="shared" si="2"/>
        <v>90</v>
      </c>
      <c r="X15" s="1808"/>
      <c r="Y15" s="3306" t="s">
        <v>2552</v>
      </c>
      <c r="Z15" s="1809" t="str">
        <f t="shared" si="7"/>
        <v>商业繁华度</v>
      </c>
      <c r="AA15" s="1806">
        <f t="shared" si="3"/>
        <v>1.0526315789473684</v>
      </c>
      <c r="AB15" s="1806">
        <f t="shared" si="4"/>
        <v>1.1111111111111112</v>
      </c>
      <c r="AC15" s="1806">
        <f t="shared" si="5"/>
        <v>1.1111111111111112</v>
      </c>
    </row>
    <row r="16" spans="1:29" ht="15">
      <c r="A16" s="428"/>
      <c r="B16" s="446"/>
      <c r="C16" s="447" t="s">
        <v>3609</v>
      </c>
      <c r="D16" s="448"/>
      <c r="E16" s="447" t="s">
        <v>3610</v>
      </c>
      <c r="F16" s="449"/>
      <c r="G16" s="447" t="s">
        <v>3611</v>
      </c>
      <c r="H16" s="450"/>
      <c r="I16" s="447" t="s">
        <v>3611</v>
      </c>
      <c r="J16" s="448"/>
      <c r="K16" s="615"/>
      <c r="L16" s="1136"/>
      <c r="M16" s="1127"/>
      <c r="N16" s="1127"/>
      <c r="O16" s="1127"/>
      <c r="P16" s="3331"/>
      <c r="Q16" s="1805"/>
      <c r="R16" s="772"/>
      <c r="S16" s="773"/>
      <c r="T16" s="772"/>
      <c r="U16" s="773"/>
      <c r="V16" s="772"/>
      <c r="W16" s="773"/>
      <c r="X16" s="1808"/>
      <c r="Y16" s="3307"/>
      <c r="Z16" s="1809"/>
      <c r="AA16" s="1806">
        <v>1</v>
      </c>
      <c r="AB16" s="1806">
        <v>1</v>
      </c>
      <c r="AC16" s="1806">
        <v>1</v>
      </c>
    </row>
    <row r="17" spans="1:29" ht="85.5">
      <c r="A17" s="428"/>
      <c r="B17" s="451" t="s">
        <v>2092</v>
      </c>
      <c r="C17" s="2600" t="str">
        <f>估价对象房地状况!C6</f>
        <v>估价对象周边道路状况、公共交通通达情况、停车便捷程度，综合评价交通便捷度较好</v>
      </c>
      <c r="D17" s="450">
        <v>100</v>
      </c>
      <c r="E17" s="452"/>
      <c r="F17" s="453">
        <f>SUMIF(78:78,E18,79:79)-SUMIF(78:78,C18,79:79)+100</f>
        <v>95</v>
      </c>
      <c r="G17" s="454"/>
      <c r="H17" s="455">
        <f>SUMIF(78:78,G18,79:79)-SUMIF(78:78,C18,79:79)+100</f>
        <v>95</v>
      </c>
      <c r="I17" s="452"/>
      <c r="J17" s="455">
        <f>SUMIF(78:78,I18,79:79)-SUMIF(78:78,C18,79:79)+100</f>
        <v>100</v>
      </c>
      <c r="K17" s="614">
        <v>5</v>
      </c>
      <c r="L17" s="1136"/>
      <c r="M17" s="1127"/>
      <c r="N17" s="1127"/>
      <c r="O17" s="1127"/>
      <c r="P17" s="3331"/>
      <c r="Q17" s="1805" t="str">
        <f>B17</f>
        <v>交通便捷度</v>
      </c>
      <c r="R17" s="772" t="s">
        <v>17</v>
      </c>
      <c r="S17" s="773">
        <f>F17</f>
        <v>95</v>
      </c>
      <c r="T17" s="772" t="s">
        <v>17</v>
      </c>
      <c r="U17" s="773">
        <f>H17</f>
        <v>95</v>
      </c>
      <c r="V17" s="772" t="s">
        <v>17</v>
      </c>
      <c r="W17" s="773">
        <f>J17</f>
        <v>100</v>
      </c>
      <c r="X17" s="1808"/>
      <c r="Y17" s="3307"/>
      <c r="Z17" s="1809" t="str">
        <f>Q17</f>
        <v>交通便捷度</v>
      </c>
      <c r="AA17" s="1806">
        <f t="shared" si="3"/>
        <v>1.0526315789473684</v>
      </c>
      <c r="AB17" s="1806">
        <f t="shared" si="4"/>
        <v>1.0526315789473684</v>
      </c>
      <c r="AC17" s="1806">
        <f t="shared" si="5"/>
        <v>1</v>
      </c>
    </row>
    <row r="18" spans="1:29" ht="15">
      <c r="A18" s="428"/>
      <c r="B18" s="456"/>
      <c r="C18" s="2601" t="s">
        <v>3609</v>
      </c>
      <c r="D18" s="450"/>
      <c r="E18" s="2603" t="s">
        <v>3610</v>
      </c>
      <c r="F18" s="453"/>
      <c r="G18" s="2602" t="s">
        <v>3610</v>
      </c>
      <c r="H18" s="448"/>
      <c r="I18" s="2603" t="s">
        <v>3609</v>
      </c>
      <c r="J18" s="448"/>
      <c r="K18" s="615"/>
      <c r="L18" s="1136"/>
      <c r="M18" s="1127"/>
      <c r="N18" s="1127"/>
      <c r="O18" s="1127"/>
      <c r="P18" s="3331"/>
      <c r="Q18" s="1805"/>
      <c r="R18" s="772"/>
      <c r="S18" s="773"/>
      <c r="T18" s="772"/>
      <c r="U18" s="773"/>
      <c r="V18" s="772"/>
      <c r="W18" s="773"/>
      <c r="X18" s="1808"/>
      <c r="Y18" s="3307"/>
      <c r="Z18" s="1809"/>
      <c r="AA18" s="1806">
        <v>1</v>
      </c>
      <c r="AB18" s="1806">
        <v>1</v>
      </c>
      <c r="AC18" s="1806">
        <v>1</v>
      </c>
    </row>
    <row r="19" spans="1:29" ht="42.75">
      <c r="A19" s="428"/>
      <c r="B19" s="451" t="s">
        <v>2646</v>
      </c>
      <c r="C19" s="260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3</v>
      </c>
      <c r="L19" s="1136"/>
      <c r="M19" s="1127"/>
      <c r="N19" s="1127"/>
      <c r="O19" s="1127"/>
      <c r="P19" s="3331"/>
      <c r="Q19" s="1805" t="str">
        <f>B19</f>
        <v>公共配套设施</v>
      </c>
      <c r="R19" s="772" t="s">
        <v>17</v>
      </c>
      <c r="S19" s="773">
        <f>F19</f>
        <v>100</v>
      </c>
      <c r="T19" s="772" t="s">
        <v>17</v>
      </c>
      <c r="U19" s="773">
        <f>H19</f>
        <v>100</v>
      </c>
      <c r="V19" s="772" t="s">
        <v>17</v>
      </c>
      <c r="W19" s="773">
        <f>J19</f>
        <v>100</v>
      </c>
      <c r="X19" s="1808"/>
      <c r="Y19" s="3307"/>
      <c r="Z19" s="1809" t="str">
        <f>Q19</f>
        <v>公共配套设施</v>
      </c>
      <c r="AA19" s="1806">
        <f t="shared" si="3"/>
        <v>1</v>
      </c>
      <c r="AB19" s="1806">
        <f t="shared" si="4"/>
        <v>1</v>
      </c>
      <c r="AC19" s="1806">
        <f t="shared" si="5"/>
        <v>1</v>
      </c>
    </row>
    <row r="20" spans="1:29" ht="15">
      <c r="A20" s="428"/>
      <c r="B20" s="456"/>
      <c r="C20" s="447" t="s">
        <v>3610</v>
      </c>
      <c r="D20" s="448"/>
      <c r="E20" s="2598" t="s">
        <v>3610</v>
      </c>
      <c r="F20" s="449"/>
      <c r="G20" s="2597" t="s">
        <v>3610</v>
      </c>
      <c r="H20" s="448"/>
      <c r="I20" s="2598" t="s">
        <v>3610</v>
      </c>
      <c r="J20" s="448"/>
      <c r="K20" s="615"/>
      <c r="L20" s="1136"/>
      <c r="M20" s="1127"/>
      <c r="N20" s="1127"/>
      <c r="O20" s="1127"/>
      <c r="P20" s="3331"/>
      <c r="Q20" s="1805"/>
      <c r="R20" s="772"/>
      <c r="S20" s="773"/>
      <c r="T20" s="772"/>
      <c r="U20" s="773"/>
      <c r="V20" s="772"/>
      <c r="W20" s="773"/>
      <c r="X20" s="1808"/>
      <c r="Y20" s="3307"/>
      <c r="Z20" s="1809"/>
      <c r="AA20" s="1806">
        <v>1</v>
      </c>
      <c r="AB20" s="1806">
        <v>1</v>
      </c>
      <c r="AC20" s="1806">
        <v>1</v>
      </c>
    </row>
    <row r="21" spans="1:29" ht="28.5">
      <c r="A21" s="428"/>
      <c r="B21" s="1380" t="s">
        <v>2647</v>
      </c>
      <c r="C21" s="260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36"/>
      <c r="M21" s="1127"/>
      <c r="N21" s="1127"/>
      <c r="O21" s="1127"/>
      <c r="P21" s="3331"/>
      <c r="Q21" s="1805" t="str">
        <f>B21</f>
        <v>基础设施水平</v>
      </c>
      <c r="R21" s="772" t="s">
        <v>17</v>
      </c>
      <c r="S21" s="773">
        <f>F21</f>
        <v>100</v>
      </c>
      <c r="T21" s="772" t="s">
        <v>17</v>
      </c>
      <c r="U21" s="773">
        <f>H21</f>
        <v>100</v>
      </c>
      <c r="V21" s="772" t="s">
        <v>17</v>
      </c>
      <c r="W21" s="773">
        <f>J21</f>
        <v>100</v>
      </c>
      <c r="X21" s="1808"/>
      <c r="Y21" s="3307"/>
      <c r="Z21" s="1809" t="str">
        <f>Q21</f>
        <v>基础设施水平</v>
      </c>
      <c r="AA21" s="1806">
        <f t="shared" ref="AA21" si="8">D21/F21</f>
        <v>1</v>
      </c>
      <c r="AB21" s="1806">
        <f t="shared" ref="AB21" si="9">D21/H21</f>
        <v>1</v>
      </c>
      <c r="AC21" s="1806">
        <f t="shared" ref="AC21" si="10">D21/J21</f>
        <v>1</v>
      </c>
    </row>
    <row r="22" spans="1:29" ht="15">
      <c r="A22" s="428"/>
      <c r="B22" s="1380"/>
      <c r="C22" s="2601" t="s">
        <v>3824</v>
      </c>
      <c r="D22" s="448"/>
      <c r="E22" s="447" t="s">
        <v>3824</v>
      </c>
      <c r="F22" s="449"/>
      <c r="G22" s="447" t="s">
        <v>3824</v>
      </c>
      <c r="H22" s="448"/>
      <c r="I22" s="447" t="s">
        <v>3824</v>
      </c>
      <c r="J22" s="448"/>
      <c r="K22" s="1379"/>
      <c r="L22" s="1136"/>
      <c r="M22" s="1127"/>
      <c r="N22" s="1127"/>
      <c r="O22" s="1127"/>
      <c r="P22" s="3331"/>
      <c r="Q22" s="1805"/>
      <c r="R22" s="772"/>
      <c r="S22" s="773"/>
      <c r="T22" s="772"/>
      <c r="U22" s="773"/>
      <c r="V22" s="772"/>
      <c r="W22" s="773"/>
      <c r="X22" s="1808"/>
      <c r="Y22" s="3307"/>
      <c r="Z22" s="1809"/>
      <c r="AA22" s="1806">
        <v>1</v>
      </c>
      <c r="AB22" s="1806">
        <v>1</v>
      </c>
      <c r="AC22" s="1806">
        <v>1</v>
      </c>
    </row>
    <row r="23" spans="1:29" ht="57">
      <c r="A23" s="428"/>
      <c r="B23" s="451" t="s">
        <v>2097</v>
      </c>
      <c r="C23" s="265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3</v>
      </c>
      <c r="L23" s="1136"/>
      <c r="M23" s="1127"/>
      <c r="N23" s="1127"/>
      <c r="O23" s="1127"/>
      <c r="P23" s="3331"/>
      <c r="Q23" s="1805" t="str">
        <f>B23</f>
        <v>自然及人文环境</v>
      </c>
      <c r="R23" s="772" t="s">
        <v>17</v>
      </c>
      <c r="S23" s="773">
        <f>F23</f>
        <v>100</v>
      </c>
      <c r="T23" s="772" t="s">
        <v>17</v>
      </c>
      <c r="U23" s="773">
        <f>H23</f>
        <v>100</v>
      </c>
      <c r="V23" s="772" t="s">
        <v>17</v>
      </c>
      <c r="W23" s="773">
        <f>J23</f>
        <v>100</v>
      </c>
      <c r="X23" s="1808"/>
      <c r="Y23" s="3307"/>
      <c r="Z23" s="1809" t="str">
        <f>Q23</f>
        <v>自然及人文环境</v>
      </c>
      <c r="AA23" s="1806">
        <f t="shared" si="3"/>
        <v>1</v>
      </c>
      <c r="AB23" s="1806">
        <f t="shared" si="4"/>
        <v>1</v>
      </c>
      <c r="AC23" s="1806">
        <f t="shared" si="5"/>
        <v>1</v>
      </c>
    </row>
    <row r="24" spans="1:29" ht="15">
      <c r="A24" s="428"/>
      <c r="B24" s="456"/>
      <c r="C24" s="447" t="s">
        <v>3610</v>
      </c>
      <c r="D24" s="448"/>
      <c r="E24" s="2598" t="s">
        <v>3610</v>
      </c>
      <c r="F24" s="449"/>
      <c r="G24" s="2597" t="s">
        <v>3610</v>
      </c>
      <c r="H24" s="448"/>
      <c r="I24" s="2598" t="s">
        <v>3610</v>
      </c>
      <c r="J24" s="448"/>
      <c r="K24" s="615"/>
      <c r="L24" s="1136"/>
      <c r="M24" s="1127"/>
      <c r="N24" s="1127"/>
      <c r="O24" s="1127"/>
      <c r="P24" s="3331"/>
      <c r="Q24" s="1805"/>
      <c r="R24" s="772"/>
      <c r="S24" s="773"/>
      <c r="T24" s="772"/>
      <c r="U24" s="773"/>
      <c r="V24" s="772"/>
      <c r="W24" s="773"/>
      <c r="X24" s="1808"/>
      <c r="Y24" s="3307"/>
      <c r="Z24" s="1809"/>
      <c r="AA24" s="1806">
        <v>1</v>
      </c>
      <c r="AB24" s="1806">
        <v>1</v>
      </c>
      <c r="AC24" s="1806">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36"/>
      <c r="M25" s="1127"/>
      <c r="N25" s="1127"/>
      <c r="O25" s="1127"/>
      <c r="P25" s="3331"/>
      <c r="Q25" s="1805" t="str">
        <f t="shared" ref="Q25:Q46" si="11">B25</f>
        <v>临街状况</v>
      </c>
      <c r="R25" s="772" t="s">
        <v>17</v>
      </c>
      <c r="S25" s="773">
        <f>F25</f>
        <v>100</v>
      </c>
      <c r="T25" s="772" t="s">
        <v>17</v>
      </c>
      <c r="U25" s="773">
        <f>H25</f>
        <v>100</v>
      </c>
      <c r="V25" s="772" t="s">
        <v>17</v>
      </c>
      <c r="W25" s="773">
        <f>J25</f>
        <v>100</v>
      </c>
      <c r="X25" s="1808"/>
      <c r="Y25" s="3307"/>
      <c r="Z25" s="1809" t="str">
        <f>Q25</f>
        <v>临街状况</v>
      </c>
      <c r="AA25" s="1806">
        <f t="shared" si="3"/>
        <v>1</v>
      </c>
      <c r="AB25" s="1806">
        <f t="shared" si="4"/>
        <v>1</v>
      </c>
      <c r="AC25" s="1806">
        <f t="shared" si="5"/>
        <v>1</v>
      </c>
    </row>
    <row r="26" spans="1:29" ht="15">
      <c r="A26" s="428"/>
      <c r="B26" s="1382" t="s">
        <v>2649</v>
      </c>
      <c r="C26" s="434"/>
      <c r="D26" s="435">
        <v>100</v>
      </c>
      <c r="E26" s="434"/>
      <c r="F26" s="461">
        <f>SUMIF(88:88,E26,89:89)-SUMIF(88:88,C26,89:89)+100</f>
        <v>100</v>
      </c>
      <c r="G26" s="434"/>
      <c r="H26" s="435">
        <f>SUMIF(88:88,G26,89:89)-SUMIF(88:88,C26,89:89)+100</f>
        <v>100</v>
      </c>
      <c r="I26" s="434"/>
      <c r="J26" s="435">
        <f>SUMIF(88:88,I26,89:89)-SUMIF(88:88,C26,89:89)+100</f>
        <v>100</v>
      </c>
      <c r="K26" s="613"/>
      <c r="L26" s="1136"/>
      <c r="M26" s="1127"/>
      <c r="N26" s="1127"/>
      <c r="O26" s="1127"/>
      <c r="P26" s="3331"/>
      <c r="Q26" s="1805" t="str">
        <f t="shared" si="11"/>
        <v>平面位置/可视性</v>
      </c>
      <c r="R26" s="772" t="s">
        <v>17</v>
      </c>
      <c r="S26" s="773">
        <f>F26</f>
        <v>100</v>
      </c>
      <c r="T26" s="772" t="s">
        <v>17</v>
      </c>
      <c r="U26" s="773">
        <f>H26</f>
        <v>100</v>
      </c>
      <c r="V26" s="772" t="s">
        <v>17</v>
      </c>
      <c r="W26" s="773">
        <f>J26</f>
        <v>100</v>
      </c>
      <c r="X26" s="1808"/>
      <c r="Y26" s="3307"/>
      <c r="Z26" s="1809" t="str">
        <f>Q26</f>
        <v>平面位置/可视性</v>
      </c>
      <c r="AA26" s="1806">
        <f t="shared" si="3"/>
        <v>1</v>
      </c>
      <c r="AB26" s="1806">
        <f t="shared" si="4"/>
        <v>1</v>
      </c>
      <c r="AC26" s="1806">
        <f t="shared" si="5"/>
        <v>1</v>
      </c>
    </row>
    <row r="27" spans="1:29" s="117" customFormat="1" ht="15">
      <c r="A27" s="431"/>
      <c r="B27" s="451" t="s">
        <v>2650</v>
      </c>
      <c r="C27" s="2656"/>
      <c r="D27" s="462">
        <v>100</v>
      </c>
      <c r="E27" s="2656"/>
      <c r="F27" s="464">
        <f>SUMIF(90:90,E27,91:91)-SUMIF(90:90,C27,91:91)+100</f>
        <v>100</v>
      </c>
      <c r="G27" s="2656"/>
      <c r="H27" s="462">
        <f>SUMIF(90:90,G27,91:91)-SUMIF(90:90,C27,91:91)+100</f>
        <v>100</v>
      </c>
      <c r="I27" s="2656"/>
      <c r="J27" s="462">
        <f>SUMIF(90:90,I27,91:91)-SUMIF(90:90,C27,91:91)+100</f>
        <v>100</v>
      </c>
      <c r="K27" s="612"/>
      <c r="L27" s="1128"/>
      <c r="M27" s="1129"/>
      <c r="N27" s="1129"/>
      <c r="O27" s="1129"/>
      <c r="P27" s="3331"/>
      <c r="Q27" s="1790" t="str">
        <f t="shared" si="11"/>
        <v>人流量</v>
      </c>
      <c r="R27" s="768" t="s">
        <v>17</v>
      </c>
      <c r="S27" s="769">
        <f>F27</f>
        <v>100</v>
      </c>
      <c r="T27" s="768" t="s">
        <v>17</v>
      </c>
      <c r="U27" s="769">
        <f>H27</f>
        <v>100</v>
      </c>
      <c r="V27" s="768" t="s">
        <v>17</v>
      </c>
      <c r="W27" s="769">
        <f>J27</f>
        <v>100</v>
      </c>
      <c r="X27" s="770"/>
      <c r="Y27" s="3307"/>
      <c r="Z27" s="55" t="str">
        <f>Q27</f>
        <v>人流量</v>
      </c>
      <c r="AA27" s="1806">
        <f>D27/F27</f>
        <v>1</v>
      </c>
      <c r="AB27" s="1806">
        <f>D27/H27</f>
        <v>1</v>
      </c>
      <c r="AC27" s="1806">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36"/>
      <c r="M28" s="1127"/>
      <c r="N28" s="1127"/>
      <c r="O28" s="1127"/>
      <c r="P28" s="3331"/>
      <c r="Q28" s="1805" t="str">
        <f t="shared" si="11"/>
        <v>楼层</v>
      </c>
      <c r="R28" s="772" t="s">
        <v>17</v>
      </c>
      <c r="S28" s="773">
        <f t="shared" ref="S28:S46" si="12">F28</f>
        <v>100</v>
      </c>
      <c r="T28" s="772" t="s">
        <v>17</v>
      </c>
      <c r="U28" s="773">
        <f t="shared" ref="U28:U46" si="13">H28</f>
        <v>100</v>
      </c>
      <c r="V28" s="772" t="s">
        <v>17</v>
      </c>
      <c r="W28" s="773">
        <f t="shared" ref="W28:W46" si="14">J28</f>
        <v>100</v>
      </c>
      <c r="X28" s="1808"/>
      <c r="Y28" s="3307"/>
      <c r="Z28" s="1809" t="str">
        <f t="shared" ref="Z28:Z46" si="15">Q28</f>
        <v>楼层</v>
      </c>
      <c r="AA28" s="1806">
        <f t="shared" si="3"/>
        <v>1</v>
      </c>
      <c r="AB28" s="1806">
        <f t="shared" si="4"/>
        <v>1</v>
      </c>
      <c r="AC28" s="1806">
        <f t="shared" si="5"/>
        <v>1</v>
      </c>
    </row>
    <row r="29" spans="1:29" ht="15">
      <c r="A29" s="428"/>
      <c r="B29" s="1382"/>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331"/>
      <c r="Q29" s="1805">
        <f t="shared" si="11"/>
        <v>0</v>
      </c>
      <c r="R29" s="772" t="s">
        <v>17</v>
      </c>
      <c r="S29" s="773">
        <f t="shared" si="12"/>
        <v>100</v>
      </c>
      <c r="T29" s="772" t="s">
        <v>17</v>
      </c>
      <c r="U29" s="773">
        <f t="shared" si="13"/>
        <v>100</v>
      </c>
      <c r="V29" s="772" t="s">
        <v>17</v>
      </c>
      <c r="W29" s="773">
        <f t="shared" si="14"/>
        <v>100</v>
      </c>
      <c r="X29" s="1808"/>
      <c r="Y29" s="3307"/>
      <c r="Z29" s="1809">
        <f t="shared" si="15"/>
        <v>0</v>
      </c>
      <c r="AA29" s="1806">
        <f t="shared" si="3"/>
        <v>1</v>
      </c>
      <c r="AB29" s="1806">
        <f t="shared" si="4"/>
        <v>1</v>
      </c>
      <c r="AC29" s="1806">
        <f t="shared" si="5"/>
        <v>1</v>
      </c>
    </row>
    <row r="30" spans="1:29" ht="15">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331"/>
      <c r="Q30" s="1805">
        <f t="shared" si="11"/>
        <v>0</v>
      </c>
      <c r="R30" s="772" t="s">
        <v>17</v>
      </c>
      <c r="S30" s="773">
        <f t="shared" si="12"/>
        <v>100</v>
      </c>
      <c r="T30" s="772" t="s">
        <v>17</v>
      </c>
      <c r="U30" s="773">
        <f t="shared" si="13"/>
        <v>100</v>
      </c>
      <c r="V30" s="772" t="s">
        <v>17</v>
      </c>
      <c r="W30" s="773">
        <f t="shared" si="14"/>
        <v>100</v>
      </c>
      <c r="X30" s="1808"/>
      <c r="Y30" s="3307"/>
      <c r="Z30" s="1809">
        <f t="shared" si="15"/>
        <v>0</v>
      </c>
      <c r="AA30" s="1806">
        <f t="shared" si="3"/>
        <v>1</v>
      </c>
      <c r="AB30" s="1806">
        <f t="shared" si="4"/>
        <v>1</v>
      </c>
      <c r="AC30" s="1806">
        <f t="shared" si="5"/>
        <v>1</v>
      </c>
    </row>
    <row r="31" spans="1:29" ht="15.75"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331"/>
      <c r="Q31" s="1805">
        <f t="shared" si="11"/>
        <v>0</v>
      </c>
      <c r="R31" s="772" t="s">
        <v>17</v>
      </c>
      <c r="S31" s="773">
        <f t="shared" si="12"/>
        <v>100</v>
      </c>
      <c r="T31" s="772" t="s">
        <v>17</v>
      </c>
      <c r="U31" s="773">
        <f t="shared" si="13"/>
        <v>100</v>
      </c>
      <c r="V31" s="772" t="s">
        <v>17</v>
      </c>
      <c r="W31" s="773">
        <f t="shared" si="14"/>
        <v>100</v>
      </c>
      <c r="X31" s="1808"/>
      <c r="Y31" s="3307"/>
      <c r="Z31" s="1809">
        <f t="shared" si="15"/>
        <v>0</v>
      </c>
      <c r="AA31" s="1806">
        <f t="shared" si="3"/>
        <v>1</v>
      </c>
      <c r="AB31" s="1806">
        <f t="shared" si="4"/>
        <v>1</v>
      </c>
      <c r="AC31" s="1806">
        <f t="shared" si="5"/>
        <v>1</v>
      </c>
    </row>
    <row r="32" spans="1:29" ht="15">
      <c r="A32" s="440" t="s">
        <v>2555</v>
      </c>
      <c r="B32" s="71" t="s">
        <v>2652</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36"/>
      <c r="M32" s="1127"/>
      <c r="N32" s="1127"/>
      <c r="O32" s="1127"/>
      <c r="P32" s="3326" t="s">
        <v>2557</v>
      </c>
      <c r="Q32" s="1805" t="str">
        <f t="shared" si="11"/>
        <v>商业类型</v>
      </c>
      <c r="R32" s="772" t="s">
        <v>17</v>
      </c>
      <c r="S32" s="773">
        <f t="shared" si="12"/>
        <v>100</v>
      </c>
      <c r="T32" s="772" t="s">
        <v>17</v>
      </c>
      <c r="U32" s="773">
        <f t="shared" si="13"/>
        <v>100</v>
      </c>
      <c r="V32" s="772" t="s">
        <v>17</v>
      </c>
      <c r="W32" s="773">
        <f t="shared" si="14"/>
        <v>100</v>
      </c>
      <c r="X32" s="1808"/>
      <c r="Y32" s="3309" t="s">
        <v>2557</v>
      </c>
      <c r="Z32" s="1809" t="str">
        <f t="shared" si="15"/>
        <v>商业类型</v>
      </c>
      <c r="AA32" s="1806">
        <f t="shared" si="3"/>
        <v>1</v>
      </c>
      <c r="AB32" s="1806">
        <f t="shared" si="4"/>
        <v>1</v>
      </c>
      <c r="AC32" s="1806">
        <f t="shared" si="5"/>
        <v>1</v>
      </c>
    </row>
    <row r="33" spans="1:29" s="471" customFormat="1" ht="15">
      <c r="A33" s="468"/>
      <c r="B33" s="422" t="s">
        <v>2558</v>
      </c>
      <c r="C33" s="469"/>
      <c r="D33" s="136">
        <v>100</v>
      </c>
      <c r="E33" s="469"/>
      <c r="F33" s="425">
        <f>LOOKUP(E33,103:103,104:104)-LOOKUP(C33,103:103,104:104)+100</f>
        <v>100</v>
      </c>
      <c r="G33" s="469"/>
      <c r="H33" s="136">
        <f>LOOKUP(G33,103:103,104:104)-LOOKUP(C33,103:103,104:104)+100</f>
        <v>100</v>
      </c>
      <c r="I33" s="469"/>
      <c r="J33" s="136">
        <f>LOOKUP(I33,103:103,104:104)-LOOKUP(C33,103:103,104:104)+100</f>
        <v>100</v>
      </c>
      <c r="K33" s="613"/>
      <c r="L33" s="1134"/>
      <c r="M33" s="1137"/>
      <c r="N33" s="1137"/>
      <c r="O33" s="1137"/>
      <c r="P33" s="3327"/>
      <c r="Q33" s="774" t="str">
        <f t="shared" si="11"/>
        <v>项目建筑规模</v>
      </c>
      <c r="R33" s="775" t="s">
        <v>17</v>
      </c>
      <c r="S33" s="776">
        <f t="shared" si="12"/>
        <v>100</v>
      </c>
      <c r="T33" s="775" t="s">
        <v>17</v>
      </c>
      <c r="U33" s="776">
        <f t="shared" si="13"/>
        <v>100</v>
      </c>
      <c r="V33" s="775" t="s">
        <v>17</v>
      </c>
      <c r="W33" s="776">
        <f t="shared" si="14"/>
        <v>100</v>
      </c>
      <c r="X33" s="777"/>
      <c r="Y33" s="3309"/>
      <c r="Z33" s="778" t="str">
        <f t="shared" si="15"/>
        <v>项目建筑规模</v>
      </c>
      <c r="AA33" s="1806">
        <f t="shared" si="3"/>
        <v>1</v>
      </c>
      <c r="AB33" s="1806">
        <f t="shared" si="4"/>
        <v>1</v>
      </c>
      <c r="AC33" s="1806">
        <f t="shared" si="5"/>
        <v>1</v>
      </c>
    </row>
    <row r="34" spans="1:29" ht="15">
      <c r="A34" s="472"/>
      <c r="B34" s="422" t="s">
        <v>2559</v>
      </c>
      <c r="C34" s="2611" t="s">
        <v>3075</v>
      </c>
      <c r="D34" s="435">
        <v>100</v>
      </c>
      <c r="E34" s="2611" t="s">
        <v>3075</v>
      </c>
      <c r="F34" s="461">
        <f>SUMIF(105:105,E34,106:106)-SUMIF(105:105,C34,106:106)+100</f>
        <v>100</v>
      </c>
      <c r="G34" s="2611" t="s">
        <v>3075</v>
      </c>
      <c r="H34" s="435">
        <f>SUMIF(105:105,G34,106:106)-SUMIF(105:105,C34,106:106)+100</f>
        <v>100</v>
      </c>
      <c r="I34" s="2611" t="s">
        <v>3075</v>
      </c>
      <c r="J34" s="435">
        <f>SUMIF(105:105,I34,106:106)-SUMIF(105:105,C34,106:106)+100</f>
        <v>100</v>
      </c>
      <c r="K34" s="612">
        <v>2</v>
      </c>
      <c r="L34" s="1136"/>
      <c r="M34" s="1127"/>
      <c r="N34" s="1127"/>
      <c r="O34" s="1127"/>
      <c r="P34" s="3327"/>
      <c r="Q34" s="1805" t="str">
        <f t="shared" si="11"/>
        <v>建筑结构</v>
      </c>
      <c r="R34" s="772" t="s">
        <v>17</v>
      </c>
      <c r="S34" s="773">
        <f t="shared" si="12"/>
        <v>100</v>
      </c>
      <c r="T34" s="772" t="s">
        <v>17</v>
      </c>
      <c r="U34" s="773">
        <f t="shared" si="13"/>
        <v>100</v>
      </c>
      <c r="V34" s="772" t="s">
        <v>17</v>
      </c>
      <c r="W34" s="773">
        <f t="shared" si="14"/>
        <v>100</v>
      </c>
      <c r="X34" s="1808"/>
      <c r="Y34" s="3309"/>
      <c r="Z34" s="1809" t="str">
        <f t="shared" si="15"/>
        <v>建筑结构</v>
      </c>
      <c r="AA34" s="1806">
        <f t="shared" si="3"/>
        <v>1</v>
      </c>
      <c r="AB34" s="1806">
        <f t="shared" si="4"/>
        <v>1</v>
      </c>
      <c r="AC34" s="1806">
        <f t="shared" si="5"/>
        <v>1</v>
      </c>
    </row>
    <row r="35" spans="1:29" ht="15">
      <c r="A35" s="472"/>
      <c r="B35" s="422" t="s">
        <v>2653</v>
      </c>
      <c r="C35" s="2606" t="s">
        <v>3829</v>
      </c>
      <c r="D35" s="435">
        <v>100</v>
      </c>
      <c r="E35" s="2606" t="s">
        <v>3829</v>
      </c>
      <c r="F35" s="461">
        <f>SUMIF(107:107,E35,108:108)-SUMIF(107:107,C35,108:108)+100</f>
        <v>100</v>
      </c>
      <c r="G35" s="2606" t="s">
        <v>3829</v>
      </c>
      <c r="H35" s="435">
        <f>SUMIF(107:107,G35,108:108)-SUMIF(107:107,C35,108:108)+100</f>
        <v>100</v>
      </c>
      <c r="I35" s="2606" t="s">
        <v>3829</v>
      </c>
      <c r="J35" s="435">
        <f>SUMIF(107:107,I35,108:108)-SUMIF(107:107,C35,108:108)+100</f>
        <v>100</v>
      </c>
      <c r="K35" s="612">
        <v>2</v>
      </c>
      <c r="L35" s="1136"/>
      <c r="M35" s="1127"/>
      <c r="N35" s="1127"/>
      <c r="O35" s="1127"/>
      <c r="P35" s="3327"/>
      <c r="Q35" s="1805" t="str">
        <f t="shared" si="11"/>
        <v>公共部分装修</v>
      </c>
      <c r="R35" s="772" t="s">
        <v>17</v>
      </c>
      <c r="S35" s="773">
        <f t="shared" si="12"/>
        <v>100</v>
      </c>
      <c r="T35" s="772" t="s">
        <v>17</v>
      </c>
      <c r="U35" s="773">
        <f t="shared" si="13"/>
        <v>100</v>
      </c>
      <c r="V35" s="772" t="s">
        <v>17</v>
      </c>
      <c r="W35" s="773">
        <f t="shared" si="14"/>
        <v>100</v>
      </c>
      <c r="X35" s="1808"/>
      <c r="Y35" s="3309"/>
      <c r="Z35" s="1809" t="str">
        <f t="shared" si="15"/>
        <v>公共部分装修</v>
      </c>
      <c r="AA35" s="1806">
        <f t="shared" si="3"/>
        <v>1</v>
      </c>
      <c r="AB35" s="1806">
        <f t="shared" si="4"/>
        <v>1</v>
      </c>
      <c r="AC35" s="1806">
        <f t="shared" si="5"/>
        <v>1</v>
      </c>
    </row>
    <row r="36" spans="1:29" ht="15">
      <c r="A36" s="472"/>
      <c r="B36" s="422" t="s">
        <v>2654</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v>2</v>
      </c>
      <c r="L36" s="1136"/>
      <c r="M36" s="1127"/>
      <c r="N36" s="1127"/>
      <c r="O36" s="1127"/>
      <c r="P36" s="3327"/>
      <c r="Q36" s="1805" t="str">
        <f t="shared" si="11"/>
        <v>成新度</v>
      </c>
      <c r="R36" s="772" t="s">
        <v>17</v>
      </c>
      <c r="S36" s="773">
        <f t="shared" si="12"/>
        <v>100</v>
      </c>
      <c r="T36" s="772" t="s">
        <v>17</v>
      </c>
      <c r="U36" s="773">
        <f t="shared" si="13"/>
        <v>100</v>
      </c>
      <c r="V36" s="772" t="s">
        <v>17</v>
      </c>
      <c r="W36" s="773">
        <f t="shared" si="14"/>
        <v>100</v>
      </c>
      <c r="X36" s="1808"/>
      <c r="Y36" s="3309"/>
      <c r="Z36" s="1809" t="str">
        <f t="shared" si="15"/>
        <v>成新度</v>
      </c>
      <c r="AA36" s="1806">
        <f t="shared" si="3"/>
        <v>1</v>
      </c>
      <c r="AB36" s="1806">
        <f t="shared" si="4"/>
        <v>1</v>
      </c>
      <c r="AC36" s="1806">
        <f t="shared" si="5"/>
        <v>1</v>
      </c>
    </row>
    <row r="37" spans="1:29" s="117" customFormat="1" ht="15">
      <c r="A37" s="473"/>
      <c r="B37" s="422" t="s">
        <v>2655</v>
      </c>
      <c r="C37" s="2606" t="s">
        <v>3854</v>
      </c>
      <c r="D37" s="136">
        <v>100</v>
      </c>
      <c r="E37" s="2606" t="s">
        <v>3854</v>
      </c>
      <c r="F37" s="461">
        <f>SUMIF(112:112,E37,113:113)-SUMIF(112:112,C37,113:113)+100</f>
        <v>100</v>
      </c>
      <c r="G37" s="2606" t="s">
        <v>3854</v>
      </c>
      <c r="H37" s="435">
        <f>SUMIF(112:112,G37,113:113)-SUMIF(112:112,C37,113:113)+100</f>
        <v>100</v>
      </c>
      <c r="I37" s="2606" t="s">
        <v>3854</v>
      </c>
      <c r="J37" s="435">
        <f>SUMIF(112:112,I37,113:113)-SUMIF(112:112,C37,113:113)+100</f>
        <v>100</v>
      </c>
      <c r="K37" s="612">
        <v>2</v>
      </c>
      <c r="L37" s="1128"/>
      <c r="M37" s="1129"/>
      <c r="N37" s="1129"/>
      <c r="O37" s="1129"/>
      <c r="P37" s="3327"/>
      <c r="Q37" s="1790" t="str">
        <f t="shared" si="11"/>
        <v>市政基础设施</v>
      </c>
      <c r="R37" s="768" t="s">
        <v>17</v>
      </c>
      <c r="S37" s="769">
        <f t="shared" si="12"/>
        <v>100</v>
      </c>
      <c r="T37" s="768" t="s">
        <v>17</v>
      </c>
      <c r="U37" s="769">
        <f t="shared" si="13"/>
        <v>100</v>
      </c>
      <c r="V37" s="768" t="s">
        <v>17</v>
      </c>
      <c r="W37" s="769">
        <f t="shared" si="14"/>
        <v>100</v>
      </c>
      <c r="X37" s="770"/>
      <c r="Y37" s="3309"/>
      <c r="Z37" s="55" t="str">
        <f t="shared" si="15"/>
        <v>市政基础设施</v>
      </c>
      <c r="AA37" s="771">
        <f t="shared" si="3"/>
        <v>1</v>
      </c>
      <c r="AB37" s="771">
        <f t="shared" si="4"/>
        <v>1</v>
      </c>
      <c r="AC37" s="771">
        <f t="shared" si="5"/>
        <v>1</v>
      </c>
    </row>
    <row r="38" spans="1:29" ht="15">
      <c r="A38" s="472"/>
      <c r="B38" s="422" t="s">
        <v>2656</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36"/>
      <c r="M38" s="1127"/>
      <c r="N38" s="1127"/>
      <c r="O38" s="1127"/>
      <c r="P38" s="3327" t="s">
        <v>2557</v>
      </c>
      <c r="Q38" s="1805" t="str">
        <f t="shared" si="11"/>
        <v>业态</v>
      </c>
      <c r="R38" s="772" t="s">
        <v>17</v>
      </c>
      <c r="S38" s="773">
        <f t="shared" si="12"/>
        <v>100</v>
      </c>
      <c r="T38" s="772" t="s">
        <v>17</v>
      </c>
      <c r="U38" s="773">
        <f t="shared" si="13"/>
        <v>100</v>
      </c>
      <c r="V38" s="772" t="s">
        <v>17</v>
      </c>
      <c r="W38" s="773">
        <f t="shared" si="14"/>
        <v>100</v>
      </c>
      <c r="X38" s="1808"/>
      <c r="Y38" s="3309" t="s">
        <v>2557</v>
      </c>
      <c r="Z38" s="1809" t="str">
        <f t="shared" si="15"/>
        <v>业态</v>
      </c>
      <c r="AA38" s="1806">
        <f t="shared" si="3"/>
        <v>1</v>
      </c>
      <c r="AB38" s="1806">
        <f t="shared" si="4"/>
        <v>1</v>
      </c>
      <c r="AC38" s="1806">
        <f t="shared" si="5"/>
        <v>1</v>
      </c>
    </row>
    <row r="39" spans="1:29" ht="15">
      <c r="A39" s="472"/>
      <c r="B39" s="422" t="s">
        <v>2657</v>
      </c>
      <c r="C39" s="2606" t="s">
        <v>3856</v>
      </c>
      <c r="D39" s="435">
        <v>100</v>
      </c>
      <c r="E39" s="2606" t="s">
        <v>3856</v>
      </c>
      <c r="F39" s="461">
        <f>SUMIF(116:116,E39,117:117)-SUMIF(116:116,C39,117:117)+100</f>
        <v>100</v>
      </c>
      <c r="G39" s="2606" t="s">
        <v>3856</v>
      </c>
      <c r="H39" s="435">
        <f>SUMIF(116:116,G39,117:117)-SUMIF(116:116,C39,117:117)+100</f>
        <v>100</v>
      </c>
      <c r="I39" s="2606" t="s">
        <v>3856</v>
      </c>
      <c r="J39" s="435">
        <f>SUMIF(116:116,I39,117:117)-SUMIF(116:116,C39,117:117)+100</f>
        <v>100</v>
      </c>
      <c r="K39" s="612">
        <v>2</v>
      </c>
      <c r="L39" s="1136"/>
      <c r="M39" s="1127"/>
      <c r="N39" s="1127"/>
      <c r="O39" s="1127"/>
      <c r="P39" s="3327"/>
      <c r="Q39" s="1805" t="str">
        <f t="shared" si="11"/>
        <v>层高</v>
      </c>
      <c r="R39" s="772" t="s">
        <v>17</v>
      </c>
      <c r="S39" s="773">
        <f t="shared" si="12"/>
        <v>100</v>
      </c>
      <c r="T39" s="772" t="s">
        <v>17</v>
      </c>
      <c r="U39" s="773">
        <f t="shared" si="13"/>
        <v>100</v>
      </c>
      <c r="V39" s="772" t="s">
        <v>17</v>
      </c>
      <c r="W39" s="773">
        <f t="shared" si="14"/>
        <v>100</v>
      </c>
      <c r="X39" s="1808"/>
      <c r="Y39" s="3309"/>
      <c r="Z39" s="1809" t="str">
        <f t="shared" si="15"/>
        <v>层高</v>
      </c>
      <c r="AA39" s="1806">
        <f t="shared" si="3"/>
        <v>1</v>
      </c>
      <c r="AB39" s="1806">
        <f t="shared" si="4"/>
        <v>1</v>
      </c>
      <c r="AC39" s="1806">
        <f t="shared" si="5"/>
        <v>1</v>
      </c>
    </row>
    <row r="40" spans="1:29" ht="15">
      <c r="A40" s="472"/>
      <c r="B40" s="422" t="s">
        <v>2658</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36"/>
      <c r="M40" s="1127"/>
      <c r="N40" s="1127"/>
      <c r="O40" s="1127"/>
      <c r="P40" s="3327"/>
      <c r="Q40" s="1805" t="str">
        <f t="shared" si="11"/>
        <v>单套建筑面积</v>
      </c>
      <c r="R40" s="772" t="s">
        <v>17</v>
      </c>
      <c r="S40" s="773">
        <f t="shared" si="12"/>
        <v>100</v>
      </c>
      <c r="T40" s="772" t="s">
        <v>17</v>
      </c>
      <c r="U40" s="773">
        <f t="shared" si="13"/>
        <v>100</v>
      </c>
      <c r="V40" s="772" t="s">
        <v>17</v>
      </c>
      <c r="W40" s="773">
        <f t="shared" si="14"/>
        <v>100</v>
      </c>
      <c r="X40" s="1808"/>
      <c r="Y40" s="3309"/>
      <c r="Z40" s="1809" t="str">
        <f t="shared" si="15"/>
        <v>单套建筑面积</v>
      </c>
      <c r="AA40" s="1806">
        <f t="shared" si="3"/>
        <v>1</v>
      </c>
      <c r="AB40" s="1806">
        <f t="shared" si="4"/>
        <v>1</v>
      </c>
      <c r="AC40" s="1806">
        <f t="shared" si="5"/>
        <v>1</v>
      </c>
    </row>
    <row r="41" spans="1:29" s="471" customFormat="1" ht="15">
      <c r="A41" s="468"/>
      <c r="B41" s="1807"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327"/>
      <c r="Q41" s="774" t="str">
        <f t="shared" si="11"/>
        <v>进深比</v>
      </c>
      <c r="R41" s="775" t="s">
        <v>17</v>
      </c>
      <c r="S41" s="776">
        <f t="shared" si="12"/>
        <v>100</v>
      </c>
      <c r="T41" s="775" t="s">
        <v>17</v>
      </c>
      <c r="U41" s="776">
        <f t="shared" si="13"/>
        <v>100</v>
      </c>
      <c r="V41" s="775" t="s">
        <v>17</v>
      </c>
      <c r="W41" s="776">
        <f t="shared" si="14"/>
        <v>100</v>
      </c>
      <c r="X41" s="777"/>
      <c r="Y41" s="3309"/>
      <c r="Z41" s="778" t="str">
        <f t="shared" si="15"/>
        <v>进深比</v>
      </c>
      <c r="AA41" s="1806">
        <f t="shared" si="3"/>
        <v>1</v>
      </c>
      <c r="AB41" s="1806">
        <f t="shared" si="4"/>
        <v>1</v>
      </c>
      <c r="AC41" s="1806">
        <f t="shared" si="5"/>
        <v>1</v>
      </c>
    </row>
    <row r="42" spans="1:29" ht="15">
      <c r="A42" s="472"/>
      <c r="B42" s="422" t="s">
        <v>2660</v>
      </c>
      <c r="C42" s="2606" t="s">
        <v>3839</v>
      </c>
      <c r="D42" s="435">
        <v>100</v>
      </c>
      <c r="E42" s="2606" t="s">
        <v>3839</v>
      </c>
      <c r="F42" s="461">
        <f>SUMIF(122:122,E42,123:123)-SUMIF(122:122,C42,123:123)+100</f>
        <v>100</v>
      </c>
      <c r="G42" s="2606" t="s">
        <v>3836</v>
      </c>
      <c r="H42" s="435">
        <f>SUMIF(122:122,G42,123:123)-SUMIF(122:122,C42,123:123)+100</f>
        <v>106</v>
      </c>
      <c r="I42" s="2606" t="s">
        <v>3839</v>
      </c>
      <c r="J42" s="435">
        <f>SUMIF(122:122,I42,123:123)-SUMIF(122:122,C42,123:123)+100</f>
        <v>100</v>
      </c>
      <c r="K42" s="3047">
        <v>3</v>
      </c>
      <c r="L42" s="1136"/>
      <c r="M42" s="1127"/>
      <c r="N42" s="1127"/>
      <c r="O42" s="1127"/>
      <c r="P42" s="3327"/>
      <c r="Q42" s="1805" t="str">
        <f t="shared" si="11"/>
        <v>内部装修</v>
      </c>
      <c r="R42" s="772" t="s">
        <v>17</v>
      </c>
      <c r="S42" s="773">
        <f t="shared" si="12"/>
        <v>100</v>
      </c>
      <c r="T42" s="772" t="s">
        <v>17</v>
      </c>
      <c r="U42" s="773">
        <f t="shared" si="13"/>
        <v>106</v>
      </c>
      <c r="V42" s="772" t="s">
        <v>17</v>
      </c>
      <c r="W42" s="773">
        <f t="shared" si="14"/>
        <v>100</v>
      </c>
      <c r="X42" s="1808"/>
      <c r="Y42" s="3309"/>
      <c r="Z42" s="1809" t="str">
        <f t="shared" si="15"/>
        <v>内部装修</v>
      </c>
      <c r="AA42" s="1806">
        <f t="shared" si="3"/>
        <v>1</v>
      </c>
      <c r="AB42" s="1806">
        <f t="shared" si="4"/>
        <v>0.94339622641509435</v>
      </c>
      <c r="AC42" s="1806">
        <f t="shared" si="5"/>
        <v>1</v>
      </c>
    </row>
    <row r="43" spans="1:29" ht="15">
      <c r="A43" s="472"/>
      <c r="B43" s="422" t="s">
        <v>2568</v>
      </c>
      <c r="C43" s="2606" t="s">
        <v>3610</v>
      </c>
      <c r="D43" s="435">
        <v>100</v>
      </c>
      <c r="E43" s="2606" t="s">
        <v>3610</v>
      </c>
      <c r="F43" s="461">
        <f>SUMIF(124:124,E43,125:125)-SUMIF(124:124,C43,125:125)+100</f>
        <v>100</v>
      </c>
      <c r="G43" s="2606" t="s">
        <v>3610</v>
      </c>
      <c r="H43" s="435">
        <f>SUMIF(124:124,G43,125:125)-SUMIF(124:124,C43,125:125)+100</f>
        <v>100</v>
      </c>
      <c r="I43" s="2606" t="s">
        <v>3610</v>
      </c>
      <c r="J43" s="435">
        <f>SUMIF(124:124,I43,125:125)-SUMIF(124:124,C43,125:125)+100</f>
        <v>100</v>
      </c>
      <c r="K43" s="612">
        <v>2</v>
      </c>
      <c r="L43" s="1136"/>
      <c r="M43" s="1127"/>
      <c r="N43" s="1127"/>
      <c r="O43" s="1127"/>
      <c r="P43" s="3327"/>
      <c r="Q43" s="1805" t="str">
        <f t="shared" si="11"/>
        <v>内部装修维护情况</v>
      </c>
      <c r="R43" s="772" t="s">
        <v>17</v>
      </c>
      <c r="S43" s="773">
        <f t="shared" si="12"/>
        <v>100</v>
      </c>
      <c r="T43" s="772" t="s">
        <v>17</v>
      </c>
      <c r="U43" s="773">
        <f t="shared" si="13"/>
        <v>100</v>
      </c>
      <c r="V43" s="772" t="s">
        <v>17</v>
      </c>
      <c r="W43" s="773">
        <f t="shared" si="14"/>
        <v>100</v>
      </c>
      <c r="X43" s="1808"/>
      <c r="Y43" s="3309"/>
      <c r="Z43" s="1809" t="str">
        <f t="shared" si="15"/>
        <v>内部装修维护情况</v>
      </c>
      <c r="AA43" s="1806">
        <f t="shared" si="3"/>
        <v>1</v>
      </c>
      <c r="AB43" s="1806">
        <f t="shared" si="4"/>
        <v>1</v>
      </c>
      <c r="AC43" s="1806">
        <f t="shared" si="5"/>
        <v>1</v>
      </c>
    </row>
    <row r="44" spans="1:29" s="117" customFormat="1" ht="15">
      <c r="A44" s="473"/>
      <c r="B44" s="1382"/>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327"/>
      <c r="Q44" s="1790">
        <f t="shared" si="11"/>
        <v>0</v>
      </c>
      <c r="R44" s="768" t="s">
        <v>17</v>
      </c>
      <c r="S44" s="769">
        <f t="shared" si="12"/>
        <v>100</v>
      </c>
      <c r="T44" s="768" t="s">
        <v>17</v>
      </c>
      <c r="U44" s="769">
        <f t="shared" si="13"/>
        <v>100</v>
      </c>
      <c r="V44" s="768" t="s">
        <v>17</v>
      </c>
      <c r="W44" s="769">
        <f t="shared" si="14"/>
        <v>100</v>
      </c>
      <c r="X44" s="770"/>
      <c r="Y44" s="3309"/>
      <c r="Z44" s="55">
        <f t="shared" si="15"/>
        <v>0</v>
      </c>
      <c r="AA44" s="771">
        <f t="shared" si="3"/>
        <v>1</v>
      </c>
      <c r="AB44" s="771">
        <f t="shared" si="4"/>
        <v>1</v>
      </c>
      <c r="AC44" s="771">
        <f t="shared" si="5"/>
        <v>1</v>
      </c>
    </row>
    <row r="45" spans="1:29" ht="15">
      <c r="A45" s="472"/>
      <c r="B45" s="3041" t="s">
        <v>4089</v>
      </c>
      <c r="C45" s="3042" t="s">
        <v>4087</v>
      </c>
      <c r="D45" s="3043">
        <v>100</v>
      </c>
      <c r="E45" s="3042" t="s">
        <v>4087</v>
      </c>
      <c r="F45" s="3044">
        <f>SUMIF(128:128,E45,129:129)-SUMIF(128:128,C45,129:129)+100</f>
        <v>100</v>
      </c>
      <c r="G45" s="3042" t="s">
        <v>4088</v>
      </c>
      <c r="H45" s="3043">
        <f>SUMIF(128:128,G45,129:129)-SUMIF(128:128,C45,129:129)+100</f>
        <v>95</v>
      </c>
      <c r="I45" s="3042" t="s">
        <v>4088</v>
      </c>
      <c r="J45" s="3043">
        <f>SUMIF(128:128,I45,129:129)-SUMIF(128:128,C45,129:129)+100</f>
        <v>95</v>
      </c>
      <c r="K45" s="613"/>
      <c r="L45" s="1136"/>
      <c r="M45" s="1127"/>
      <c r="N45" s="1127"/>
      <c r="O45" s="1127"/>
      <c r="P45" s="3327"/>
      <c r="Q45" s="1805" t="str">
        <f t="shared" si="11"/>
        <v>建筑品质</v>
      </c>
      <c r="R45" s="772" t="s">
        <v>17</v>
      </c>
      <c r="S45" s="773">
        <f t="shared" si="12"/>
        <v>100</v>
      </c>
      <c r="T45" s="772" t="s">
        <v>17</v>
      </c>
      <c r="U45" s="773">
        <f t="shared" si="13"/>
        <v>95</v>
      </c>
      <c r="V45" s="772" t="s">
        <v>17</v>
      </c>
      <c r="W45" s="773">
        <f t="shared" si="14"/>
        <v>95</v>
      </c>
      <c r="X45" s="1808"/>
      <c r="Y45" s="3309"/>
      <c r="Z45" s="1809" t="str">
        <f t="shared" si="15"/>
        <v>建筑品质</v>
      </c>
      <c r="AA45" s="1806">
        <f t="shared" si="3"/>
        <v>1</v>
      </c>
      <c r="AB45" s="1806">
        <f t="shared" si="4"/>
        <v>1.0526315789473684</v>
      </c>
      <c r="AC45" s="1806">
        <f t="shared" si="5"/>
        <v>1.0526315789473684</v>
      </c>
    </row>
    <row r="46" spans="1:29" ht="15.75" thickBot="1">
      <c r="A46" s="478"/>
      <c r="B46" s="2595"/>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328"/>
      <c r="Q46" s="1805">
        <f t="shared" si="11"/>
        <v>0</v>
      </c>
      <c r="R46" s="772" t="s">
        <v>17</v>
      </c>
      <c r="S46" s="773">
        <f t="shared" si="12"/>
        <v>100</v>
      </c>
      <c r="T46" s="772" t="s">
        <v>17</v>
      </c>
      <c r="U46" s="773">
        <f t="shared" si="13"/>
        <v>100</v>
      </c>
      <c r="V46" s="772" t="s">
        <v>17</v>
      </c>
      <c r="W46" s="773">
        <f t="shared" si="14"/>
        <v>100</v>
      </c>
      <c r="X46" s="1808"/>
      <c r="Y46" s="3329"/>
      <c r="Z46" s="1809">
        <f t="shared" si="15"/>
        <v>0</v>
      </c>
      <c r="AA46" s="1806">
        <f t="shared" si="3"/>
        <v>1</v>
      </c>
      <c r="AB46" s="1806">
        <f t="shared" si="4"/>
        <v>1</v>
      </c>
      <c r="AC46" s="1806">
        <f t="shared" si="5"/>
        <v>1</v>
      </c>
    </row>
    <row r="47" spans="1:29" ht="15">
      <c r="A47" s="479" t="s">
        <v>2569</v>
      </c>
      <c r="B47" s="480"/>
      <c r="C47" s="1403" t="s">
        <v>1</v>
      </c>
      <c r="D47" s="1404"/>
      <c r="E47" s="1405">
        <v>19000</v>
      </c>
      <c r="F47" s="1406"/>
      <c r="G47" s="1407">
        <v>17500</v>
      </c>
      <c r="H47" s="1408"/>
      <c r="I47" s="3033">
        <v>16000</v>
      </c>
      <c r="J47" s="1408"/>
      <c r="K47" s="781"/>
      <c r="L47" s="1139"/>
      <c r="M47" s="1140"/>
      <c r="N47" s="1127"/>
      <c r="O47" s="1140"/>
      <c r="P47" s="3291" t="str">
        <f>A47</f>
        <v>成交单价（元/平方米）</v>
      </c>
      <c r="Q47" s="3291"/>
      <c r="R47" s="3304">
        <f>E47</f>
        <v>19000</v>
      </c>
      <c r="S47" s="3304"/>
      <c r="T47" s="3304">
        <f>G47</f>
        <v>17500</v>
      </c>
      <c r="U47" s="3304"/>
      <c r="V47" s="3304">
        <f>I47</f>
        <v>16000</v>
      </c>
      <c r="W47" s="3304"/>
      <c r="X47" s="757"/>
      <c r="Y47" s="779"/>
      <c r="Z47" s="757"/>
      <c r="AA47" s="757"/>
      <c r="AB47" s="757"/>
      <c r="AC47" s="757"/>
    </row>
    <row r="48" spans="1:29" ht="15.75" thickBot="1">
      <c r="A48" s="486" t="s">
        <v>2661</v>
      </c>
      <c r="B48" s="487"/>
      <c r="C48" s="1409">
        <f>R49</f>
        <v>20031</v>
      </c>
      <c r="D48" s="1410"/>
      <c r="E48" s="1411">
        <f>R48</f>
        <v>21053</v>
      </c>
      <c r="F48" s="1411"/>
      <c r="G48" s="1409">
        <f>T48</f>
        <v>20326</v>
      </c>
      <c r="H48" s="1410"/>
      <c r="I48" s="1411">
        <f>V48</f>
        <v>18713</v>
      </c>
      <c r="J48" s="1410"/>
      <c r="K48" s="782"/>
      <c r="L48" s="1139"/>
      <c r="M48" s="1140"/>
      <c r="N48" s="1127"/>
      <c r="O48" s="1140"/>
      <c r="P48" s="3291" t="str">
        <f>A48</f>
        <v>比较价值（元/平方米）</v>
      </c>
      <c r="Q48" s="3291"/>
      <c r="R48" s="3325">
        <f>IF(F1="售价",ROUND(PRODUCT(R47,AA7:AA46),0),ROUND(PRODUCT(R47,AA7:AA46),1))</f>
        <v>21053</v>
      </c>
      <c r="S48" s="3325"/>
      <c r="T48" s="3325">
        <f>IF(F1="售价",ROUND(PRODUCT(T47,AB7:AB46),0),ROUND(PRODUCT(T47,AB7:AB46),1))</f>
        <v>20326</v>
      </c>
      <c r="U48" s="3325"/>
      <c r="V48" s="3325">
        <f>IF(F1="售价",ROUND(PRODUCT(V47,AC7:AC46),0),ROUND(PRODUCT(V47,AC7:AC46),1))</f>
        <v>18713</v>
      </c>
      <c r="W48" s="3325"/>
      <c r="X48" s="757"/>
      <c r="Y48" s="757"/>
      <c r="Z48" s="757"/>
      <c r="AA48" s="757"/>
      <c r="AB48" s="757"/>
      <c r="AC48" s="757"/>
    </row>
    <row r="49" spans="1:29" ht="15.75" thickBot="1">
      <c r="A49" s="492" t="s">
        <v>2662</v>
      </c>
      <c r="B49" s="493"/>
      <c r="C49" s="1413">
        <f>R49</f>
        <v>20031</v>
      </c>
      <c r="D49" s="1413"/>
      <c r="E49" s="1413"/>
      <c r="F49" s="1413"/>
      <c r="G49" s="1413"/>
      <c r="H49" s="1413"/>
      <c r="I49" s="1413"/>
      <c r="J49" s="1413"/>
      <c r="K49" s="783"/>
      <c r="L49" s="1139"/>
      <c r="M49" s="1140"/>
      <c r="N49" s="1127"/>
      <c r="O49" s="1140"/>
      <c r="P49" s="3311" t="str">
        <f>A49</f>
        <v>估价对象XX用房的比较价值（楼面单价，元/平方米）</v>
      </c>
      <c r="Q49" s="3312"/>
      <c r="R49" s="3324">
        <f>IF(F1="售价",ROUND(AVERAGE(R48:V48),0),ROUND(AVERAGE(R48:V48),1))</f>
        <v>20031</v>
      </c>
      <c r="S49" s="3324"/>
      <c r="T49" s="3324"/>
      <c r="U49" s="3324"/>
      <c r="V49" s="3324"/>
      <c r="W49" s="3324"/>
      <c r="X49" s="757"/>
      <c r="Y49" s="757"/>
      <c r="Z49" s="757"/>
      <c r="AA49" s="757"/>
      <c r="AB49" s="757"/>
      <c r="AC49" s="757"/>
    </row>
    <row r="50" spans="1:29" ht="18.75" customHeight="1">
      <c r="A50" s="1140"/>
      <c r="B50" s="1140"/>
      <c r="C50" s="1140"/>
      <c r="D50" s="1140"/>
      <c r="E50" s="1140"/>
      <c r="F50" s="1140"/>
      <c r="G50" s="1143"/>
      <c r="H50" s="1140"/>
      <c r="I50" s="1140"/>
      <c r="J50" s="1140"/>
      <c r="K50" s="1101"/>
      <c r="L50" s="1102"/>
      <c r="M50" s="1140"/>
      <c r="N50" s="1140"/>
      <c r="O50" s="1140"/>
      <c r="P50" s="674"/>
      <c r="Q50" s="757"/>
      <c r="R50" s="757"/>
      <c r="S50" s="757"/>
      <c r="T50" s="757"/>
      <c r="U50" s="757"/>
      <c r="V50" s="757"/>
      <c r="W50" s="757"/>
      <c r="X50" s="757"/>
      <c r="Y50" s="757"/>
      <c r="Z50" s="757"/>
      <c r="AA50" s="757"/>
      <c r="AB50" s="757"/>
      <c r="AC50" s="757"/>
    </row>
    <row r="51" spans="1:29">
      <c r="A51" s="1140"/>
      <c r="B51" s="1140"/>
      <c r="C51" s="1140"/>
      <c r="D51" s="1140"/>
      <c r="E51" s="1140"/>
      <c r="F51" s="1140"/>
      <c r="G51" s="1140"/>
      <c r="H51" s="1140"/>
      <c r="I51" s="1140"/>
      <c r="J51" s="1140"/>
      <c r="K51" s="1101"/>
      <c r="L51" s="1102"/>
      <c r="M51" s="1140"/>
      <c r="N51" s="1140"/>
      <c r="O51" s="1140"/>
      <c r="P51" s="674"/>
      <c r="Q51" s="757"/>
      <c r="R51" s="757"/>
      <c r="S51" s="757"/>
      <c r="T51" s="757"/>
      <c r="U51" s="757"/>
      <c r="V51" s="757"/>
      <c r="W51" s="757"/>
      <c r="X51" s="757"/>
      <c r="Y51" s="757"/>
      <c r="Z51" s="757"/>
      <c r="AA51" s="757"/>
      <c r="AB51" s="757"/>
      <c r="AC51" s="757"/>
    </row>
    <row r="52" spans="1:29" ht="13.5" customHeight="1">
      <c r="A52" s="1140"/>
      <c r="B52" s="1140"/>
      <c r="C52" s="497" t="s">
        <v>2663</v>
      </c>
      <c r="D52" s="498"/>
      <c r="E52" s="499">
        <f>IF(E47&lt;E48,E48/E47-1,E47/E48-1)</f>
        <v>0.1080526315789474</v>
      </c>
      <c r="F52" s="500" t="str">
        <f>IF(OR(E52&gt;=0.3,E52&lt;=-0.3),"超过30%","")</f>
        <v/>
      </c>
      <c r="G52" s="499">
        <f>IF(G47&lt;G48,G48/G47-1,G47/G48-1)</f>
        <v>0.16148571428571423</v>
      </c>
      <c r="H52" s="500" t="str">
        <f>IF(OR(G52&gt;=0.3,G52&lt;=-0.3),"超过30%","")</f>
        <v/>
      </c>
      <c r="I52" s="499">
        <f>IF(I47&lt;I48,I48/I47-1,I47/I48-1)</f>
        <v>0.16956250000000006</v>
      </c>
      <c r="J52" s="500" t="str">
        <f>IF(OR(I52&gt;=0.3,I52&lt;=-0.3),"超过30%","")</f>
        <v/>
      </c>
      <c r="K52" s="1101"/>
      <c r="L52" s="1102"/>
      <c r="M52" s="1140"/>
      <c r="N52" s="1140"/>
      <c r="O52" s="1140"/>
      <c r="P52" s="674"/>
      <c r="Q52" s="757"/>
      <c r="R52" s="757"/>
      <c r="S52" s="757"/>
      <c r="T52" s="757"/>
      <c r="U52" s="757"/>
      <c r="V52" s="757"/>
      <c r="W52" s="757"/>
      <c r="X52" s="757"/>
      <c r="Y52" s="757"/>
      <c r="Z52" s="757"/>
      <c r="AA52" s="757"/>
      <c r="AB52" s="757"/>
      <c r="AC52" s="757"/>
    </row>
    <row r="53" spans="1:29" ht="13.5" customHeight="1">
      <c r="A53" s="1140"/>
      <c r="B53" s="1140"/>
      <c r="C53" s="497" t="s">
        <v>2664</v>
      </c>
      <c r="D53" s="501"/>
      <c r="E53" s="499">
        <f>IF(E48&lt;G48,G48/E48-1,E48/G48-1)</f>
        <v>3.5766997933680988E-2</v>
      </c>
      <c r="F53" s="500" t="str">
        <f>IF(OR(E53&gt;=0.2,E53&lt;=-0.2),"超过20%","")</f>
        <v/>
      </c>
      <c r="G53" s="499">
        <f>IF(G48&lt;I48,I48/G48-1,G48/I48-1)</f>
        <v>8.6196761609576233E-2</v>
      </c>
      <c r="H53" s="500" t="str">
        <f>IF(OR(G53&gt;=0.2,G53&lt;=-0.2),"超过20%","")</f>
        <v/>
      </c>
      <c r="I53" s="499">
        <f>IF(I48&lt;E48,E48/I48-1,I48/E48-1)</f>
        <v>0.12504675893763695</v>
      </c>
      <c r="J53" s="500" t="str">
        <f>IF(OR(I53&gt;=0.2,I53&lt;=-0.2),"超过20%","")</f>
        <v/>
      </c>
      <c r="K53" s="1101"/>
      <c r="L53" s="1102"/>
      <c r="M53" s="1140"/>
      <c r="N53" s="1140"/>
      <c r="O53" s="1140"/>
      <c r="P53" s="674"/>
      <c r="Q53" s="757"/>
      <c r="R53" s="757"/>
      <c r="S53" s="757"/>
      <c r="T53" s="757"/>
      <c r="U53" s="757"/>
      <c r="V53" s="757"/>
      <c r="W53" s="757"/>
      <c r="X53" s="757"/>
      <c r="Y53" s="757"/>
      <c r="Z53" s="757"/>
      <c r="AA53" s="757"/>
      <c r="AB53" s="757"/>
      <c r="AC53" s="757"/>
    </row>
    <row r="54" spans="1:29" s="502" customFormat="1" ht="13.5" customHeight="1">
      <c r="A54" s="1141"/>
      <c r="B54" s="1141"/>
      <c r="C54" s="497" t="s">
        <v>2665</v>
      </c>
      <c r="D54" s="501"/>
      <c r="E54" s="499">
        <f>IF(E47&lt;G47,G47/E47-1,E47/G47-1)</f>
        <v>8.5714285714285632E-2</v>
      </c>
      <c r="F54" s="500" t="str">
        <f>IF(OR(E54&gt;=0.3,E54&lt;=-0.3),"超过30%","")</f>
        <v/>
      </c>
      <c r="G54" s="499">
        <f>IF(G47&lt;I47,I47/G47-1,G47/I47-1)</f>
        <v>9.375E-2</v>
      </c>
      <c r="H54" s="500" t="str">
        <f>IF(OR(G54&gt;=0.3,G54&lt;=-0.3),"超过30%","")</f>
        <v/>
      </c>
      <c r="I54" s="499">
        <f>IF(I47&lt;E47,E47/I47-1,I47/E47-1)</f>
        <v>0.1875</v>
      </c>
      <c r="J54" s="500" t="str">
        <f>IF(OR(I54&gt;=0.3,I54&lt;=-0.3),"超过30%","")</f>
        <v/>
      </c>
      <c r="K54" s="1144"/>
      <c r="L54" s="1145"/>
      <c r="M54" s="1141"/>
      <c r="N54" s="1141"/>
      <c r="O54" s="1141"/>
      <c r="P54" s="2657"/>
      <c r="Q54" s="758"/>
      <c r="R54" s="758"/>
      <c r="S54" s="758"/>
      <c r="T54" s="758"/>
      <c r="U54" s="758"/>
      <c r="V54" s="758"/>
      <c r="W54" s="758"/>
      <c r="X54" s="758"/>
      <c r="Y54" s="758"/>
      <c r="Z54" s="758"/>
      <c r="AA54" s="758"/>
      <c r="AB54" s="758"/>
      <c r="AC54" s="758"/>
    </row>
    <row r="55" spans="1:29" s="502" customFormat="1">
      <c r="A55" s="1141"/>
      <c r="B55" s="1142"/>
      <c r="C55" s="1146"/>
      <c r="D55" s="1141"/>
      <c r="E55" s="1141"/>
      <c r="F55" s="1141"/>
      <c r="G55" s="1141"/>
      <c r="H55" s="1141"/>
      <c r="I55" s="1141"/>
      <c r="J55" s="1141"/>
      <c r="K55" s="1144"/>
      <c r="L55" s="1145"/>
      <c r="M55" s="1141"/>
      <c r="N55" s="1141"/>
      <c r="O55" s="1141"/>
      <c r="P55" s="2657"/>
      <c r="Q55" s="758"/>
      <c r="R55" s="758"/>
      <c r="S55" s="758"/>
      <c r="T55" s="758"/>
      <c r="U55" s="758"/>
      <c r="V55" s="758"/>
      <c r="W55" s="758"/>
      <c r="X55" s="758"/>
      <c r="Y55" s="758"/>
      <c r="Z55" s="758"/>
      <c r="AA55" s="758"/>
      <c r="AB55" s="758"/>
      <c r="AC55" s="758"/>
    </row>
    <row r="56" spans="1:29">
      <c r="A56" s="1140"/>
      <c r="B56" s="1142"/>
      <c r="C56" s="1146"/>
      <c r="D56" s="1140"/>
      <c r="E56" s="1140"/>
      <c r="F56" s="1140"/>
      <c r="G56" s="1140"/>
      <c r="H56" s="1140"/>
      <c r="I56" s="1140"/>
      <c r="J56" s="1140"/>
      <c r="K56" s="1101"/>
      <c r="L56" s="1102"/>
      <c r="M56" s="1140"/>
      <c r="N56" s="1140"/>
      <c r="O56" s="1140"/>
      <c r="P56" s="674"/>
      <c r="Q56" s="757"/>
      <c r="R56" s="757"/>
      <c r="S56" s="757"/>
      <c r="T56" s="757"/>
      <c r="U56" s="757"/>
      <c r="V56" s="757"/>
      <c r="W56" s="757"/>
      <c r="X56" s="757"/>
      <c r="Y56" s="757"/>
      <c r="Z56" s="757"/>
      <c r="AA56" s="757"/>
      <c r="AB56" s="757"/>
      <c r="AC56" s="757"/>
    </row>
    <row r="57" spans="1:29" ht="21.75" thickBot="1">
      <c r="A57" s="761" t="s">
        <v>2666</v>
      </c>
      <c r="B57" s="757"/>
      <c r="C57" s="762"/>
      <c r="D57" s="762"/>
      <c r="E57" s="762"/>
      <c r="F57" s="763"/>
      <c r="G57" s="763"/>
      <c r="H57" s="762"/>
      <c r="I57" s="762"/>
      <c r="J57" s="762"/>
      <c r="K57" s="764"/>
      <c r="L57" s="1157"/>
      <c r="M57" s="1155"/>
      <c r="N57" s="1155"/>
      <c r="O57" s="1155"/>
      <c r="P57" s="2658"/>
      <c r="Q57" s="2659"/>
      <c r="R57" s="757"/>
      <c r="S57" s="757"/>
      <c r="T57" s="757"/>
      <c r="U57" s="757"/>
      <c r="V57" s="757"/>
      <c r="W57" s="757"/>
      <c r="X57" s="757"/>
      <c r="Y57" s="757"/>
      <c r="Z57" s="757"/>
      <c r="AA57" s="757"/>
      <c r="AB57" s="757"/>
      <c r="AC57" s="757"/>
    </row>
    <row r="58" spans="1:29" s="508" customFormat="1" ht="15">
      <c r="A58" s="505" t="s">
        <v>2540</v>
      </c>
      <c r="B58" s="506"/>
      <c r="C58" s="1569" t="str">
        <f>YEAR(C7)&amp;"-"&amp;MONTH(C7)</f>
        <v>2019-11</v>
      </c>
      <c r="D58" s="1570">
        <f>EDATE(C58,-1)</f>
        <v>43739</v>
      </c>
      <c r="E58" s="1570">
        <f t="shared" ref="E58:N58" si="16">EDATE(D58,-1)</f>
        <v>43709</v>
      </c>
      <c r="F58" s="1570">
        <f t="shared" si="16"/>
        <v>43678</v>
      </c>
      <c r="G58" s="1570">
        <f t="shared" si="16"/>
        <v>43647</v>
      </c>
      <c r="H58" s="1570">
        <f t="shared" si="16"/>
        <v>43617</v>
      </c>
      <c r="I58" s="1570">
        <f t="shared" si="16"/>
        <v>43586</v>
      </c>
      <c r="J58" s="1570">
        <f t="shared" si="16"/>
        <v>43556</v>
      </c>
      <c r="K58" s="1570">
        <f t="shared" si="16"/>
        <v>43525</v>
      </c>
      <c r="L58" s="1570">
        <f t="shared" si="16"/>
        <v>43497</v>
      </c>
      <c r="M58" s="1570">
        <f t="shared" si="16"/>
        <v>43466</v>
      </c>
      <c r="N58" s="1570">
        <f t="shared" si="16"/>
        <v>43435</v>
      </c>
      <c r="O58" s="1570">
        <f>EDATE(N58,-1)</f>
        <v>43405</v>
      </c>
      <c r="P58" s="1565"/>
    </row>
    <row r="59" spans="1:29" s="117" customFormat="1" ht="15">
      <c r="A59" s="509"/>
      <c r="B59" s="510"/>
      <c r="C59" s="1568">
        <v>100</v>
      </c>
      <c r="D59" s="512"/>
      <c r="E59" s="512"/>
      <c r="F59" s="512"/>
      <c r="G59" s="512"/>
      <c r="H59" s="512"/>
      <c r="I59" s="512"/>
      <c r="J59" s="512"/>
      <c r="K59" s="512"/>
      <c r="L59" s="512"/>
      <c r="M59" s="513"/>
      <c r="N59" s="512"/>
      <c r="O59" s="513"/>
      <c r="P59" s="2619"/>
    </row>
    <row r="60" spans="1:29" s="117" customFormat="1" ht="15.75" thickBot="1">
      <c r="A60" s="515" t="s">
        <v>2577</v>
      </c>
      <c r="B60" s="516"/>
      <c r="C60" s="517"/>
      <c r="D60" s="518"/>
      <c r="E60" s="518"/>
      <c r="F60" s="518"/>
      <c r="G60" s="518"/>
      <c r="H60" s="518"/>
      <c r="I60" s="518"/>
      <c r="J60" s="518"/>
      <c r="K60" s="518"/>
      <c r="L60" s="518"/>
      <c r="M60" s="519"/>
      <c r="N60" s="518"/>
      <c r="O60" s="519"/>
      <c r="P60" s="2619"/>
      <c r="Q60" s="504"/>
    </row>
    <row r="61" spans="1:29" s="117" customFormat="1" ht="15">
      <c r="A61" s="521" t="s">
        <v>2542</v>
      </c>
      <c r="B61" s="510"/>
      <c r="C61" s="522" t="s">
        <v>2644</v>
      </c>
      <c r="D61" s="523"/>
      <c r="E61" s="523"/>
      <c r="F61" s="523"/>
      <c r="G61" s="523"/>
      <c r="H61" s="523"/>
      <c r="I61" s="523"/>
      <c r="J61" s="523"/>
      <c r="K61" s="523"/>
      <c r="L61" s="524"/>
      <c r="M61" s="525"/>
      <c r="N61" s="1147"/>
      <c r="O61" s="1147"/>
      <c r="P61" s="2620"/>
      <c r="Q61" s="504"/>
    </row>
    <row r="62" spans="1:29" s="117" customFormat="1" ht="15.75" thickBot="1">
      <c r="A62" s="521"/>
      <c r="B62" s="510"/>
      <c r="C62" s="511">
        <v>100</v>
      </c>
      <c r="D62" s="512"/>
      <c r="E62" s="512"/>
      <c r="F62" s="512"/>
      <c r="G62" s="512"/>
      <c r="H62" s="512"/>
      <c r="I62" s="512"/>
      <c r="J62" s="512"/>
      <c r="K62" s="512"/>
      <c r="L62" s="512"/>
      <c r="M62" s="514"/>
      <c r="N62" s="1147"/>
      <c r="O62" s="1147"/>
      <c r="P62" s="2619"/>
      <c r="Q62" s="504"/>
    </row>
    <row r="63" spans="1:29">
      <c r="A63" s="527" t="s">
        <v>2580</v>
      </c>
      <c r="B63" s="528" t="s">
        <v>2546</v>
      </c>
      <c r="C63" s="529" t="str">
        <f>C9</f>
        <v>商住</v>
      </c>
      <c r="D63" s="530"/>
      <c r="E63" s="530"/>
      <c r="F63" s="530"/>
      <c r="G63" s="530"/>
      <c r="H63" s="530"/>
      <c r="I63" s="530"/>
      <c r="J63" s="530"/>
      <c r="K63" s="531"/>
      <c r="L63" s="532"/>
      <c r="M63" s="533"/>
      <c r="N63" s="1148"/>
      <c r="O63" s="1148"/>
      <c r="P63" s="2621"/>
      <c r="Q63" s="504"/>
    </row>
    <row r="64" spans="1:29" ht="15.75" thickBot="1">
      <c r="A64" s="534"/>
      <c r="B64" s="535"/>
      <c r="C64" s="536">
        <v>100</v>
      </c>
      <c r="D64" s="536"/>
      <c r="E64" s="536"/>
      <c r="F64" s="536"/>
      <c r="G64" s="536"/>
      <c r="H64" s="536"/>
      <c r="I64" s="536"/>
      <c r="J64" s="536"/>
      <c r="K64" s="536"/>
      <c r="L64" s="536"/>
      <c r="M64" s="537"/>
      <c r="N64" s="1149"/>
      <c r="O64" s="1149"/>
      <c r="P64" s="2621"/>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48"/>
      <c r="O65" s="1148"/>
      <c r="P65" s="2621"/>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49"/>
      <c r="O66" s="1149"/>
      <c r="P66" s="2621"/>
      <c r="Q66" s="504"/>
    </row>
    <row r="67" spans="1:17" ht="15.75" thickTop="1">
      <c r="A67" s="534"/>
      <c r="B67" s="546" t="s">
        <v>2550</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1"/>
      <c r="Q67" s="504"/>
    </row>
    <row r="68" spans="1:17" ht="15">
      <c r="A68" s="534"/>
      <c r="B68" s="548"/>
      <c r="C68" s="549">
        <v>0</v>
      </c>
      <c r="D68" s="549"/>
      <c r="E68" s="549"/>
      <c r="F68" s="549"/>
      <c r="G68" s="549"/>
      <c r="H68" s="549"/>
      <c r="I68" s="549"/>
      <c r="J68" s="549"/>
      <c r="K68" s="550"/>
      <c r="L68" s="551"/>
      <c r="M68" s="552"/>
      <c r="N68" s="1148"/>
      <c r="O68" s="1148"/>
      <c r="P68" s="262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1"/>
      <c r="Q69" s="504"/>
    </row>
    <row r="70" spans="1:17" s="471" customFormat="1" ht="15.75" thickTop="1">
      <c r="A70" s="553"/>
      <c r="B70" s="538">
        <f>B12</f>
        <v>0</v>
      </c>
      <c r="C70" s="554"/>
      <c r="D70" s="554"/>
      <c r="E70" s="554"/>
      <c r="F70" s="554"/>
      <c r="G70" s="554"/>
      <c r="H70" s="555"/>
      <c r="I70" s="555"/>
      <c r="J70" s="555"/>
      <c r="K70" s="555"/>
      <c r="L70" s="556"/>
      <c r="M70" s="557"/>
      <c r="N70" s="1150"/>
      <c r="O70" s="1150"/>
      <c r="P70" s="2622"/>
      <c r="Q70" s="559"/>
    </row>
    <row r="71" spans="1:17" s="471" customFormat="1" ht="15.75" thickBot="1">
      <c r="A71" s="553"/>
      <c r="B71" s="543"/>
      <c r="C71" s="560"/>
      <c r="D71" s="536"/>
      <c r="E71" s="536"/>
      <c r="F71" s="536"/>
      <c r="G71" s="536"/>
      <c r="H71" s="536"/>
      <c r="I71" s="536"/>
      <c r="J71" s="536"/>
      <c r="K71" s="536"/>
      <c r="L71" s="536"/>
      <c r="M71" s="537"/>
      <c r="N71" s="1149"/>
      <c r="O71" s="1149"/>
      <c r="P71" s="2622"/>
      <c r="Q71" s="559"/>
    </row>
    <row r="72" spans="1:17" s="471" customFormat="1" ht="15.75" thickTop="1">
      <c r="A72" s="553"/>
      <c r="B72" s="538">
        <f>B13</f>
        <v>0</v>
      </c>
      <c r="C72" s="554"/>
      <c r="D72" s="554"/>
      <c r="E72" s="554"/>
      <c r="F72" s="554"/>
      <c r="G72" s="554"/>
      <c r="H72" s="555"/>
      <c r="I72" s="555"/>
      <c r="J72" s="555"/>
      <c r="K72" s="555"/>
      <c r="L72" s="556"/>
      <c r="M72" s="557"/>
      <c r="N72" s="1150"/>
      <c r="O72" s="1150"/>
      <c r="P72" s="2623"/>
      <c r="Q72" s="561"/>
    </row>
    <row r="73" spans="1:17" s="471" customFormat="1" ht="15.75" thickBot="1">
      <c r="A73" s="553"/>
      <c r="B73" s="543"/>
      <c r="C73" s="560"/>
      <c r="D73" s="536"/>
      <c r="E73" s="536"/>
      <c r="F73" s="536"/>
      <c r="G73" s="560"/>
      <c r="H73" s="562"/>
      <c r="I73" s="562"/>
      <c r="J73" s="562"/>
      <c r="K73" s="562"/>
      <c r="L73" s="562"/>
      <c r="M73" s="563"/>
      <c r="N73" s="1150"/>
      <c r="O73" s="1150"/>
      <c r="P73" s="2622"/>
      <c r="Q73" s="559"/>
    </row>
    <row r="74" spans="1:17" s="471" customFormat="1" ht="15.75" thickTop="1">
      <c r="A74" s="553"/>
      <c r="B74" s="546">
        <f>B14</f>
        <v>0</v>
      </c>
      <c r="C74" s="554"/>
      <c r="D74" s="554"/>
      <c r="E74" s="554"/>
      <c r="F74" s="554"/>
      <c r="G74" s="523"/>
      <c r="H74" s="564"/>
      <c r="I74" s="564"/>
      <c r="J74" s="564"/>
      <c r="K74" s="564"/>
      <c r="L74" s="565"/>
      <c r="M74" s="566"/>
      <c r="N74" s="1150"/>
      <c r="O74" s="1150"/>
      <c r="P74" s="2624"/>
      <c r="Q74" s="559"/>
    </row>
    <row r="75" spans="1:17" s="471" customFormat="1" ht="15.75" thickBot="1">
      <c r="A75" s="568"/>
      <c r="B75" s="569"/>
      <c r="C75" s="570"/>
      <c r="D75" s="570"/>
      <c r="E75" s="570"/>
      <c r="F75" s="570"/>
      <c r="G75" s="570"/>
      <c r="H75" s="571"/>
      <c r="I75" s="571"/>
      <c r="J75" s="571"/>
      <c r="K75" s="571"/>
      <c r="L75" s="571"/>
      <c r="M75" s="572"/>
      <c r="N75" s="1150"/>
      <c r="O75" s="1150"/>
      <c r="P75" s="2622"/>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48"/>
      <c r="O76" s="1148"/>
      <c r="P76" s="2625"/>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49"/>
      <c r="O77" s="1149"/>
      <c r="P77" s="2621"/>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48"/>
      <c r="O78" s="1148"/>
      <c r="P78" s="2621"/>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49"/>
      <c r="O79" s="1149"/>
      <c r="P79" s="2621"/>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48"/>
      <c r="O80" s="1148"/>
      <c r="P80" s="2621"/>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49"/>
      <c r="O81" s="1149"/>
      <c r="P81" s="2621"/>
      <c r="Q81" s="504"/>
    </row>
    <row r="82" spans="1:17" ht="15.75" thickTop="1">
      <c r="A82" s="534"/>
      <c r="B82" s="546" t="s">
        <v>2647</v>
      </c>
      <c r="C82" s="659" t="s">
        <v>2667</v>
      </c>
      <c r="D82" s="659" t="s">
        <v>2668</v>
      </c>
      <c r="E82" s="659" t="s">
        <v>2669</v>
      </c>
      <c r="F82" s="659" t="s">
        <v>2670</v>
      </c>
      <c r="G82" s="659" t="s">
        <v>2671</v>
      </c>
      <c r="H82" s="539"/>
      <c r="I82" s="539"/>
      <c r="J82" s="539"/>
      <c r="K82" s="539"/>
      <c r="L82" s="539"/>
      <c r="M82" s="1378"/>
      <c r="N82" s="1149"/>
      <c r="O82" s="1149"/>
      <c r="P82" s="2621"/>
      <c r="Q82" s="504"/>
    </row>
    <row r="83" spans="1:17" ht="15.75" thickBot="1">
      <c r="A83" s="534"/>
      <c r="B83" s="546"/>
      <c r="C83" s="544">
        <v>100</v>
      </c>
      <c r="D83" s="544">
        <f>C83-$K21</f>
        <v>98</v>
      </c>
      <c r="E83" s="544">
        <f t="shared" ref="E83:G83" si="19">D83-$K21</f>
        <v>96</v>
      </c>
      <c r="F83" s="544">
        <f t="shared" si="19"/>
        <v>94</v>
      </c>
      <c r="G83" s="544">
        <f t="shared" si="19"/>
        <v>92</v>
      </c>
      <c r="H83" s="659"/>
      <c r="I83" s="659"/>
      <c r="J83" s="659"/>
      <c r="K83" s="659"/>
      <c r="L83" s="659"/>
      <c r="M83" s="450"/>
      <c r="N83" s="1149"/>
      <c r="O83" s="1149"/>
      <c r="P83" s="2621"/>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48"/>
      <c r="O84" s="1148"/>
      <c r="P84" s="2621"/>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49"/>
      <c r="O85" s="1149"/>
      <c r="P85" s="2621"/>
      <c r="Q85" s="504"/>
    </row>
    <row r="86" spans="1:17" s="117" customFormat="1" ht="15.75" thickTop="1">
      <c r="A86" s="579"/>
      <c r="B86" s="538" t="s">
        <v>2672</v>
      </c>
      <c r="C86" s="554"/>
      <c r="D86" s="554"/>
      <c r="E86" s="554"/>
      <c r="F86" s="554"/>
      <c r="G86" s="554"/>
      <c r="H86" s="554"/>
      <c r="I86" s="554"/>
      <c r="J86" s="554"/>
      <c r="K86" s="554"/>
      <c r="L86" s="580"/>
      <c r="M86" s="581"/>
      <c r="N86" s="1147"/>
      <c r="O86" s="1147"/>
      <c r="P86" s="262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9"/>
      <c r="O87" s="1149"/>
      <c r="P87" s="2621"/>
      <c r="Q87" s="504"/>
    </row>
    <row r="88" spans="1:17" s="117" customFormat="1" ht="15.75" thickTop="1">
      <c r="A88" s="579"/>
      <c r="B88" s="538" t="str">
        <f>B26</f>
        <v>平面位置/可视性</v>
      </c>
      <c r="C88" s="554"/>
      <c r="D88" s="554"/>
      <c r="E88" s="554"/>
      <c r="F88" s="2626"/>
      <c r="G88" s="554"/>
      <c r="H88" s="554"/>
      <c r="I88" s="554"/>
      <c r="J88" s="554"/>
      <c r="K88" s="554"/>
      <c r="L88" s="554"/>
      <c r="M88" s="581"/>
      <c r="N88" s="1147"/>
      <c r="O88" s="1147"/>
      <c r="P88" s="2621"/>
      <c r="Q88" s="504"/>
    </row>
    <row r="89" spans="1:17" s="117" customFormat="1" ht="15.75" thickBot="1">
      <c r="A89" s="579"/>
      <c r="B89" s="543"/>
      <c r="C89" s="560"/>
      <c r="D89" s="536"/>
      <c r="E89" s="536"/>
      <c r="F89" s="536"/>
      <c r="G89" s="536"/>
      <c r="H89" s="536"/>
      <c r="I89" s="536"/>
      <c r="J89" s="536"/>
      <c r="K89" s="536"/>
      <c r="L89" s="536"/>
      <c r="M89" s="536"/>
      <c r="N89" s="1149"/>
      <c r="O89" s="1149"/>
      <c r="P89" s="2621"/>
      <c r="Q89" s="504"/>
    </row>
    <row r="90" spans="1:17" s="471" customFormat="1" ht="15.75" thickTop="1">
      <c r="A90" s="553"/>
      <c r="B90" s="538" t="str">
        <f>B27</f>
        <v>人流量</v>
      </c>
      <c r="C90" s="554"/>
      <c r="D90" s="554"/>
      <c r="E90" s="554"/>
      <c r="F90" s="554"/>
      <c r="G90" s="554"/>
      <c r="H90" s="555"/>
      <c r="I90" s="555"/>
      <c r="J90" s="555"/>
      <c r="K90" s="555"/>
      <c r="L90" s="556"/>
      <c r="M90" s="557"/>
      <c r="N90" s="1150"/>
      <c r="O90" s="1150"/>
      <c r="P90" s="262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0"/>
      <c r="O91" s="1150"/>
      <c r="P91" s="2622"/>
      <c r="Q91" s="559"/>
    </row>
    <row r="92" spans="1:17" ht="15.75" thickTop="1">
      <c r="A92" s="534"/>
      <c r="B92" s="538" t="str">
        <f>B28</f>
        <v>楼层</v>
      </c>
      <c r="C92" s="554"/>
      <c r="D92" s="554"/>
      <c r="E92" s="554"/>
      <c r="F92" s="554"/>
      <c r="G92" s="554"/>
      <c r="H92" s="554"/>
      <c r="I92" s="554"/>
      <c r="J92" s="554"/>
      <c r="K92" s="554"/>
      <c r="L92" s="580"/>
      <c r="M92" s="581"/>
      <c r="N92" s="1148"/>
      <c r="O92" s="1148"/>
      <c r="P92" s="2621"/>
      <c r="Q92" s="504"/>
    </row>
    <row r="93" spans="1:17" ht="15.75" thickBot="1">
      <c r="A93" s="534"/>
      <c r="B93" s="543"/>
      <c r="C93" s="536"/>
      <c r="D93" s="536"/>
      <c r="E93" s="536"/>
      <c r="F93" s="536"/>
      <c r="G93" s="536"/>
      <c r="H93" s="536"/>
      <c r="I93" s="536"/>
      <c r="J93" s="536"/>
      <c r="K93" s="536"/>
      <c r="L93" s="536"/>
      <c r="M93" s="537"/>
      <c r="N93" s="1149"/>
      <c r="O93" s="1149"/>
      <c r="P93" s="2621"/>
      <c r="Q93" s="504"/>
    </row>
    <row r="94" spans="1:17" ht="15.75" thickTop="1">
      <c r="A94" s="534"/>
      <c r="B94" s="538">
        <f>B29</f>
        <v>0</v>
      </c>
      <c r="C94" s="554"/>
      <c r="D94" s="554"/>
      <c r="E94" s="554"/>
      <c r="F94" s="554"/>
      <c r="G94" s="583"/>
      <c r="H94" s="583"/>
      <c r="I94" s="583"/>
      <c r="J94" s="583"/>
      <c r="K94" s="584"/>
      <c r="L94" s="585"/>
      <c r="M94" s="586"/>
      <c r="N94" s="1148"/>
      <c r="O94" s="1148"/>
      <c r="P94" s="2621"/>
      <c r="Q94" s="504"/>
    </row>
    <row r="95" spans="1:17" ht="15.75" thickBot="1">
      <c r="A95" s="534"/>
      <c r="B95" s="543"/>
      <c r="C95" s="560"/>
      <c r="D95" s="536"/>
      <c r="E95" s="536"/>
      <c r="F95" s="536"/>
      <c r="G95" s="536"/>
      <c r="H95" s="536"/>
      <c r="I95" s="536"/>
      <c r="J95" s="536"/>
      <c r="K95" s="536"/>
      <c r="L95" s="536"/>
      <c r="M95" s="537"/>
      <c r="N95" s="1149"/>
      <c r="O95" s="1149"/>
      <c r="P95" s="2621"/>
      <c r="Q95" s="504"/>
    </row>
    <row r="96" spans="1:17" ht="15.75" thickTop="1">
      <c r="A96" s="534"/>
      <c r="B96" s="538">
        <f>B30</f>
        <v>0</v>
      </c>
      <c r="C96" s="554"/>
      <c r="D96" s="554"/>
      <c r="E96" s="554"/>
      <c r="F96" s="554"/>
      <c r="G96" s="583"/>
      <c r="H96" s="583"/>
      <c r="I96" s="583"/>
      <c r="J96" s="583"/>
      <c r="K96" s="584"/>
      <c r="L96" s="585"/>
      <c r="M96" s="586"/>
      <c r="N96" s="1148"/>
      <c r="O96" s="1148"/>
      <c r="P96" s="2621"/>
      <c r="Q96" s="504"/>
    </row>
    <row r="97" spans="1:17" ht="15.75" thickBot="1">
      <c r="A97" s="534"/>
      <c r="B97" s="543"/>
      <c r="C97" s="560"/>
      <c r="D97" s="536"/>
      <c r="E97" s="536"/>
      <c r="F97" s="536"/>
      <c r="G97" s="536"/>
      <c r="H97" s="536"/>
      <c r="I97" s="536"/>
      <c r="J97" s="536"/>
      <c r="K97" s="536"/>
      <c r="L97" s="536"/>
      <c r="M97" s="537"/>
      <c r="N97" s="1149"/>
      <c r="O97" s="1149"/>
      <c r="P97" s="2621"/>
      <c r="Q97" s="504"/>
    </row>
    <row r="98" spans="1:17" ht="15.75" thickTop="1">
      <c r="A98" s="534"/>
      <c r="B98" s="546">
        <f>B31</f>
        <v>0</v>
      </c>
      <c r="C98" s="554"/>
      <c r="D98" s="554"/>
      <c r="E98" s="554"/>
      <c r="F98" s="554"/>
      <c r="G98" s="587"/>
      <c r="H98" s="587"/>
      <c r="I98" s="587"/>
      <c r="J98" s="587"/>
      <c r="K98" s="588"/>
      <c r="L98" s="589"/>
      <c r="M98" s="590"/>
      <c r="N98" s="1148"/>
      <c r="O98" s="1148"/>
      <c r="P98" s="2621"/>
      <c r="Q98" s="504"/>
    </row>
    <row r="99" spans="1:17" ht="15.75" thickBot="1">
      <c r="A99" s="2627"/>
      <c r="B99" s="569"/>
      <c r="C99" s="570"/>
      <c r="D99" s="570"/>
      <c r="E99" s="570"/>
      <c r="F99" s="570"/>
      <c r="G99" s="591"/>
      <c r="H99" s="591"/>
      <c r="I99" s="591"/>
      <c r="J99" s="591"/>
      <c r="K99" s="591"/>
      <c r="L99" s="591"/>
      <c r="M99" s="592"/>
      <c r="N99" s="1149"/>
      <c r="O99" s="1149"/>
      <c r="P99" s="2621"/>
      <c r="Q99" s="504"/>
    </row>
    <row r="100" spans="1:17">
      <c r="A100" s="527" t="s">
        <v>2555</v>
      </c>
      <c r="B100" s="528" t="s">
        <v>2673</v>
      </c>
      <c r="C100" s="530"/>
      <c r="D100" s="530"/>
      <c r="E100" s="530"/>
      <c r="F100" s="530"/>
      <c r="G100" s="530"/>
      <c r="H100" s="530"/>
      <c r="I100" s="530"/>
      <c r="J100" s="530"/>
      <c r="K100" s="531"/>
      <c r="L100" s="532"/>
      <c r="M100" s="533"/>
      <c r="N100" s="1148"/>
      <c r="O100" s="1148"/>
      <c r="P100" s="262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9"/>
      <c r="O101" s="1149"/>
      <c r="P101" s="2621"/>
      <c r="Q101" s="504"/>
    </row>
    <row r="102" spans="1:17" ht="15.75" thickTop="1">
      <c r="A102" s="534"/>
      <c r="B102" s="538" t="s">
        <v>2605</v>
      </c>
      <c r="C102" s="578" t="str">
        <f>C103&amp;"(含)"&amp;"-"&amp;D103</f>
        <v>0(含)-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1" t="str">
        <f>M103&amp;"(含)"&amp;"-"&amp;P103</f>
        <v>(含)-</v>
      </c>
      <c r="N102" s="1147"/>
      <c r="O102" s="1147"/>
      <c r="P102" s="2621"/>
      <c r="Q102" s="504"/>
    </row>
    <row r="103" spans="1:17" s="471" customFormat="1">
      <c r="A103" s="593"/>
      <c r="B103" s="594"/>
      <c r="C103" s="595">
        <v>0</v>
      </c>
      <c r="D103" s="595"/>
      <c r="E103" s="595"/>
      <c r="F103" s="595"/>
      <c r="G103" s="595"/>
      <c r="H103" s="595"/>
      <c r="I103" s="595"/>
      <c r="J103" s="596"/>
      <c r="K103" s="596"/>
      <c r="L103" s="597"/>
      <c r="M103" s="598"/>
      <c r="N103" s="1150"/>
      <c r="O103" s="1150"/>
      <c r="P103" s="2622"/>
      <c r="Q103" s="559"/>
    </row>
    <row r="104" spans="1:17" s="471" customFormat="1" ht="15.75" thickBot="1">
      <c r="A104" s="553"/>
      <c r="B104" s="543"/>
      <c r="C104" s="560"/>
      <c r="D104" s="536"/>
      <c r="E104" s="536"/>
      <c r="F104" s="536"/>
      <c r="G104" s="536"/>
      <c r="H104" s="536"/>
      <c r="I104" s="536"/>
      <c r="J104" s="536"/>
      <c r="K104" s="536"/>
      <c r="L104" s="536"/>
      <c r="M104" s="537"/>
      <c r="N104" s="1149"/>
      <c r="O104" s="1149"/>
      <c r="P104" s="2622"/>
      <c r="Q104" s="559"/>
    </row>
    <row r="105" spans="1:17" ht="15" thickTop="1">
      <c r="A105" s="599"/>
      <c r="B105" s="538" t="s">
        <v>2606</v>
      </c>
      <c r="C105" s="3005" t="s">
        <v>3852</v>
      </c>
      <c r="D105" s="554"/>
      <c r="E105" s="583"/>
      <c r="F105" s="583"/>
      <c r="G105" s="583"/>
      <c r="H105" s="583"/>
      <c r="I105" s="583"/>
      <c r="J105" s="583"/>
      <c r="K105" s="584"/>
      <c r="L105" s="585"/>
      <c r="M105" s="586"/>
      <c r="N105" s="1148"/>
      <c r="O105" s="1148"/>
      <c r="P105" s="2621"/>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49"/>
      <c r="O106" s="1149"/>
      <c r="P106" s="2621"/>
      <c r="Q106" s="504"/>
    </row>
    <row r="107" spans="1:17" ht="15" thickTop="1">
      <c r="A107" s="599"/>
      <c r="B107" s="538" t="s">
        <v>2608</v>
      </c>
      <c r="C107" s="3005" t="s">
        <v>3853</v>
      </c>
      <c r="D107" s="554"/>
      <c r="E107" s="554"/>
      <c r="F107" s="583"/>
      <c r="G107" s="583"/>
      <c r="H107" s="583"/>
      <c r="I107" s="583"/>
      <c r="J107" s="583"/>
      <c r="K107" s="584"/>
      <c r="L107" s="585"/>
      <c r="M107" s="586"/>
      <c r="N107" s="1148"/>
      <c r="O107" s="1148"/>
      <c r="P107" s="2621"/>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49"/>
      <c r="O108" s="1149"/>
      <c r="P108" s="2621"/>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1"/>
      <c r="Q109" s="504"/>
    </row>
    <row r="110" spans="1:17">
      <c r="A110" s="599"/>
      <c r="B110" s="546"/>
      <c r="C110" s="603">
        <v>0.5</v>
      </c>
      <c r="D110" s="603">
        <v>0.6</v>
      </c>
      <c r="E110" s="603">
        <v>0.7</v>
      </c>
      <c r="F110" s="603">
        <v>0.8</v>
      </c>
      <c r="G110" s="603">
        <v>0.9</v>
      </c>
      <c r="H110" s="603">
        <v>1.0001</v>
      </c>
      <c r="I110" s="622"/>
      <c r="J110" s="622"/>
      <c r="K110" s="623"/>
      <c r="L110" s="624"/>
      <c r="M110" s="625"/>
      <c r="N110" s="1148"/>
      <c r="O110" s="1148"/>
      <c r="P110" s="2621"/>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49"/>
      <c r="O111" s="1149"/>
      <c r="P111" s="2621"/>
      <c r="Q111" s="504"/>
    </row>
    <row r="112" spans="1:17" s="471" customFormat="1" ht="15" thickTop="1">
      <c r="A112" s="593"/>
      <c r="B112" s="538" t="s">
        <v>2610</v>
      </c>
      <c r="C112" s="3005" t="s">
        <v>3855</v>
      </c>
      <c r="D112" s="554"/>
      <c r="E112" s="554"/>
      <c r="F112" s="554"/>
      <c r="G112" s="554"/>
      <c r="H112" s="583"/>
      <c r="I112" s="583"/>
      <c r="J112" s="583"/>
      <c r="K112" s="584"/>
      <c r="L112" s="585"/>
      <c r="M112" s="586"/>
      <c r="N112" s="1150"/>
      <c r="O112" s="1150"/>
      <c r="P112" s="2622"/>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0"/>
      <c r="O113" s="1150"/>
      <c r="P113" s="2622"/>
      <c r="Q113" s="559"/>
    </row>
    <row r="114" spans="1:17" ht="15" thickTop="1">
      <c r="A114" s="599"/>
      <c r="B114" s="538" t="s">
        <v>2674</v>
      </c>
      <c r="C114" s="554"/>
      <c r="D114" s="554"/>
      <c r="E114" s="583"/>
      <c r="F114" s="583"/>
      <c r="G114" s="583"/>
      <c r="H114" s="583"/>
      <c r="I114" s="583"/>
      <c r="J114" s="583"/>
      <c r="K114" s="584"/>
      <c r="L114" s="585"/>
      <c r="M114" s="586"/>
      <c r="N114" s="1148"/>
      <c r="O114" s="1148"/>
      <c r="P114" s="262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2621"/>
      <c r="Q115" s="504"/>
    </row>
    <row r="116" spans="1:17" ht="15" thickTop="1">
      <c r="A116" s="599"/>
      <c r="B116" s="538" t="s">
        <v>2675</v>
      </c>
      <c r="C116" s="3005" t="s">
        <v>3857</v>
      </c>
      <c r="D116" s="554"/>
      <c r="E116" s="554"/>
      <c r="F116" s="554"/>
      <c r="G116" s="554"/>
      <c r="H116" s="583"/>
      <c r="I116" s="583"/>
      <c r="J116" s="583"/>
      <c r="K116" s="584"/>
      <c r="L116" s="585"/>
      <c r="M116" s="586"/>
      <c r="N116" s="1148"/>
      <c r="O116" s="1148"/>
      <c r="P116" s="2621"/>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49"/>
      <c r="O117" s="1149"/>
      <c r="P117" s="2621"/>
      <c r="Q117" s="504"/>
    </row>
    <row r="118" spans="1:17" ht="15" thickTop="1">
      <c r="A118" s="599"/>
      <c r="B118" s="538" t="s">
        <v>2676</v>
      </c>
      <c r="C118" s="626"/>
      <c r="D118" s="626"/>
      <c r="E118" s="626"/>
      <c r="F118" s="626"/>
      <c r="G118" s="626"/>
      <c r="H118" s="555"/>
      <c r="I118" s="555"/>
      <c r="J118" s="555"/>
      <c r="K118" s="555"/>
      <c r="L118" s="556"/>
      <c r="M118" s="557"/>
      <c r="N118" s="1148"/>
      <c r="O118" s="1148"/>
      <c r="P118" s="2621"/>
      <c r="Q118" s="504"/>
    </row>
    <row r="119" spans="1:17" ht="15.75" thickBot="1">
      <c r="A119" s="534"/>
      <c r="B119" s="543"/>
      <c r="C119" s="560"/>
      <c r="D119" s="536"/>
      <c r="E119" s="536"/>
      <c r="F119" s="536"/>
      <c r="G119" s="536"/>
      <c r="H119" s="536"/>
      <c r="I119" s="536"/>
      <c r="J119" s="536"/>
      <c r="K119" s="536"/>
      <c r="L119" s="536"/>
      <c r="M119" s="537"/>
      <c r="N119" s="1149"/>
      <c r="O119" s="1149"/>
      <c r="P119" s="2621"/>
      <c r="Q119" s="504"/>
    </row>
    <row r="120" spans="1:17" s="471" customFormat="1" ht="15" thickTop="1">
      <c r="A120" s="593"/>
      <c r="B120" s="538" t="s">
        <v>2677</v>
      </c>
      <c r="C120" s="583"/>
      <c r="D120" s="583"/>
      <c r="E120" s="583"/>
      <c r="F120" s="583"/>
      <c r="G120" s="555"/>
      <c r="H120" s="555"/>
      <c r="I120" s="555"/>
      <c r="J120" s="555"/>
      <c r="K120" s="555"/>
      <c r="L120" s="556"/>
      <c r="M120" s="557"/>
      <c r="N120" s="1150"/>
      <c r="O120" s="1150"/>
      <c r="P120" s="262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2"/>
      <c r="Q121" s="559"/>
    </row>
    <row r="122" spans="1:17" ht="15" thickTop="1">
      <c r="A122" s="599"/>
      <c r="B122" s="538" t="s">
        <v>2612</v>
      </c>
      <c r="C122" s="3005" t="s">
        <v>3859</v>
      </c>
      <c r="D122" s="3005" t="s">
        <v>3860</v>
      </c>
      <c r="E122" s="3005" t="s">
        <v>3858</v>
      </c>
      <c r="F122" s="583"/>
      <c r="G122" s="583"/>
      <c r="H122" s="583"/>
      <c r="I122" s="583"/>
      <c r="J122" s="583"/>
      <c r="K122" s="584"/>
      <c r="L122" s="585"/>
      <c r="M122" s="586"/>
      <c r="N122" s="1148"/>
      <c r="O122" s="1148"/>
      <c r="P122" s="2621"/>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49"/>
      <c r="O123" s="1149"/>
      <c r="P123" s="2621"/>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48"/>
      <c r="O124" s="1148"/>
      <c r="P124" s="2622"/>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9"/>
      <c r="O125" s="1149"/>
      <c r="P125" s="2621"/>
      <c r="Q125" s="504"/>
    </row>
    <row r="126" spans="1:17" s="471" customFormat="1" ht="15" thickTop="1">
      <c r="A126" s="593"/>
      <c r="B126" s="538">
        <f>B44</f>
        <v>0</v>
      </c>
      <c r="C126" s="554"/>
      <c r="D126" s="554"/>
      <c r="E126" s="554"/>
      <c r="F126" s="554"/>
      <c r="G126" s="554"/>
      <c r="H126" s="555"/>
      <c r="I126" s="555"/>
      <c r="J126" s="555"/>
      <c r="K126" s="555"/>
      <c r="L126" s="556"/>
      <c r="M126" s="557"/>
      <c r="N126" s="1150"/>
      <c r="O126" s="1150"/>
      <c r="P126" s="2622"/>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2"/>
      <c r="Q127" s="559"/>
    </row>
    <row r="128" spans="1:17" ht="15" thickTop="1">
      <c r="A128" s="599"/>
      <c r="B128" s="538" t="str">
        <f>B45</f>
        <v>建筑品质</v>
      </c>
      <c r="C128" s="3005" t="s">
        <v>4087</v>
      </c>
      <c r="D128" s="3005" t="s">
        <v>4088</v>
      </c>
      <c r="E128" s="554"/>
      <c r="F128" s="554"/>
      <c r="G128" s="583"/>
      <c r="H128" s="583"/>
      <c r="I128" s="583"/>
      <c r="J128" s="583"/>
      <c r="K128" s="584"/>
      <c r="L128" s="585"/>
      <c r="M128" s="586"/>
      <c r="N128" s="1148"/>
      <c r="O128" s="1148"/>
      <c r="P128" s="2621"/>
      <c r="Q128" s="504"/>
    </row>
    <row r="129" spans="1:17" ht="15.75" thickBot="1">
      <c r="A129" s="534"/>
      <c r="B129" s="543"/>
      <c r="C129" s="560">
        <v>100</v>
      </c>
      <c r="D129" s="536">
        <v>95</v>
      </c>
      <c r="E129" s="536"/>
      <c r="F129" s="536"/>
      <c r="G129" s="536"/>
      <c r="H129" s="536"/>
      <c r="I129" s="536"/>
      <c r="J129" s="536"/>
      <c r="K129" s="536"/>
      <c r="L129" s="536"/>
      <c r="M129" s="537"/>
      <c r="N129" s="1149"/>
      <c r="O129" s="1149"/>
      <c r="P129" s="2621"/>
      <c r="Q129" s="504"/>
    </row>
    <row r="130" spans="1:17" ht="15" thickTop="1">
      <c r="A130" s="599"/>
      <c r="B130" s="546">
        <f>B46</f>
        <v>0</v>
      </c>
      <c r="C130" s="554"/>
      <c r="D130" s="554"/>
      <c r="E130" s="554"/>
      <c r="F130" s="554"/>
      <c r="G130" s="587"/>
      <c r="H130" s="587"/>
      <c r="I130" s="587"/>
      <c r="J130" s="587"/>
      <c r="K130" s="523"/>
      <c r="L130" s="524"/>
      <c r="M130" s="590"/>
      <c r="N130" s="1148"/>
      <c r="O130" s="1148"/>
      <c r="P130" s="2621"/>
      <c r="Q130" s="504"/>
    </row>
    <row r="131" spans="1:17" ht="15.75" thickBot="1">
      <c r="A131" s="2627"/>
      <c r="B131" s="569"/>
      <c r="C131" s="570"/>
      <c r="D131" s="570"/>
      <c r="E131" s="570"/>
      <c r="F131" s="570"/>
      <c r="G131" s="591"/>
      <c r="H131" s="591"/>
      <c r="I131" s="591"/>
      <c r="J131" s="591"/>
      <c r="K131" s="591"/>
      <c r="L131" s="591"/>
      <c r="M131" s="592"/>
      <c r="N131" s="1149"/>
      <c r="O131" s="1149"/>
      <c r="P131" s="262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K67" sqref="K67"/>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80"/>
      <c r="C1" s="1832" t="s">
        <v>1373</v>
      </c>
      <c r="D1" s="1815" t="s">
        <v>3073</v>
      </c>
      <c r="E1" s="1816" t="s">
        <v>1382</v>
      </c>
      <c r="F1" s="1279">
        <f ca="1">J53</f>
        <v>29.77</v>
      </c>
      <c r="G1" s="1831">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1510</v>
      </c>
      <c r="B2" s="1839">
        <f ca="1">C40+J29+L46</f>
        <v>324049</v>
      </c>
      <c r="C2" s="1840" t="s">
        <v>1511</v>
      </c>
      <c r="D2" s="1840"/>
      <c r="E2" s="1841"/>
      <c r="F2" s="1842"/>
      <c r="G2" s="1843"/>
      <c r="H2" s="1835"/>
      <c r="I2" s="1835"/>
      <c r="J2" s="1835"/>
      <c r="K2" s="1836"/>
      <c r="L2" s="1835"/>
      <c r="M2" s="1835"/>
    </row>
    <row r="3" spans="1:37" ht="18" customHeight="1" thickBot="1">
      <c r="A3" s="1844" t="s">
        <v>1512</v>
      </c>
      <c r="B3" s="1845">
        <f ca="1">IF(ISERROR(B2*10000/F43),0,ROUND(B2*10000/F43,0))</f>
        <v>41870</v>
      </c>
      <c r="C3" s="1840" t="s">
        <v>1513</v>
      </c>
      <c r="D3" s="1840"/>
      <c r="E3" s="1841"/>
      <c r="F3" s="1842"/>
      <c r="G3" s="1843"/>
      <c r="H3" s="742" t="s">
        <v>1583</v>
      </c>
      <c r="I3" s="1835"/>
      <c r="J3" s="1835"/>
      <c r="K3" s="1836"/>
      <c r="L3" s="1835"/>
      <c r="M3" s="1835"/>
    </row>
    <row r="4" spans="1:37" ht="18" customHeight="1">
      <c r="A4" s="340" t="s">
        <v>1391</v>
      </c>
      <c r="B4" s="341" t="s">
        <v>1392</v>
      </c>
      <c r="C4" s="341" t="s">
        <v>1393</v>
      </c>
      <c r="D4" s="341" t="s">
        <v>1394</v>
      </c>
      <c r="E4" s="342" t="s">
        <v>1395</v>
      </c>
      <c r="F4" s="343"/>
      <c r="G4" s="1846"/>
      <c r="H4" s="340" t="s">
        <v>1391</v>
      </c>
      <c r="I4" s="341" t="s">
        <v>1392</v>
      </c>
      <c r="J4" s="341" t="s">
        <v>1393</v>
      </c>
      <c r="K4" s="341" t="s">
        <v>1394</v>
      </c>
      <c r="L4" s="342" t="s">
        <v>1395</v>
      </c>
      <c r="M4" s="343"/>
    </row>
    <row r="5" spans="1:37" ht="18" customHeight="1">
      <c r="A5" s="344">
        <v>1</v>
      </c>
      <c r="B5" s="345" t="s">
        <v>1396</v>
      </c>
      <c r="C5" s="1288">
        <f ca="1">C6+C10+C12</f>
        <v>21201</v>
      </c>
      <c r="D5" s="1817" t="s">
        <v>1397</v>
      </c>
      <c r="E5" s="1289"/>
      <c r="F5" s="1290"/>
      <c r="G5" s="1846"/>
      <c r="H5" s="344">
        <v>1</v>
      </c>
      <c r="I5" s="345" t="s">
        <v>1396</v>
      </c>
      <c r="J5" s="1288">
        <f ca="1">J6+J10+J12</f>
        <v>0</v>
      </c>
      <c r="K5" s="1817" t="s">
        <v>1397</v>
      </c>
      <c r="L5" s="1289"/>
      <c r="M5" s="1290"/>
    </row>
    <row r="6" spans="1:37" ht="18" customHeight="1">
      <c r="A6" s="1287" t="s">
        <v>1032</v>
      </c>
      <c r="B6" s="3332" t="s">
        <v>1398</v>
      </c>
      <c r="C6" s="1292">
        <f ca="1">ROUND(F6*F8*F7*(1-F9)/10000,0)</f>
        <v>21201</v>
      </c>
      <c r="D6" s="164" t="s">
        <v>3024</v>
      </c>
      <c r="E6" s="347" t="s">
        <v>1400</v>
      </c>
      <c r="F6" s="348">
        <f ca="1">INDIRECT("'数据-取费表'!u"&amp;$G$1)</f>
        <v>7.9</v>
      </c>
      <c r="G6" s="1846"/>
      <c r="H6" s="1287" t="s">
        <v>1032</v>
      </c>
      <c r="I6" s="3332" t="s">
        <v>1398</v>
      </c>
      <c r="J6" s="346">
        <f ca="1">ROUND(M6*M8*M7*(1-M9)/10000,0)</f>
        <v>0</v>
      </c>
      <c r="K6" s="164" t="s">
        <v>3023</v>
      </c>
      <c r="L6" s="347" t="s">
        <v>1400</v>
      </c>
      <c r="M6" s="348">
        <f ca="1">INDIRECT("'数据-取费表'!z"&amp;$G$1)</f>
        <v>0</v>
      </c>
    </row>
    <row r="7" spans="1:37" ht="18" customHeight="1">
      <c r="A7" s="1291"/>
      <c r="B7" s="3333"/>
      <c r="C7" s="1293"/>
      <c r="D7" s="352"/>
      <c r="E7" s="2954" t="s">
        <v>1401</v>
      </c>
      <c r="F7" s="348">
        <f ca="1">IF(INDIRECT("'数据-取费表'!ah"&amp;$G$1)="",INDIRECT("'数据-取费表'!k"&amp;$G$1),INDIRECT("'数据-取费表'!ah"&amp;$G$1))</f>
        <v>77393.62</v>
      </c>
      <c r="G7" s="1846"/>
      <c r="H7" s="349"/>
      <c r="I7" s="3333"/>
      <c r="J7" s="351"/>
      <c r="K7" s="352"/>
      <c r="L7" s="347" t="s">
        <v>1401</v>
      </c>
      <c r="M7" s="348">
        <f ca="1">F7</f>
        <v>77393.62</v>
      </c>
    </row>
    <row r="8" spans="1:37" ht="18" customHeight="1">
      <c r="A8" s="349"/>
      <c r="B8" s="3333"/>
      <c r="C8" s="351"/>
      <c r="D8" s="352"/>
      <c r="E8" s="347" t="s">
        <v>1402</v>
      </c>
      <c r="F8" s="348">
        <f ca="1">INDIRECT("'数据-取费表'!ai"&amp;$G$1)</f>
        <v>365</v>
      </c>
      <c r="G8" s="1846"/>
      <c r="H8" s="349"/>
      <c r="I8" s="3333"/>
      <c r="J8" s="351"/>
      <c r="K8" s="352"/>
      <c r="L8" s="347" t="s">
        <v>1402</v>
      </c>
      <c r="M8" s="348">
        <f ca="1">INDIRECT("'数据-取费表'!ai"&amp;$G$1)</f>
        <v>365</v>
      </c>
    </row>
    <row r="9" spans="1:37" ht="18" customHeight="1">
      <c r="A9" s="349"/>
      <c r="B9" s="3334"/>
      <c r="C9" s="351"/>
      <c r="D9" s="352"/>
      <c r="E9" s="347" t="s">
        <v>1403</v>
      </c>
      <c r="F9" s="357">
        <f ca="1">INDIRECT("'数据-取费表'!w"&amp;$G$1)</f>
        <v>0.05</v>
      </c>
      <c r="G9" s="1846"/>
      <c r="H9" s="349"/>
      <c r="I9" s="3334"/>
      <c r="J9" s="351"/>
      <c r="K9" s="352"/>
      <c r="L9" s="358" t="s">
        <v>1403</v>
      </c>
      <c r="M9" s="359">
        <f ca="1">INDIRECT("'数据-取费表'!ab"&amp;$G$1)</f>
        <v>0</v>
      </c>
    </row>
    <row r="10" spans="1:37" ht="18" customHeight="1">
      <c r="A10" s="1287" t="s">
        <v>1036</v>
      </c>
      <c r="B10" s="1818" t="s">
        <v>1404</v>
      </c>
      <c r="C10" s="361">
        <f ca="1">ROUND(IF(F10="押一",C6/12*F11,IF(F10="押二",C6/12*2*F11,IF(F10="押三",C6/12*3*F11,C11*F11))),0)</f>
        <v>0</v>
      </c>
      <c r="D10" s="1819" t="s">
        <v>3032</v>
      </c>
      <c r="E10" s="358" t="s">
        <v>1405</v>
      </c>
      <c r="F10" s="1362"/>
      <c r="G10" s="1846"/>
      <c r="H10" s="1287" t="s">
        <v>1036</v>
      </c>
      <c r="I10" s="1818" t="s">
        <v>1404</v>
      </c>
      <c r="J10" s="346">
        <f ca="1">ROUND(IF(M10="押一",J6/12*M11,IF(M10="押二",J6/12*2*M11,IF(M10="押三",J6/12*3*M11,J11*M11))),0)</f>
        <v>0</v>
      </c>
      <c r="K10" s="1819" t="s">
        <v>3032</v>
      </c>
      <c r="L10" s="358" t="s">
        <v>1405</v>
      </c>
      <c r="M10" s="1362" t="s">
        <v>1406</v>
      </c>
    </row>
    <row r="11" spans="1:37" ht="18" customHeight="1">
      <c r="A11" s="353"/>
      <c r="B11" s="1820" t="s">
        <v>1383</v>
      </c>
      <c r="C11" s="1174"/>
      <c r="D11" s="1821"/>
      <c r="E11" s="358" t="s">
        <v>1407</v>
      </c>
      <c r="F11" s="359">
        <f ca="1">'数据-取费表'!B39</f>
        <v>1.4999999999999999E-2</v>
      </c>
      <c r="G11" s="1846"/>
      <c r="H11" s="1295"/>
      <c r="I11" s="1820" t="s">
        <v>1383</v>
      </c>
      <c r="J11" s="1174"/>
      <c r="K11" s="746"/>
      <c r="L11" s="358" t="s">
        <v>1407</v>
      </c>
      <c r="M11" s="1052">
        <f ca="1">'数据-取费表'!B39</f>
        <v>1.4999999999999999E-2</v>
      </c>
    </row>
    <row r="12" spans="1:37" ht="18" customHeight="1" thickBot="1">
      <c r="A12" s="1329" t="s">
        <v>1072</v>
      </c>
      <c r="B12" s="1822" t="s">
        <v>1408</v>
      </c>
      <c r="C12" s="1330"/>
      <c r="D12" s="1331"/>
      <c r="E12" s="1336"/>
      <c r="F12" s="1332"/>
      <c r="G12" s="1846"/>
      <c r="H12" s="1329" t="s">
        <v>1072</v>
      </c>
      <c r="I12" s="1822" t="s">
        <v>1408</v>
      </c>
      <c r="J12" s="1330"/>
      <c r="K12" s="1344"/>
      <c r="L12" s="1336"/>
      <c r="M12" s="1345"/>
    </row>
    <row r="13" spans="1:37" ht="18" customHeight="1" thickTop="1">
      <c r="A13" s="1325">
        <v>2</v>
      </c>
      <c r="B13" s="1326" t="s">
        <v>1409</v>
      </c>
      <c r="C13" s="355">
        <f ca="1">ROUND(C29*F13,0)</f>
        <v>45994</v>
      </c>
      <c r="D13" s="1327" t="s">
        <v>1410</v>
      </c>
      <c r="E13" s="1327" t="s">
        <v>1411</v>
      </c>
      <c r="F13" s="1328">
        <f ca="1">INDIRECT("'数据-取费表'!y"&amp;$G$1)</f>
        <v>1</v>
      </c>
      <c r="G13" s="1846"/>
      <c r="H13" s="1325">
        <v>2</v>
      </c>
      <c r="I13" s="1326" t="s">
        <v>1409</v>
      </c>
      <c r="J13" s="1286">
        <f ca="1">ROUND(J14*J15,0)</f>
        <v>0</v>
      </c>
      <c r="K13" s="1333" t="s">
        <v>1410</v>
      </c>
      <c r="L13" s="1847"/>
      <c r="M13" s="1848"/>
    </row>
    <row r="14" spans="1:37" ht="18" customHeight="1">
      <c r="A14" s="1197" t="s">
        <v>1031</v>
      </c>
      <c r="B14" s="347" t="s">
        <v>1412</v>
      </c>
      <c r="C14" s="363">
        <f ca="1">INDIRECT("'数据-取费表'!m"&amp;$G$1)+INDIRECT("'数据-取费表'!t"&amp;$G$1)</f>
        <v>27983</v>
      </c>
      <c r="D14" s="2947" t="s">
        <v>1413</v>
      </c>
      <c r="E14" s="2945"/>
      <c r="F14" s="364"/>
      <c r="G14" s="1846"/>
      <c r="H14" s="1197" t="s">
        <v>1032</v>
      </c>
      <c r="I14" s="347" t="s">
        <v>1414</v>
      </c>
      <c r="J14" s="24">
        <f ca="1">C29</f>
        <v>45994</v>
      </c>
      <c r="K14" s="2953"/>
      <c r="L14" s="975"/>
      <c r="M14" s="976"/>
    </row>
    <row r="15" spans="1:37" s="1853" customFormat="1" ht="18" customHeight="1" thickBot="1">
      <c r="A15" s="1197" t="s">
        <v>1033</v>
      </c>
      <c r="B15" s="347" t="s">
        <v>1415</v>
      </c>
      <c r="C15" s="24">
        <f ca="1">ROUND(C14*F15,0)</f>
        <v>1399</v>
      </c>
      <c r="D15" s="365" t="s">
        <v>1416</v>
      </c>
      <c r="E15" s="365" t="s">
        <v>1417</v>
      </c>
      <c r="F15" s="366">
        <f>'数据-取费表'!B33</f>
        <v>0.05</v>
      </c>
      <c r="G15" s="1849"/>
      <c r="H15" s="1335" t="s">
        <v>1036</v>
      </c>
      <c r="I15" s="1336" t="s">
        <v>1411</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1384</v>
      </c>
      <c r="B16" s="347" t="s">
        <v>1418</v>
      </c>
      <c r="C16" s="24">
        <f ca="1">ROUND(INDIRECT("'数据-取费表'!m"&amp;$G$1)*F16,0)</f>
        <v>0</v>
      </c>
      <c r="D16" s="347" t="s">
        <v>1416</v>
      </c>
      <c r="E16" s="347" t="s">
        <v>1417</v>
      </c>
      <c r="F16" s="367">
        <f ca="1">IF(INDIRECT("'数据-取费表'!c"&amp;$G$1)="住宅",'数据-取费表'!B34,0)</f>
        <v>0</v>
      </c>
      <c r="G16" s="1846"/>
      <c r="H16" s="1325" t="s">
        <v>1027</v>
      </c>
      <c r="I16" s="1326" t="s">
        <v>1419</v>
      </c>
      <c r="J16" s="355">
        <f ca="1">ROUND(J17+J22+J23+J24,0)</f>
        <v>857</v>
      </c>
      <c r="K16" s="1333" t="s">
        <v>1420</v>
      </c>
      <c r="L16" s="2948"/>
      <c r="M16" s="1290"/>
    </row>
    <row r="17" spans="1:37" s="1853" customFormat="1" ht="18" customHeight="1">
      <c r="A17" s="1197" t="s">
        <v>1385</v>
      </c>
      <c r="B17" s="347" t="s">
        <v>1421</v>
      </c>
      <c r="C17" s="24">
        <f ca="1">ROUND(F17*(F43+INDIRECT("'数据-取费表'!S"&amp;$G$1))/10000,0)</f>
        <v>1599</v>
      </c>
      <c r="D17" s="347" t="s">
        <v>1422</v>
      </c>
      <c r="E17" s="347" t="s">
        <v>1423</v>
      </c>
      <c r="F17" s="26">
        <f>'数据-取费表'!B35</f>
        <v>200</v>
      </c>
      <c r="G17" s="1849"/>
      <c r="H17" s="1197" t="s">
        <v>1032</v>
      </c>
      <c r="I17" s="347" t="s">
        <v>1424</v>
      </c>
      <c r="J17" s="24">
        <f ca="1">ROUND(IF(项目基本情况!B11="自然人",J6*M17/(1+'数据-取费表'!C42),J18+J19+J20),1)</f>
        <v>397</v>
      </c>
      <c r="K17" s="2947" t="s">
        <v>1425</v>
      </c>
      <c r="L17" s="2946"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1386</v>
      </c>
      <c r="B18" s="347" t="s">
        <v>1427</v>
      </c>
      <c r="C18" s="24">
        <f ca="1">ROUND(C14*F18,0)</f>
        <v>420</v>
      </c>
      <c r="D18" s="347" t="s">
        <v>1416</v>
      </c>
      <c r="E18" s="347" t="s">
        <v>1417</v>
      </c>
      <c r="F18" s="367">
        <f>'数据-取费表'!B36</f>
        <v>1.4999999999999999E-2</v>
      </c>
      <c r="G18" s="1849"/>
      <c r="H18" s="1197" t="s">
        <v>1031</v>
      </c>
      <c r="I18" s="347" t="s">
        <v>1428</v>
      </c>
      <c r="J18" s="24">
        <f ca="1">ROUND(J6*M18/(1+'数据-取费表'!C42),2)</f>
        <v>0</v>
      </c>
      <c r="K18" s="2946"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1032</v>
      </c>
      <c r="B19" s="347" t="s">
        <v>1430</v>
      </c>
      <c r="C19" s="24">
        <f ca="1">SUM(C14:C18)</f>
        <v>31401</v>
      </c>
      <c r="D19" s="140" t="s">
        <v>1431</v>
      </c>
      <c r="E19" s="2952"/>
      <c r="F19" s="26"/>
      <c r="G19" s="1846"/>
      <c r="H19" s="1197" t="s">
        <v>1033</v>
      </c>
      <c r="I19" s="347" t="s">
        <v>1432</v>
      </c>
      <c r="J19" s="24">
        <f ca="1">IF(K19="按租金收入计税",ROUND(J6*M19/(1+'数据-取费表'!C42),2),ROUND(C29*M19*0.7,2))</f>
        <v>386.35</v>
      </c>
      <c r="K19" s="1823" t="s">
        <v>1433</v>
      </c>
      <c r="L19" s="347" t="s">
        <v>1417</v>
      </c>
      <c r="M19" s="367">
        <f>IF(K19="按租金收入计税",'数据-取费表'!B51,'数据-取费表'!B50)</f>
        <v>1.2E-2</v>
      </c>
    </row>
    <row r="20" spans="1:37" s="1853" customFormat="1" ht="18" customHeight="1">
      <c r="A20" s="1197" t="s">
        <v>1036</v>
      </c>
      <c r="B20" s="347" t="s">
        <v>1434</v>
      </c>
      <c r="C20" s="24">
        <f ca="1">ROUND(C19*F20,0)</f>
        <v>785</v>
      </c>
      <c r="D20" s="369" t="s">
        <v>1435</v>
      </c>
      <c r="E20" s="347" t="s">
        <v>1417</v>
      </c>
      <c r="F20" s="367">
        <f>'数据-取费表'!B37</f>
        <v>2.5000000000000001E-2</v>
      </c>
      <c r="G20" s="1849"/>
      <c r="H20" s="1197" t="s">
        <v>1384</v>
      </c>
      <c r="I20" s="164" t="s">
        <v>1436</v>
      </c>
      <c r="J20" s="25">
        <f ca="1">ROUND(M20*M21/10000,2)</f>
        <v>10.63</v>
      </c>
      <c r="K20" s="370" t="s">
        <v>1437</v>
      </c>
      <c r="L20" s="347" t="s">
        <v>1438</v>
      </c>
      <c r="M20" s="371">
        <f>'数据-取费表'!B52</f>
        <v>20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1072</v>
      </c>
      <c r="B21" s="347" t="s">
        <v>1439</v>
      </c>
      <c r="C21" s="24" t="s">
        <v>18</v>
      </c>
      <c r="D21" s="369" t="s">
        <v>1440</v>
      </c>
      <c r="E21" s="347" t="s">
        <v>1441</v>
      </c>
      <c r="F21" s="367">
        <f>'数据-取费表'!B38</f>
        <v>0.03</v>
      </c>
      <c r="G21" s="1849"/>
      <c r="H21" s="372"/>
      <c r="I21" s="356"/>
      <c r="J21" s="29"/>
      <c r="K21" s="373"/>
      <c r="L21" s="347" t="s">
        <v>1442</v>
      </c>
      <c r="M21" s="348">
        <f ca="1">INDIRECT("'数据-取费表'!r"&amp;$G$1)</f>
        <v>5314.52</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1387</v>
      </c>
      <c r="B22" s="347" t="s">
        <v>1443</v>
      </c>
      <c r="C22" s="24"/>
      <c r="D22" s="140" t="str">
        <f>IF(F23&lt;=1,"单利计息。","复利计息。")&amp;"建造成本、管理费用、销售费用产生的利息。"</f>
        <v>复利计息。建造成本、管理费用、销售费用产生的利息。</v>
      </c>
      <c r="E22" s="2952"/>
      <c r="F22" s="26"/>
      <c r="G22" s="1846"/>
      <c r="H22" s="1197" t="s">
        <v>1036</v>
      </c>
      <c r="I22" s="347" t="s">
        <v>1444</v>
      </c>
      <c r="J22" s="24">
        <f ca="1">ROUND(J14*M22,1)</f>
        <v>459.9</v>
      </c>
      <c r="K22" s="2946" t="s">
        <v>1445</v>
      </c>
      <c r="L22" s="347" t="s">
        <v>1417</v>
      </c>
      <c r="M22" s="374">
        <f ca="1">INDIRECT("'数据-取费表'!Ak"&amp;$G$1)</f>
        <v>0.01</v>
      </c>
    </row>
    <row r="23" spans="1:37" s="1853" customFormat="1" ht="18" customHeight="1">
      <c r="A23" s="1197" t="s">
        <v>1031</v>
      </c>
      <c r="B23" s="347" t="s">
        <v>1446</v>
      </c>
      <c r="C23" s="24">
        <f ca="1">IF('数据-取费表'!B22&lt;=1,ROUND(C19*F24*F23/2,0)+ROUND(C20*F24*F23/2,0),ROUND(C19*(POWER((1+F24),F23/2)-1),0)+ROUND(C20*(POWER((1+F24),F23/2)-1),0))</f>
        <v>3130</v>
      </c>
      <c r="D23" s="375" t="str">
        <f>IF(F23&lt;=1,"(建造成本+管理费用)×利率×(建设周期÷2)","(建造成本+管理费用)×((1+利率)^(建设周期÷2)-1)")</f>
        <v>(建造成本+管理费用)×((1+利率)^(建设周期÷2)-1)</v>
      </c>
      <c r="E23" s="347" t="s">
        <v>1447</v>
      </c>
      <c r="F23" s="371">
        <f>'数据-取费表'!B20</f>
        <v>4</v>
      </c>
      <c r="G23" s="1849"/>
      <c r="H23" s="1197" t="s">
        <v>1072</v>
      </c>
      <c r="I23" s="347" t="s">
        <v>1448</v>
      </c>
      <c r="J23" s="24">
        <f ca="1">ROUND(J13*M23,1)</f>
        <v>0</v>
      </c>
      <c r="K23" s="2946" t="s">
        <v>1449</v>
      </c>
      <c r="L23" s="347" t="s">
        <v>1417</v>
      </c>
      <c r="M23" s="376">
        <f ca="1">INDIRECT("'数据-取费表'!Al"&amp;$G$1)</f>
        <v>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1033</v>
      </c>
      <c r="B24" s="347" t="s">
        <v>1452</v>
      </c>
      <c r="C24" s="24">
        <f ca="1">ROUND(IF('数据-取费表'!B22&lt;=1,F21*F24*F23/2,F21*(POWER((1+F24),F23/2)-1)),4)</f>
        <v>2.8999999999999998E-3</v>
      </c>
      <c r="D24" s="375" t="str">
        <f>IF(F23&lt;=1,"销售费用×利率×(建设周期÷2)","销售费用×((1+利率)^(建设周期÷2)-1)")</f>
        <v>销售费用×((1+利率)^(建设周期÷2)-1)</v>
      </c>
      <c r="E24" s="347" t="s">
        <v>1453</v>
      </c>
      <c r="F24" s="377">
        <f ca="1">'数据-取费表'!B40</f>
        <v>4.7500000000000001E-2</v>
      </c>
      <c r="G24" s="1849"/>
      <c r="H24" s="1335" t="s">
        <v>1387</v>
      </c>
      <c r="I24" s="1336" t="s">
        <v>1434</v>
      </c>
      <c r="J24" s="1337">
        <f ca="1">ROUND(J5*M24,1)</f>
        <v>0</v>
      </c>
      <c r="K24" s="1338" t="s">
        <v>1454</v>
      </c>
      <c r="L24" s="1336" t="s">
        <v>1417</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1455</v>
      </c>
      <c r="B25" s="347" t="s">
        <v>1456</v>
      </c>
      <c r="C25" s="24"/>
      <c r="D25" s="140" t="s">
        <v>1457</v>
      </c>
      <c r="E25" s="2952"/>
      <c r="F25" s="26"/>
      <c r="G25" s="1846"/>
      <c r="H25" s="1325" t="s">
        <v>1028</v>
      </c>
      <c r="I25" s="1340" t="s">
        <v>1458</v>
      </c>
      <c r="J25" s="355">
        <f ca="1">J5-J16</f>
        <v>-857</v>
      </c>
      <c r="K25" s="1341" t="s">
        <v>1459</v>
      </c>
      <c r="L25" s="1342"/>
      <c r="M25" s="1343"/>
    </row>
    <row r="26" spans="1:37">
      <c r="A26" s="1197" t="s">
        <v>1031</v>
      </c>
      <c r="B26" s="347" t="s">
        <v>1460</v>
      </c>
      <c r="C26" s="24">
        <f ca="1">ROUND((C19+C20)*F26,0)</f>
        <v>6437</v>
      </c>
      <c r="D26" s="369" t="s">
        <v>1461</v>
      </c>
      <c r="E26" s="358" t="s">
        <v>1462</v>
      </c>
      <c r="F26" s="357">
        <f ca="1">INDIRECT("'数据-取费表'!q"&amp;$G$1)</f>
        <v>0.2</v>
      </c>
      <c r="G26" s="1846"/>
      <c r="H26" s="344" t="s">
        <v>1029</v>
      </c>
      <c r="I26" s="345" t="s">
        <v>1463</v>
      </c>
      <c r="J26" s="346">
        <f ca="1">IF(J5&lt;&gt;0,ROUND(J25*(1-((1+M28)/(1+M26))^M27)/(M26-M28),0),0)</f>
        <v>0</v>
      </c>
      <c r="K26" s="370" t="s">
        <v>1464</v>
      </c>
      <c r="L26" s="347" t="s">
        <v>1465</v>
      </c>
      <c r="M26" s="357">
        <f ca="1">INDIRECT("'数据-取费表'!I"&amp;$G$1)</f>
        <v>0.06</v>
      </c>
    </row>
    <row r="27" spans="1:37" ht="18" customHeight="1">
      <c r="A27" s="1197" t="s">
        <v>1033</v>
      </c>
      <c r="B27" s="347" t="s">
        <v>1466</v>
      </c>
      <c r="C27" s="24">
        <f ca="1">ROUND(F21*F26,4)</f>
        <v>6.0000000000000001E-3</v>
      </c>
      <c r="D27" s="369" t="s">
        <v>1467</v>
      </c>
      <c r="E27" s="365"/>
      <c r="F27" s="366"/>
      <c r="G27" s="1846"/>
      <c r="H27" s="349"/>
      <c r="I27" s="350"/>
      <c r="J27" s="351"/>
      <c r="K27" s="378" t="s">
        <v>1468</v>
      </c>
      <c r="L27" s="347" t="s">
        <v>1469</v>
      </c>
      <c r="M27" s="379">
        <f ca="1">INDIRECT("'数据-取费表'!ag"&amp;$G$1)</f>
        <v>0</v>
      </c>
    </row>
    <row r="28" spans="1:37" s="1853" customFormat="1" ht="18" customHeight="1">
      <c r="A28" s="1197"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1473</v>
      </c>
      <c r="C29" s="1337">
        <f ca="1">ROUND((C19+C20+C23+C26)/(1-F21-C24-C27-C28),0)</f>
        <v>45994</v>
      </c>
      <c r="D29" s="1338"/>
      <c r="E29" s="1336"/>
      <c r="F29" s="1339"/>
      <c r="G29" s="1849"/>
      <c r="H29" s="380" t="s">
        <v>1030</v>
      </c>
      <c r="I29" s="381" t="s">
        <v>1474</v>
      </c>
      <c r="J29" s="382">
        <f ca="1">ROUND(J26/(1+F40)^F41,0)</f>
        <v>0</v>
      </c>
      <c r="K29" s="383" t="s">
        <v>1475</v>
      </c>
      <c r="L29" s="384"/>
      <c r="M29" s="385">
        <f ca="1">INDIRECT("'数据-取费表'!k"&amp;$G$1)</f>
        <v>77393.62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1419</v>
      </c>
      <c r="C30" s="355">
        <f ca="1">ROUND(C31+C36+C37+C38,0)</f>
        <v>4282</v>
      </c>
      <c r="D30" s="1333" t="s">
        <v>1420</v>
      </c>
      <c r="E30" s="2948"/>
      <c r="F30" s="1290"/>
      <c r="G30" s="1846"/>
      <c r="H30" s="743"/>
      <c r="I30" s="744"/>
      <c r="J30" s="745"/>
      <c r="K30" s="746"/>
      <c r="L30" s="747"/>
      <c r="M30" s="748"/>
    </row>
    <row r="31" spans="1:37" ht="18" customHeight="1">
      <c r="A31" s="1197" t="s">
        <v>1032</v>
      </c>
      <c r="B31" s="347" t="s">
        <v>1424</v>
      </c>
      <c r="C31" s="24">
        <f ca="1">ROUND(IF(项目基本情况!B11="自然人",C6*F31/(1+'数据-取费表'!C42),C32+C33+C34),1)</f>
        <v>3564.3</v>
      </c>
      <c r="D31" s="2947" t="s">
        <v>1425</v>
      </c>
      <c r="E31" s="2946" t="s">
        <v>1476</v>
      </c>
      <c r="F31" s="368" t="str">
        <f ca="1">IF(项目基本情况!B11="企业","",IF(INDIRECT("'数据-取费表'!c"&amp;$G$1)="住宅",5%,IF(F6*F7*F8/12/(1+'数据-取费表'!C42)&gt;20000,12%,7%)))</f>
        <v/>
      </c>
      <c r="G31" s="1846"/>
      <c r="H31" s="743"/>
      <c r="I31" s="744"/>
      <c r="J31" s="745"/>
      <c r="K31" s="746"/>
      <c r="L31" s="747"/>
      <c r="M31" s="748"/>
    </row>
    <row r="32" spans="1:37" ht="18" customHeight="1">
      <c r="A32" s="1197" t="s">
        <v>1031</v>
      </c>
      <c r="B32" s="347" t="s">
        <v>1428</v>
      </c>
      <c r="C32" s="24">
        <f ca="1">IF(项目基本情况!B11="自然人","——",ROUND(C6*F32/(1+'数据-取费表'!C42),2))</f>
        <v>1130.72</v>
      </c>
      <c r="D32" s="2946" t="s">
        <v>1429</v>
      </c>
      <c r="E32" s="347" t="s">
        <v>1417</v>
      </c>
      <c r="F32" s="377">
        <f>'数据-取费表'!B41</f>
        <v>5.6000000000000001E-2</v>
      </c>
      <c r="G32" s="1846"/>
      <c r="H32" s="743"/>
      <c r="I32" s="744"/>
      <c r="J32" s="745"/>
      <c r="K32" s="746"/>
      <c r="L32" s="747"/>
      <c r="M32" s="748"/>
    </row>
    <row r="33" spans="1:18" ht="18" customHeight="1">
      <c r="A33" s="1197" t="s">
        <v>1033</v>
      </c>
      <c r="B33" s="347" t="s">
        <v>1432</v>
      </c>
      <c r="C33" s="24">
        <f ca="1">IF(项目基本情况!B11="自然人","——",IF(D33="按租金收入计税",ROUND(C6*F33/(1+'数据-取费表'!C42),2),IF(D33="按房产原值计税",ROUND(C29*F33*0.7,2),INDIRECT("'数据-取费表'!Aj"&amp;$G$1))))</f>
        <v>2422.9699999999998</v>
      </c>
      <c r="D33" s="1823" t="s">
        <v>3074</v>
      </c>
      <c r="E33" s="347" t="s">
        <v>1417</v>
      </c>
      <c r="F33" s="367">
        <f>IF(D33="按票据","——",IF(D33="按租金收入计税",'数据-取费表'!B51,'数据-取费表'!B50))</f>
        <v>0.12</v>
      </c>
      <c r="G33" s="1846"/>
      <c r="H33" s="1854"/>
      <c r="I33" s="1855"/>
      <c r="J33" s="1856"/>
      <c r="K33" s="1857"/>
      <c r="L33" s="1854"/>
      <c r="M33" s="1854"/>
    </row>
    <row r="34" spans="1:18" ht="18" customHeight="1">
      <c r="A34" s="1287" t="s">
        <v>1384</v>
      </c>
      <c r="B34" s="164" t="s">
        <v>1436</v>
      </c>
      <c r="C34" s="25">
        <f ca="1">IF(项目基本情况!B11="自然人","——",ROUND(F34*F35/10000,2))</f>
        <v>10.63</v>
      </c>
      <c r="D34" s="370" t="s">
        <v>1437</v>
      </c>
      <c r="E34" s="347" t="s">
        <v>1438</v>
      </c>
      <c r="F34" s="371">
        <f>'数据-取费表'!B52</f>
        <v>20</v>
      </c>
      <c r="G34" s="1846"/>
      <c r="H34" s="743"/>
      <c r="I34" s="1855"/>
      <c r="J34" s="1856"/>
      <c r="K34" s="1858"/>
      <c r="L34" s="1859"/>
      <c r="M34" s="1859"/>
    </row>
    <row r="35" spans="1:18" ht="18" customHeight="1">
      <c r="A35" s="1349"/>
      <c r="B35" s="1347"/>
      <c r="C35" s="29"/>
      <c r="D35" s="373"/>
      <c r="E35" s="347" t="s">
        <v>1442</v>
      </c>
      <c r="F35" s="348">
        <f ca="1">INDIRECT("'数据-取费表'!r"&amp;$G$1)</f>
        <v>5314.52</v>
      </c>
      <c r="G35" s="1846"/>
      <c r="H35" s="743"/>
      <c r="I35" s="1855"/>
      <c r="J35" s="1856"/>
      <c r="K35" s="1857"/>
      <c r="L35" s="1854"/>
      <c r="M35" s="1854"/>
    </row>
    <row r="36" spans="1:18" ht="18" customHeight="1">
      <c r="A36" s="1348" t="s">
        <v>1036</v>
      </c>
      <c r="B36" s="347" t="s">
        <v>1444</v>
      </c>
      <c r="C36" s="24">
        <f ca="1">ROUND(C29*F36,1)</f>
        <v>459.9</v>
      </c>
      <c r="D36" s="2946" t="s">
        <v>1477</v>
      </c>
      <c r="E36" s="347" t="s">
        <v>1417</v>
      </c>
      <c r="F36" s="374">
        <f ca="1">INDIRECT("'数据-取费表'!Ak"&amp;$G$1)</f>
        <v>0.01</v>
      </c>
      <c r="G36" s="1846"/>
      <c r="H36" s="1854"/>
      <c r="I36" s="1855"/>
      <c r="J36" s="1856"/>
      <c r="K36" s="749"/>
      <c r="L36" s="1854"/>
      <c r="M36" s="1854"/>
    </row>
    <row r="37" spans="1:18" ht="18" customHeight="1">
      <c r="A37" s="1197" t="s">
        <v>1072</v>
      </c>
      <c r="B37" s="347" t="s">
        <v>1448</v>
      </c>
      <c r="C37" s="24">
        <f ca="1">ROUND(C13*F37,1)</f>
        <v>46</v>
      </c>
      <c r="D37" s="2946" t="s">
        <v>1449</v>
      </c>
      <c r="E37" s="347" t="s">
        <v>1417</v>
      </c>
      <c r="F37" s="376">
        <f ca="1">INDIRECT("'数据-取费表'!Al"&amp;$G$1)</f>
        <v>1E-3</v>
      </c>
      <c r="G37" s="1846"/>
      <c r="H37" s="1854"/>
      <c r="I37" s="1855"/>
      <c r="J37" s="1856"/>
      <c r="K37" s="749"/>
      <c r="L37" s="1854"/>
      <c r="M37" s="1854"/>
    </row>
    <row r="38" spans="1:18" ht="18" customHeight="1" thickBot="1">
      <c r="A38" s="1335" t="s">
        <v>1387</v>
      </c>
      <c r="B38" s="1336" t="s">
        <v>1434</v>
      </c>
      <c r="C38" s="1337">
        <f ca="1">ROUND(C5*F38,1)</f>
        <v>212</v>
      </c>
      <c r="D38" s="1338" t="s">
        <v>1454</v>
      </c>
      <c r="E38" s="1336" t="s">
        <v>1417</v>
      </c>
      <c r="F38" s="1332">
        <f ca="1">INDIRECT("'数据-取费表'!Am"&amp;$G$1)</f>
        <v>0.01</v>
      </c>
      <c r="G38" s="1846"/>
      <c r="H38" s="1854"/>
      <c r="I38" s="1855"/>
      <c r="J38" s="1856"/>
      <c r="K38" s="1860"/>
      <c r="L38" s="1854"/>
      <c r="M38" s="1854"/>
    </row>
    <row r="39" spans="1:18" ht="24.6" customHeight="1" thickTop="1">
      <c r="A39" s="1325" t="s">
        <v>1028</v>
      </c>
      <c r="B39" s="1340" t="s">
        <v>1458</v>
      </c>
      <c r="C39" s="355">
        <f ca="1">C5-C30</f>
        <v>16919</v>
      </c>
      <c r="D39" s="1341" t="s">
        <v>1459</v>
      </c>
      <c r="E39" s="1342"/>
      <c r="F39" s="1343"/>
      <c r="G39" s="1846"/>
      <c r="H39" s="1854"/>
      <c r="I39" s="1855"/>
      <c r="J39" s="1856"/>
      <c r="K39" s="1860"/>
      <c r="L39" s="1854"/>
      <c r="M39" s="1854"/>
    </row>
    <row r="40" spans="1:18" ht="18" customHeight="1">
      <c r="A40" s="344" t="s">
        <v>1029</v>
      </c>
      <c r="B40" s="345" t="s">
        <v>1480</v>
      </c>
      <c r="C40" s="346">
        <f ca="1">ROUND(C39*(1-((1+F42)/(1+F40))^F41)/(F40-F42),0)</f>
        <v>324049</v>
      </c>
      <c r="D40" s="370" t="s">
        <v>1464</v>
      </c>
      <c r="E40" s="347" t="s">
        <v>1465</v>
      </c>
      <c r="F40" s="357">
        <f ca="1">INDIRECT("'数据-取费表'!I"&amp;$G$1)</f>
        <v>0.06</v>
      </c>
      <c r="G40" s="1846"/>
      <c r="H40" s="1834"/>
      <c r="I40" s="1855"/>
      <c r="J40" s="1856"/>
      <c r="K40" s="1860"/>
      <c r="L40" s="1834"/>
      <c r="M40" s="1834"/>
    </row>
    <row r="41" spans="1:18" ht="18" customHeight="1">
      <c r="A41" s="349"/>
      <c r="B41" s="350"/>
      <c r="C41" s="351"/>
      <c r="D41" s="378" t="s">
        <v>1481</v>
      </c>
      <c r="E41" s="347" t="s">
        <v>1469</v>
      </c>
      <c r="F41" s="379">
        <f ca="1">IF(INDIRECT("'数据-取费表'!af"&amp;$G$1)=0,INDIRECT("'数据-取费表'!ae"&amp;$G$1),INDIRECT("'数据-取费表'!af"&amp;$G$1))</f>
        <v>29.77</v>
      </c>
      <c r="G41" s="1846"/>
      <c r="H41" s="730"/>
      <c r="I41" s="1855"/>
      <c r="J41" s="1856"/>
      <c r="K41" s="749"/>
      <c r="L41" s="730"/>
      <c r="M41" s="730"/>
    </row>
    <row r="42" spans="1:18" ht="18" customHeight="1">
      <c r="A42" s="353"/>
      <c r="B42" s="354"/>
      <c r="C42" s="355"/>
      <c r="D42" s="373"/>
      <c r="E42" s="347" t="s">
        <v>1472</v>
      </c>
      <c r="F42" s="357">
        <f ca="1">INDIRECT("'数据-取费表'!v"&amp;$G$1)</f>
        <v>0.03</v>
      </c>
      <c r="G42" s="1846"/>
      <c r="H42" s="730"/>
      <c r="I42" s="1855"/>
      <c r="J42" s="1856"/>
      <c r="K42" s="749"/>
      <c r="L42" s="730"/>
      <c r="M42" s="730"/>
    </row>
    <row r="43" spans="1:18" ht="18" customHeight="1" thickBot="1">
      <c r="A43" s="380" t="s">
        <v>1030</v>
      </c>
      <c r="B43" s="381" t="s">
        <v>1482</v>
      </c>
      <c r="C43" s="382">
        <f ca="1">ROUND(C40*10000/F43,0)</f>
        <v>41870</v>
      </c>
      <c r="D43" s="383" t="s">
        <v>1483</v>
      </c>
      <c r="E43" s="384" t="s">
        <v>1484</v>
      </c>
      <c r="F43" s="385">
        <f ca="1">INDIRECT("'数据-取费表'!k"&amp;$G$1)</f>
        <v>77393.62</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1514</v>
      </c>
      <c r="P45" s="1834"/>
      <c r="Q45" s="1834"/>
      <c r="R45" s="1834"/>
    </row>
    <row r="46" spans="1:18" s="1837" customFormat="1" ht="13.5" thickBot="1">
      <c r="A46" s="1865" t="s">
        <v>1515</v>
      </c>
      <c r="C46" s="1866">
        <f ca="1">C68-C40</f>
        <v>-384167</v>
      </c>
      <c r="D46" s="1867" t="str">
        <f>C2</f>
        <v>万元</v>
      </c>
      <c r="E46" s="1861"/>
      <c r="F46" s="1861"/>
      <c r="I46" s="1868" t="s">
        <v>1516</v>
      </c>
      <c r="J46" s="1869"/>
      <c r="K46" s="1870"/>
      <c r="L46" s="1871" t="str">
        <f ca="1">IF(M47="住宅",0,IF(L48&gt;J51,L60,J60))</f>
        <v>0</v>
      </c>
      <c r="O46" s="1872" t="s">
        <v>1517</v>
      </c>
      <c r="P46" s="1873" t="s">
        <v>1518</v>
      </c>
      <c r="Q46" s="1874" t="s">
        <v>1519</v>
      </c>
      <c r="R46" s="1874" t="s">
        <v>1520</v>
      </c>
    </row>
    <row r="47" spans="1:18" s="1837" customFormat="1" ht="13.5" thickBot="1">
      <c r="A47" s="1161" t="s">
        <v>1391</v>
      </c>
      <c r="B47" s="1193" t="s">
        <v>1392</v>
      </c>
      <c r="C47" s="1363" t="s">
        <v>1393</v>
      </c>
      <c r="D47" s="1193" t="s">
        <v>1394</v>
      </c>
      <c r="E47" s="1275" t="s">
        <v>1395</v>
      </c>
      <c r="F47" s="1276"/>
      <c r="G47" s="790"/>
      <c r="I47" s="1875" t="s">
        <v>1521</v>
      </c>
      <c r="J47" s="1876" t="s">
        <v>3075</v>
      </c>
      <c r="K47" s="1877" t="s">
        <v>1522</v>
      </c>
      <c r="L47" s="1878">
        <f ca="1">INDIRECT("'数据-取费表'!d"&amp;$G$1)</f>
        <v>40</v>
      </c>
      <c r="M47" s="1833" t="str">
        <f>IF(ISNUMBER(FIND("住宅",C1)),"住宅","非住宅")</f>
        <v>非住宅</v>
      </c>
      <c r="O47" s="1879" t="s">
        <v>1037</v>
      </c>
      <c r="P47" s="1880" t="s">
        <v>1523</v>
      </c>
      <c r="Q47" s="1881">
        <f ca="1">C40+J29</f>
        <v>324049</v>
      </c>
      <c r="R47" s="1881" t="s">
        <v>1524</v>
      </c>
    </row>
    <row r="48" spans="1:18" s="1837" customFormat="1" ht="28.5" thickBot="1">
      <c r="A48" s="1356" t="s">
        <v>1132</v>
      </c>
      <c r="B48" s="345" t="s">
        <v>1396</v>
      </c>
      <c r="C48" s="2951">
        <f ca="1">C49+C53+C55</f>
        <v>0</v>
      </c>
      <c r="D48" s="1358"/>
      <c r="E48" s="1359"/>
      <c r="F48" s="1177"/>
      <c r="G48" s="790"/>
      <c r="H48" s="791"/>
      <c r="I48" s="1882" t="s">
        <v>1525</v>
      </c>
      <c r="J48" s="1883" t="s">
        <v>3076</v>
      </c>
      <c r="K48" s="1884" t="s">
        <v>1526</v>
      </c>
      <c r="L48" s="1885">
        <f ca="1">INDIRECT("'数据-取费表'!f"&amp;$G$1)</f>
        <v>31.77</v>
      </c>
      <c r="O48" s="1879" t="s">
        <v>1038</v>
      </c>
      <c r="P48" s="1880" t="s">
        <v>1527</v>
      </c>
      <c r="Q48" s="1881" t="str">
        <f ca="1">J60</f>
        <v>0</v>
      </c>
      <c r="R48" s="1881" t="s">
        <v>1528</v>
      </c>
    </row>
    <row r="49" spans="1:18" s="1837" customFormat="1" ht="13.5" thickBot="1">
      <c r="A49" s="1190" t="s">
        <v>1133</v>
      </c>
      <c r="B49" s="1824" t="s">
        <v>1485</v>
      </c>
      <c r="C49" s="1360">
        <f ca="1">ROUND(F49*F51*F50*(1-F52)/10000,0)</f>
        <v>0</v>
      </c>
      <c r="D49" s="1272" t="s">
        <v>3023</v>
      </c>
      <c r="E49" s="1825" t="s">
        <v>1486</v>
      </c>
      <c r="F49" s="1277"/>
      <c r="G49" s="1886"/>
      <c r="H49" s="791"/>
      <c r="I49" s="1882" t="s">
        <v>1529</v>
      </c>
      <c r="J49" s="1887"/>
      <c r="K49" s="1884" t="s">
        <v>1530</v>
      </c>
      <c r="L49" s="1888"/>
      <c r="O49" s="1889" t="s">
        <v>1039</v>
      </c>
      <c r="P49" s="1880" t="s">
        <v>1531</v>
      </c>
      <c r="Q49" s="1881">
        <f ca="1">C29</f>
        <v>45994</v>
      </c>
      <c r="R49" s="1881" t="s">
        <v>1524</v>
      </c>
    </row>
    <row r="50" spans="1:18" s="1837" customFormat="1" ht="13.5" thickBot="1">
      <c r="A50" s="1191"/>
      <c r="B50" s="1194"/>
      <c r="C50" s="1364"/>
      <c r="D50" s="1168"/>
      <c r="E50" s="1273" t="s">
        <v>1401</v>
      </c>
      <c r="F50" s="1274">
        <f ca="1">F7</f>
        <v>77393.62</v>
      </c>
      <c r="H50" s="791"/>
      <c r="I50" s="1882" t="s">
        <v>1532</v>
      </c>
      <c r="J50" s="1890">
        <f>SUMPRODUCT((I63:I65=J47)*(J62:L62=J48)*(J63:L65))</f>
        <v>60</v>
      </c>
      <c r="K50" s="1884" t="s">
        <v>1533</v>
      </c>
      <c r="L50" s="1888"/>
      <c r="M50" s="1891"/>
      <c r="O50" s="1889" t="s">
        <v>1040</v>
      </c>
      <c r="P50" s="1880" t="s">
        <v>1534</v>
      </c>
      <c r="Q50" s="1892" t="e">
        <f ca="1">J58</f>
        <v>#VALUE!</v>
      </c>
      <c r="R50" s="1881"/>
    </row>
    <row r="51" spans="1:18" s="1837" customFormat="1" ht="13.5" thickBot="1">
      <c r="A51" s="1192"/>
      <c r="B51" s="1194"/>
      <c r="C51" s="1195"/>
      <c r="D51" s="1168"/>
      <c r="E51" s="1196" t="s">
        <v>1402</v>
      </c>
      <c r="F51" s="348">
        <f ca="1">F8</f>
        <v>365</v>
      </c>
      <c r="I51" s="1893" t="s">
        <v>1535</v>
      </c>
      <c r="J51" s="1894">
        <f>IF(J49="",J50,J49+J50-YEAR('数据-取费表'!B2))</f>
        <v>60</v>
      </c>
      <c r="K51" s="1895" t="s">
        <v>1536</v>
      </c>
      <c r="L51" s="1896">
        <f ca="1">ROUND(-PV(INDIRECT("'数据-取费表'!h"&amp;$G$1),L48,(C39-C13*C76),0),0)</f>
        <v>266564</v>
      </c>
      <c r="M51" s="1897"/>
      <c r="O51" s="1889" t="s">
        <v>1041</v>
      </c>
      <c r="P51" s="1880" t="s">
        <v>1537</v>
      </c>
      <c r="Q51" s="1892">
        <f>J52</f>
        <v>0</v>
      </c>
      <c r="R51" s="1881"/>
    </row>
    <row r="52" spans="1:18" s="1837" customFormat="1" ht="13.5" thickBot="1">
      <c r="A52" s="1192"/>
      <c r="B52" s="1194"/>
      <c r="C52" s="1195"/>
      <c r="D52" s="1168"/>
      <c r="E52" s="1196" t="s">
        <v>1403</v>
      </c>
      <c r="F52" s="1271"/>
      <c r="I52" s="1898" t="s">
        <v>1538</v>
      </c>
      <c r="J52" s="1899"/>
      <c r="K52" s="1898" t="s">
        <v>1539</v>
      </c>
      <c r="L52" s="1899"/>
      <c r="O52" s="1889" t="s">
        <v>1042</v>
      </c>
      <c r="P52" s="1880" t="s">
        <v>1540</v>
      </c>
      <c r="Q52" s="1881">
        <f ca="1">J53</f>
        <v>29.77</v>
      </c>
      <c r="R52" s="1881" t="s">
        <v>1541</v>
      </c>
    </row>
    <row r="53" spans="1:18" s="1837" customFormat="1" ht="24.75" thickBot="1">
      <c r="A53" s="1401" t="s">
        <v>1134</v>
      </c>
      <c r="B53" s="1826" t="s">
        <v>1404</v>
      </c>
      <c r="C53" s="361">
        <f ca="1">ROUND(IF(F53="押一",C49/12*F11,IF(F53="押二",C49/12*2*F11,IF(F53="押三",C49/12*3*F11,C54*F11))),0)</f>
        <v>0</v>
      </c>
      <c r="D53" s="1819" t="s">
        <v>3032</v>
      </c>
      <c r="E53" s="358" t="s">
        <v>1405</v>
      </c>
      <c r="F53" s="1362"/>
      <c r="I53" s="1900" t="s">
        <v>1542</v>
      </c>
      <c r="J53" s="2941">
        <f ca="1">IF(M47="住宅",IF(D1="——",MAX(J51,L48),MAX(J51,L48-'数据-取费表'!B24)),IF(D1="——",MIN(J51,L48),MIN(J51,L48-'数据-取费表'!B24)))</f>
        <v>29.77</v>
      </c>
      <c r="K53" s="3335" t="s">
        <v>1543</v>
      </c>
      <c r="L53" s="3336"/>
      <c r="O53" s="1879" t="s">
        <v>1043</v>
      </c>
      <c r="P53" s="1880" t="s">
        <v>1544</v>
      </c>
      <c r="Q53" s="1881">
        <f ca="1">Q47+Q48</f>
        <v>324049</v>
      </c>
      <c r="R53" s="1881" t="s">
        <v>1044</v>
      </c>
    </row>
    <row r="54" spans="1:18" s="1837" customFormat="1" ht="13.5" thickBot="1">
      <c r="A54" s="1402"/>
      <c r="B54" s="1820" t="s">
        <v>1383</v>
      </c>
      <c r="C54" s="1174"/>
      <c r="D54" s="1819"/>
      <c r="E54" s="2950"/>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1545</v>
      </c>
      <c r="P54" s="1834"/>
      <c r="Q54" s="1834"/>
      <c r="R54" s="1834"/>
    </row>
    <row r="55" spans="1:18" s="1837" customFormat="1" ht="13.5" thickBot="1">
      <c r="A55" s="1329" t="s">
        <v>1072</v>
      </c>
      <c r="B55" s="1822" t="s">
        <v>1408</v>
      </c>
      <c r="C55" s="1330"/>
      <c r="D55" s="1819"/>
      <c r="E55" s="2950"/>
      <c r="F55" s="1901"/>
      <c r="I55" s="1904" t="s">
        <v>1546</v>
      </c>
      <c r="J55" s="1905" t="e">
        <f ca="1">ROUND(IF(J47="钢混",J57/J50,1-(1-2%)*(J50-J57)/J50),3)</f>
        <v>#VALUE!</v>
      </c>
      <c r="K55" s="1906" t="s">
        <v>1547</v>
      </c>
      <c r="L55" s="1907" t="s">
        <v>1548</v>
      </c>
      <c r="O55" s="1872" t="s">
        <v>1517</v>
      </c>
      <c r="P55" s="1873" t="s">
        <v>1518</v>
      </c>
      <c r="Q55" s="1874" t="s">
        <v>1519</v>
      </c>
      <c r="R55" s="1874" t="s">
        <v>1520</v>
      </c>
    </row>
    <row r="56" spans="1:18" s="1837" customFormat="1" ht="25.5" thickTop="1" thickBot="1">
      <c r="A56" s="1172">
        <v>2</v>
      </c>
      <c r="B56" s="1173" t="s">
        <v>1409</v>
      </c>
      <c r="C56" s="276">
        <f ca="1">C13</f>
        <v>45994</v>
      </c>
      <c r="D56" s="1908"/>
      <c r="E56" s="1909"/>
      <c r="F56" s="1901"/>
      <c r="I56" s="1910" t="s">
        <v>1549</v>
      </c>
      <c r="J56" s="1911" t="s">
        <v>3070</v>
      </c>
      <c r="K56" s="1882" t="s">
        <v>1550</v>
      </c>
      <c r="L56" s="1885" t="str">
        <f ca="1">IF(L48&lt;J51,"——",L48-J53)</f>
        <v>——</v>
      </c>
      <c r="O56" s="1879" t="s">
        <v>1037</v>
      </c>
      <c r="P56" s="1880" t="s">
        <v>1523</v>
      </c>
      <c r="Q56" s="1881">
        <f ca="1">C40+J29</f>
        <v>324049</v>
      </c>
      <c r="R56" s="1881" t="s">
        <v>1524</v>
      </c>
    </row>
    <row r="57" spans="1:18" s="1837" customFormat="1" ht="24.75" thickBot="1">
      <c r="A57" s="1912"/>
      <c r="B57" s="1165" t="s">
        <v>1473</v>
      </c>
      <c r="C57" s="282">
        <f ca="1">C29</f>
        <v>45994</v>
      </c>
      <c r="D57" s="1913"/>
      <c r="E57" s="1914"/>
      <c r="F57" s="1915"/>
      <c r="I57" s="1916" t="s">
        <v>1551</v>
      </c>
      <c r="J57" s="1917" t="str">
        <f ca="1">IF(OR(M47="住宅",J51&lt;L48,J56="是"),"——",J51-L48)</f>
        <v>——</v>
      </c>
      <c r="K57" s="1882" t="s">
        <v>1552</v>
      </c>
      <c r="L57" s="1885" t="str">
        <f ca="1">IF(L48&lt;J51,"——",IF(L55="比较法",L49,IF(L55="基准地价",L50,L51)))</f>
        <v>——</v>
      </c>
      <c r="O57" s="1879" t="s">
        <v>1038</v>
      </c>
      <c r="P57" s="1880" t="s">
        <v>1553</v>
      </c>
      <c r="Q57" s="1881">
        <f ca="1">L60</f>
        <v>0</v>
      </c>
      <c r="R57" s="1881" t="s">
        <v>1554</v>
      </c>
    </row>
    <row r="58" spans="1:18" s="1837" customFormat="1" ht="24.75" thickBot="1">
      <c r="A58" s="360" t="s">
        <v>1027</v>
      </c>
      <c r="B58" s="1173" t="s">
        <v>1419</v>
      </c>
      <c r="C58" s="361">
        <f ca="1">ROUND(C59+C64+C65+C66,0)</f>
        <v>4380</v>
      </c>
      <c r="D58" s="1175" t="s">
        <v>1420</v>
      </c>
      <c r="E58" s="1176"/>
      <c r="F58" s="1177"/>
      <c r="I58" s="1916" t="s">
        <v>1555</v>
      </c>
      <c r="J58" s="1918" t="e">
        <f ca="1">IF(J55&lt;0.4,0.4,J55)</f>
        <v>#VALUE!</v>
      </c>
      <c r="K58" s="1895" t="s">
        <v>1556</v>
      </c>
      <c r="L58" s="1885" t="e">
        <f ca="1">ROUND(POWER(1+L52,L47-L48)*(POWER(1+L52,L48)-1)/(POWER(1+L52,L47)-1),4)</f>
        <v>#DIV/0!</v>
      </c>
      <c r="O58" s="1889" t="s">
        <v>1039</v>
      </c>
      <c r="P58" s="1880" t="s">
        <v>1557</v>
      </c>
      <c r="Q58" s="1881">
        <f>IF(L55="比较法",L49,IF(L55="基准地价",L50,0))</f>
        <v>0</v>
      </c>
      <c r="R58" s="1881" t="s">
        <v>1524</v>
      </c>
    </row>
    <row r="59" spans="1:18" s="1837" customFormat="1" ht="24.75" thickBot="1">
      <c r="A59" s="1197" t="s">
        <v>1032</v>
      </c>
      <c r="B59" s="1165" t="s">
        <v>1424</v>
      </c>
      <c r="C59" s="24">
        <f ca="1">ROUND(IF(项目基本情况!B11="自然人",C48*F59,C60+C61+C62),1)</f>
        <v>3874.1</v>
      </c>
      <c r="D59" s="1178" t="s">
        <v>1425</v>
      </c>
      <c r="E59" s="1179" t="s">
        <v>1426</v>
      </c>
      <c r="F59" s="368" t="str">
        <f ca="1">IF(项目基本情况!B11="企业","",IF(INDIRECT("'数据-取费表'!c"&amp;$G$1)="住宅",5%,IF(F49*F50*F51/12/(1+'数据-取费表'!C42)&gt;20000,12%,7%)))</f>
        <v/>
      </c>
      <c r="I59" s="1916" t="s">
        <v>1558</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1559</v>
      </c>
      <c r="Q59" s="1892">
        <f>L52</f>
        <v>0</v>
      </c>
      <c r="R59" s="1881"/>
    </row>
    <row r="60" spans="1:18" s="1837" customFormat="1" ht="16.5" thickBot="1">
      <c r="A60" s="1197" t="s">
        <v>1031</v>
      </c>
      <c r="B60" s="1165" t="s">
        <v>1428</v>
      </c>
      <c r="C60" s="24">
        <f ca="1">IF(项目基本情况!B11="自然人","——",ROUND(C48*F60/(1+'数据-取费表'!C42),2))</f>
        <v>0</v>
      </c>
      <c r="D60" s="1179" t="s">
        <v>1429</v>
      </c>
      <c r="E60" s="1165" t="s">
        <v>1417</v>
      </c>
      <c r="F60" s="377">
        <f t="shared" ref="F60:F66" si="0">F32</f>
        <v>5.6000000000000001E-2</v>
      </c>
      <c r="I60" s="1919" t="s">
        <v>1560</v>
      </c>
      <c r="J60" s="1920" t="str">
        <f ca="1">IF(OR(M47="住宅",J51&lt;L48,J56="是"),"0",ROUND(J59/(1+J52)^J53,0))</f>
        <v>0</v>
      </c>
      <c r="K60" s="1921" t="s">
        <v>1561</v>
      </c>
      <c r="L60" s="1920">
        <f ca="1">IF(OR(M47="住宅",L48&lt;J51),0,ROUND(L57*(L58/L59-1),0))</f>
        <v>0</v>
      </c>
      <c r="O60" s="1889" t="s">
        <v>1041</v>
      </c>
      <c r="P60" s="1880" t="s">
        <v>1562</v>
      </c>
      <c r="Q60" s="1881" t="e">
        <f ca="1">L58</f>
        <v>#DIV/0!</v>
      </c>
      <c r="R60" s="1881" t="s">
        <v>1563</v>
      </c>
    </row>
    <row r="61" spans="1:18" s="1837" customFormat="1" ht="13.5" thickBot="1">
      <c r="A61" s="1197" t="s">
        <v>1487</v>
      </c>
      <c r="B61" s="1165" t="s">
        <v>1432</v>
      </c>
      <c r="C61" s="24">
        <f ca="1">IF(项目基本情况!B11="自然人","——",IF(D61="按租金收入计税",ROUND(C48*F61,2),IF(D61="按房产原值计税",ROUND(C57*F61*0.7,2),INDIRECT("'数据-取费表'!Aj"&amp;$G$1))))</f>
        <v>3863.5</v>
      </c>
      <c r="D61" s="1823" t="s">
        <v>1433</v>
      </c>
      <c r="E61" s="1165" t="s">
        <v>1417</v>
      </c>
      <c r="F61" s="367">
        <f t="shared" si="0"/>
        <v>0.12</v>
      </c>
      <c r="I61" s="1922"/>
      <c r="J61" s="1922"/>
      <c r="K61" s="1922"/>
      <c r="L61" s="1922"/>
      <c r="O61" s="1889" t="s">
        <v>1042</v>
      </c>
      <c r="P61" s="1880" t="str">
        <f>K59</f>
        <v>续建工期及建筑物耐用年限下的土地年期修正系数Kn</v>
      </c>
      <c r="Q61" s="1881" t="e">
        <f ca="1">L59</f>
        <v>#DIV/0!</v>
      </c>
      <c r="R61" s="1881" t="s">
        <v>1564</v>
      </c>
    </row>
    <row r="62" spans="1:18" s="1837" customFormat="1" ht="13.5" thickBot="1">
      <c r="A62" s="1197" t="s">
        <v>1490</v>
      </c>
      <c r="B62" s="1164" t="s">
        <v>1436</v>
      </c>
      <c r="C62" s="25">
        <f ca="1">IF(项目基本情况!B11="自然人","——",ROUND(F62*F63/10000,2))</f>
        <v>10.63</v>
      </c>
      <c r="D62" s="1180" t="s">
        <v>1437</v>
      </c>
      <c r="E62" s="1165" t="s">
        <v>1438</v>
      </c>
      <c r="F62" s="371">
        <f t="shared" si="0"/>
        <v>20</v>
      </c>
      <c r="I62" s="1923" t="s">
        <v>1565</v>
      </c>
      <c r="J62" s="1924" t="s">
        <v>1566</v>
      </c>
      <c r="K62" s="1924" t="s">
        <v>1567</v>
      </c>
      <c r="L62" s="1924" t="s">
        <v>1568</v>
      </c>
      <c r="M62" s="1925" t="s">
        <v>1569</v>
      </c>
      <c r="O62" s="1879" t="s">
        <v>1043</v>
      </c>
      <c r="P62" s="1880" t="s">
        <v>1544</v>
      </c>
      <c r="Q62" s="1881">
        <f ca="1">Q56+Q57</f>
        <v>324049</v>
      </c>
      <c r="R62" s="1881" t="s">
        <v>1044</v>
      </c>
    </row>
    <row r="63" spans="1:18" s="1837" customFormat="1" ht="13.5" thickBot="1">
      <c r="A63" s="372"/>
      <c r="B63" s="1171"/>
      <c r="C63" s="29"/>
      <c r="D63" s="1181"/>
      <c r="E63" s="1165" t="s">
        <v>1442</v>
      </c>
      <c r="F63" s="348">
        <f t="shared" ca="1" si="0"/>
        <v>5314.52</v>
      </c>
      <c r="I63" s="1923" t="s">
        <v>1571</v>
      </c>
      <c r="J63" s="1924">
        <v>70</v>
      </c>
      <c r="K63" s="1924">
        <v>50</v>
      </c>
      <c r="L63" s="1924">
        <v>80</v>
      </c>
      <c r="M63" s="1926">
        <v>0.02</v>
      </c>
      <c r="O63" s="1864" t="s">
        <v>1572</v>
      </c>
      <c r="P63" s="1834"/>
      <c r="Q63" s="1834"/>
      <c r="R63" s="1834"/>
    </row>
    <row r="64" spans="1:18" s="1837" customFormat="1" ht="13.5" thickBot="1">
      <c r="A64" s="1197" t="s">
        <v>1036</v>
      </c>
      <c r="B64" s="1165" t="s">
        <v>1444</v>
      </c>
      <c r="C64" s="24">
        <f ca="1">ROUND(C57*F64,1)</f>
        <v>459.9</v>
      </c>
      <c r="D64" s="1179" t="s">
        <v>1477</v>
      </c>
      <c r="E64" s="1165" t="s">
        <v>1417</v>
      </c>
      <c r="F64" s="374">
        <f t="shared" ca="1" si="0"/>
        <v>0.01</v>
      </c>
      <c r="I64" s="1923" t="s">
        <v>1573</v>
      </c>
      <c r="J64" s="1924">
        <v>50</v>
      </c>
      <c r="K64" s="1924">
        <v>35</v>
      </c>
      <c r="L64" s="1924">
        <v>60</v>
      </c>
      <c r="M64" s="1925">
        <v>0</v>
      </c>
      <c r="O64" s="1872" t="s">
        <v>1517</v>
      </c>
      <c r="P64" s="1873" t="s">
        <v>1518</v>
      </c>
      <c r="Q64" s="1874" t="s">
        <v>1519</v>
      </c>
      <c r="R64" s="1874" t="s">
        <v>1520</v>
      </c>
    </row>
    <row r="65" spans="1:18" s="1837" customFormat="1" ht="13.5" thickBot="1">
      <c r="A65" s="1197" t="s">
        <v>1498</v>
      </c>
      <c r="B65" s="1165" t="s">
        <v>1448</v>
      </c>
      <c r="C65" s="24">
        <f ca="1">ROUND(C56*F65,1)</f>
        <v>46</v>
      </c>
      <c r="D65" s="1179" t="s">
        <v>1449</v>
      </c>
      <c r="E65" s="1165" t="s">
        <v>1417</v>
      </c>
      <c r="F65" s="376">
        <f t="shared" ca="1" si="0"/>
        <v>1E-3</v>
      </c>
      <c r="I65" s="1923" t="s">
        <v>1574</v>
      </c>
      <c r="J65" s="1924">
        <v>40</v>
      </c>
      <c r="K65" s="1924">
        <v>30</v>
      </c>
      <c r="L65" s="1924">
        <v>50</v>
      </c>
      <c r="M65" s="1926">
        <v>0.02</v>
      </c>
      <c r="O65" s="1879" t="s">
        <v>1037</v>
      </c>
      <c r="P65" s="1880" t="s">
        <v>1523</v>
      </c>
      <c r="Q65" s="1881">
        <f ca="1">C40+J29</f>
        <v>324049</v>
      </c>
      <c r="R65" s="1881" t="s">
        <v>1524</v>
      </c>
    </row>
    <row r="66" spans="1:18" s="1837" customFormat="1" ht="16.5" thickBot="1">
      <c r="A66" s="1197" t="s">
        <v>1499</v>
      </c>
      <c r="B66" s="1165" t="s">
        <v>1434</v>
      </c>
      <c r="C66" s="24">
        <f ca="1">ROUND(C48*F66,1)</f>
        <v>0</v>
      </c>
      <c r="D66" s="1179" t="s">
        <v>1454</v>
      </c>
      <c r="E66" s="1165" t="s">
        <v>1417</v>
      </c>
      <c r="F66" s="357">
        <f t="shared" ca="1" si="0"/>
        <v>0.01</v>
      </c>
      <c r="O66" s="1879" t="s">
        <v>1038</v>
      </c>
      <c r="P66" s="1880" t="s">
        <v>1553</v>
      </c>
      <c r="Q66" s="1881">
        <f ca="1">L60</f>
        <v>0</v>
      </c>
      <c r="R66" s="1881" t="s">
        <v>1576</v>
      </c>
    </row>
    <row r="67" spans="1:18" s="1837" customFormat="1" ht="16.5" thickBot="1">
      <c r="A67" s="1172" t="s">
        <v>1028</v>
      </c>
      <c r="B67" s="1182" t="s">
        <v>1458</v>
      </c>
      <c r="C67" s="361">
        <f ca="1">C48-C58</f>
        <v>-4380</v>
      </c>
      <c r="D67" s="1178" t="s">
        <v>1459</v>
      </c>
      <c r="E67" s="1183"/>
      <c r="F67" s="1184"/>
      <c r="O67" s="1889" t="s">
        <v>1039</v>
      </c>
      <c r="P67" s="1880" t="s">
        <v>1557</v>
      </c>
      <c r="Q67" s="1927">
        <f ca="1">L51</f>
        <v>266564</v>
      </c>
      <c r="R67" s="1881" t="s">
        <v>1577</v>
      </c>
    </row>
    <row r="68" spans="1:18" s="1837" customFormat="1" ht="16.5" thickBot="1">
      <c r="A68" s="1162" t="s">
        <v>1029</v>
      </c>
      <c r="B68" s="1163" t="s">
        <v>1480</v>
      </c>
      <c r="C68" s="346">
        <f ca="1">ROUND(C67*(1-((1+F70)/(1+F68))^F69)/(F68-F70),0)</f>
        <v>-60118</v>
      </c>
      <c r="D68" s="1180" t="s">
        <v>1464</v>
      </c>
      <c r="E68" s="1165" t="s">
        <v>1465</v>
      </c>
      <c r="F68" s="357">
        <f ca="1">F40</f>
        <v>0.06</v>
      </c>
      <c r="O68" s="1889" t="s">
        <v>1040</v>
      </c>
      <c r="P68" s="1928" t="s">
        <v>1578</v>
      </c>
      <c r="Q68" s="1881">
        <f ca="1">ROUND(Q69-Q70*Q71,0)</f>
        <v>16919</v>
      </c>
      <c r="R68" s="1881" t="s">
        <v>1048</v>
      </c>
    </row>
    <row r="69" spans="1:18" s="1837" customFormat="1" ht="13.5" thickBot="1">
      <c r="A69" s="1166"/>
      <c r="B69" s="1167"/>
      <c r="C69" s="351"/>
      <c r="D69" s="1185" t="s">
        <v>1468</v>
      </c>
      <c r="E69" s="1165" t="s">
        <v>1469</v>
      </c>
      <c r="F69" s="379">
        <f ca="1">F41</f>
        <v>29.77</v>
      </c>
      <c r="O69" s="1889" t="s">
        <v>1045</v>
      </c>
      <c r="P69" s="1928" t="s">
        <v>1579</v>
      </c>
      <c r="Q69" s="1881">
        <f ca="1">C39</f>
        <v>16919</v>
      </c>
      <c r="R69" s="1881" t="s">
        <v>1524</v>
      </c>
    </row>
    <row r="70" spans="1:18" s="1837" customFormat="1" ht="13.5" thickBot="1">
      <c r="A70" s="1169"/>
      <c r="B70" s="1170"/>
      <c r="C70" s="355"/>
      <c r="D70" s="1181"/>
      <c r="E70" s="1165" t="s">
        <v>1472</v>
      </c>
      <c r="F70" s="1271"/>
      <c r="O70" s="1889" t="s">
        <v>1046</v>
      </c>
      <c r="P70" s="1928" t="s">
        <v>1580</v>
      </c>
      <c r="Q70" s="1881">
        <f ca="1">C13</f>
        <v>45994</v>
      </c>
      <c r="R70" s="1881" t="s">
        <v>1524</v>
      </c>
    </row>
    <row r="71" spans="1:18" s="1837" customFormat="1" ht="13.5" thickBot="1">
      <c r="A71" s="1186" t="s">
        <v>1030</v>
      </c>
      <c r="B71" s="1187" t="s">
        <v>1482</v>
      </c>
      <c r="C71" s="382">
        <f ca="1">ROUND(C68*10000/F71,0)</f>
        <v>-7768</v>
      </c>
      <c r="D71" s="1188" t="s">
        <v>1483</v>
      </c>
      <c r="E71" s="1189" t="s">
        <v>1484</v>
      </c>
      <c r="F71" s="385">
        <f ca="1">F43</f>
        <v>77393.62</v>
      </c>
      <c r="O71" s="1889" t="s">
        <v>1047</v>
      </c>
      <c r="P71" s="1928" t="s">
        <v>1581</v>
      </c>
      <c r="Q71" s="1892">
        <f ca="1">C76</f>
        <v>0</v>
      </c>
      <c r="R71" s="1881"/>
    </row>
    <row r="72" spans="1:18" s="1837" customFormat="1" ht="13.5" thickBot="1">
      <c r="B72" s="794"/>
      <c r="C72" s="794"/>
      <c r="O72" s="1889" t="s">
        <v>1041</v>
      </c>
      <c r="P72" s="1880" t="s">
        <v>1559</v>
      </c>
      <c r="Q72" s="1892">
        <f>L52</f>
        <v>0</v>
      </c>
      <c r="R72" s="1881"/>
    </row>
    <row r="73" spans="1:18" ht="16.5" thickBot="1">
      <c r="A73" s="1837"/>
      <c r="B73" s="794"/>
      <c r="C73" s="794"/>
      <c r="D73" s="1837"/>
      <c r="E73" s="1837"/>
      <c r="F73" s="1837"/>
      <c r="O73" s="1889" t="s">
        <v>1042</v>
      </c>
      <c r="P73" s="1880" t="s">
        <v>1562</v>
      </c>
      <c r="Q73" s="1881" t="e">
        <f ca="1">L58</f>
        <v>#DIV/0!</v>
      </c>
      <c r="R73" s="1881" t="s">
        <v>1563</v>
      </c>
    </row>
    <row r="74" spans="1:18" ht="13.5" thickBot="1">
      <c r="A74" s="1837"/>
      <c r="B74" s="317" t="s">
        <v>1582</v>
      </c>
      <c r="C74" s="1930"/>
      <c r="D74" s="1837"/>
      <c r="E74" s="1837"/>
      <c r="F74" s="1837"/>
      <c r="O74" s="1889" t="s">
        <v>1049</v>
      </c>
      <c r="P74" s="1880" t="str">
        <f>K59</f>
        <v>续建工期及建筑物耐用年限下的土地年期修正系数Kn</v>
      </c>
      <c r="Q74" s="1881" t="e">
        <f ca="1">L59</f>
        <v>#DIV/0!</v>
      </c>
      <c r="R74" s="1881" t="s">
        <v>1564</v>
      </c>
    </row>
    <row r="75" spans="1:18" ht="13.5" thickBot="1">
      <c r="A75" s="1837"/>
      <c r="B75" s="386" t="s">
        <v>1501</v>
      </c>
      <c r="C75" s="387">
        <f ca="1">ROUND(C13*C76,0)</f>
        <v>0</v>
      </c>
      <c r="D75" s="1837"/>
      <c r="E75" s="1837"/>
      <c r="F75" s="1837"/>
      <c r="K75" s="1863"/>
      <c r="L75" s="1837"/>
      <c r="O75" s="1879" t="s">
        <v>1043</v>
      </c>
      <c r="P75" s="1880" t="s">
        <v>1544</v>
      </c>
      <c r="Q75" s="1881">
        <f ca="1">Q65+Q66</f>
        <v>324049</v>
      </c>
      <c r="R75" s="1881" t="s">
        <v>1044</v>
      </c>
    </row>
    <row r="76" spans="1:18">
      <c r="B76" s="388" t="s">
        <v>1502</v>
      </c>
      <c r="C76" s="389">
        <f ca="1">INDIRECT("'数据-取费表'!j"&amp;$G$1)</f>
        <v>0</v>
      </c>
      <c r="I76" s="1837"/>
      <c r="J76" s="1837"/>
      <c r="K76" s="1863"/>
      <c r="L76" s="1837"/>
    </row>
    <row r="77" spans="1:18">
      <c r="B77" s="390" t="s">
        <v>1503</v>
      </c>
      <c r="C77" s="391"/>
      <c r="I77" s="1837"/>
      <c r="J77" s="1837"/>
      <c r="K77" s="1863"/>
      <c r="L77" s="1837"/>
    </row>
    <row r="78" spans="1:18">
      <c r="B78" s="314" t="s">
        <v>1504</v>
      </c>
      <c r="C78" s="392"/>
    </row>
    <row r="79" spans="1:18">
      <c r="B79" s="386" t="s">
        <v>1505</v>
      </c>
      <c r="C79" s="318">
        <f ca="1">1-C80</f>
        <v>1</v>
      </c>
    </row>
    <row r="80" spans="1:18">
      <c r="B80" s="386" t="s">
        <v>1506</v>
      </c>
      <c r="C80" s="318">
        <f ca="1">ROUND(C75/C39,3)</f>
        <v>0</v>
      </c>
    </row>
    <row r="81" spans="2:3">
      <c r="B81" s="314" t="s">
        <v>1507</v>
      </c>
      <c r="C81" s="282"/>
    </row>
    <row r="82" spans="2:3">
      <c r="B82" s="317" t="s">
        <v>1508</v>
      </c>
      <c r="C82" s="319">
        <f ca="1">1-C83</f>
        <v>0.85799999999999998</v>
      </c>
    </row>
    <row r="83" spans="2:3">
      <c r="B83" s="317" t="s">
        <v>1509</v>
      </c>
      <c r="C83" s="318">
        <f ca="1">ROUND(C13/C40,3)</f>
        <v>0.14199999999999999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8" priority="4">
      <formula>$L$48&gt;$J$51</formula>
    </cfRule>
  </conditionalFormatting>
  <conditionalFormatting sqref="I55 I60">
    <cfRule type="expression" dxfId="97" priority="5">
      <formula>$J$51&gt;$L$48</formula>
    </cfRule>
  </conditionalFormatting>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G35" sqref="G35"/>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80"/>
      <c r="C1" s="1832" t="s">
        <v>3116</v>
      </c>
      <c r="D1" s="1815" t="s">
        <v>3073</v>
      </c>
      <c r="E1" s="1816" t="s">
        <v>1382</v>
      </c>
      <c r="F1" s="1279">
        <f ca="1">J53</f>
        <v>29.77</v>
      </c>
      <c r="G1" s="1831">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1510</v>
      </c>
      <c r="B2" s="1839">
        <f ca="1">C40+J29+L46</f>
        <v>0</v>
      </c>
      <c r="C2" s="1840" t="s">
        <v>1511</v>
      </c>
      <c r="D2" s="1840"/>
      <c r="E2" s="1841"/>
      <c r="F2" s="1842"/>
      <c r="G2" s="1843"/>
      <c r="H2" s="1835"/>
      <c r="I2" s="1835"/>
      <c r="J2" s="1835"/>
      <c r="K2" s="1836"/>
      <c r="L2" s="1835"/>
      <c r="M2" s="1835"/>
    </row>
    <row r="3" spans="1:37" ht="18" customHeight="1" thickBot="1">
      <c r="A3" s="1844" t="s">
        <v>1512</v>
      </c>
      <c r="B3" s="1845">
        <f ca="1">IF(ISERROR(B2*10000/F43),0,ROUND(B2*10000/F43,0))</f>
        <v>0</v>
      </c>
      <c r="C3" s="1840" t="s">
        <v>1513</v>
      </c>
      <c r="D3" s="1840"/>
      <c r="E3" s="1841"/>
      <c r="F3" s="1842"/>
      <c r="G3" s="1843"/>
      <c r="H3" s="742" t="s">
        <v>1583</v>
      </c>
      <c r="I3" s="1835"/>
      <c r="J3" s="1835"/>
      <c r="K3" s="1836"/>
      <c r="L3" s="1835"/>
      <c r="M3" s="1835"/>
    </row>
    <row r="4" spans="1:37" ht="18" customHeight="1">
      <c r="A4" s="340" t="s">
        <v>1391</v>
      </c>
      <c r="B4" s="341" t="s">
        <v>1392</v>
      </c>
      <c r="C4" s="341" t="s">
        <v>1393</v>
      </c>
      <c r="D4" s="341" t="s">
        <v>1394</v>
      </c>
      <c r="E4" s="342" t="s">
        <v>1395</v>
      </c>
      <c r="F4" s="343"/>
      <c r="G4" s="1846"/>
      <c r="H4" s="340" t="s">
        <v>1391</v>
      </c>
      <c r="I4" s="341" t="s">
        <v>1392</v>
      </c>
      <c r="J4" s="341" t="s">
        <v>1393</v>
      </c>
      <c r="K4" s="341" t="s">
        <v>1394</v>
      </c>
      <c r="L4" s="342" t="s">
        <v>1395</v>
      </c>
      <c r="M4" s="343"/>
    </row>
    <row r="5" spans="1:37" ht="18" customHeight="1">
      <c r="A5" s="344">
        <v>1</v>
      </c>
      <c r="B5" s="345" t="s">
        <v>1396</v>
      </c>
      <c r="C5" s="1288">
        <f ca="1">C6+C10+C12</f>
        <v>0</v>
      </c>
      <c r="D5" s="1817" t="s">
        <v>1397</v>
      </c>
      <c r="E5" s="1289"/>
      <c r="F5" s="1290"/>
      <c r="G5" s="1846"/>
      <c r="H5" s="344">
        <v>1</v>
      </c>
      <c r="I5" s="345" t="s">
        <v>1396</v>
      </c>
      <c r="J5" s="1288">
        <f ca="1">J6+J10+J12</f>
        <v>0</v>
      </c>
      <c r="K5" s="1817" t="s">
        <v>1397</v>
      </c>
      <c r="L5" s="1289"/>
      <c r="M5" s="1290"/>
    </row>
    <row r="6" spans="1:37" ht="18" customHeight="1">
      <c r="A6" s="1287" t="s">
        <v>1032</v>
      </c>
      <c r="B6" s="3332" t="s">
        <v>1398</v>
      </c>
      <c r="C6" s="1292">
        <f ca="1">ROUND(F6*F8*F7*(1-F9)/10000,0)</f>
        <v>0</v>
      </c>
      <c r="D6" s="164" t="s">
        <v>3024</v>
      </c>
      <c r="E6" s="347" t="s">
        <v>1400</v>
      </c>
      <c r="F6" s="348">
        <f ca="1">INDIRECT("'数据-取费表'!u"&amp;$G$1)</f>
        <v>0</v>
      </c>
      <c r="G6" s="1846"/>
      <c r="H6" s="1287" t="s">
        <v>1032</v>
      </c>
      <c r="I6" s="3332" t="s">
        <v>1398</v>
      </c>
      <c r="J6" s="346">
        <f ca="1">ROUND(M6*M8*M7*(1-M9)/10000,0)</f>
        <v>0</v>
      </c>
      <c r="K6" s="164" t="s">
        <v>3023</v>
      </c>
      <c r="L6" s="347" t="s">
        <v>1400</v>
      </c>
      <c r="M6" s="348">
        <f ca="1">INDIRECT("'数据-取费表'!z"&amp;$G$1)</f>
        <v>0</v>
      </c>
    </row>
    <row r="7" spans="1:37" ht="18" customHeight="1">
      <c r="A7" s="1291"/>
      <c r="B7" s="3333"/>
      <c r="C7" s="1293"/>
      <c r="D7" s="352"/>
      <c r="E7" s="1294" t="s">
        <v>1401</v>
      </c>
      <c r="F7" s="348">
        <f ca="1">IF(INDIRECT("'数据-取费表'!ah"&amp;$G$1)="",INDIRECT("'数据-取费表'!k"&amp;$G$1),INDIRECT("'数据-取费表'!ah"&amp;$G$1))</f>
        <v>81667.509999999995</v>
      </c>
      <c r="G7" s="1846"/>
      <c r="H7" s="349"/>
      <c r="I7" s="3333"/>
      <c r="J7" s="351"/>
      <c r="K7" s="352"/>
      <c r="L7" s="347" t="s">
        <v>1401</v>
      </c>
      <c r="M7" s="348">
        <f ca="1">F7</f>
        <v>81667.509999999995</v>
      </c>
    </row>
    <row r="8" spans="1:37" ht="18" customHeight="1">
      <c r="A8" s="349"/>
      <c r="B8" s="3333"/>
      <c r="C8" s="351"/>
      <c r="D8" s="352"/>
      <c r="E8" s="347" t="s">
        <v>1402</v>
      </c>
      <c r="F8" s="348">
        <f ca="1">INDIRECT("'数据-取费表'!ai"&amp;$G$1)</f>
        <v>0</v>
      </c>
      <c r="G8" s="1846"/>
      <c r="H8" s="349"/>
      <c r="I8" s="3333"/>
      <c r="J8" s="351"/>
      <c r="K8" s="352"/>
      <c r="L8" s="347" t="s">
        <v>1402</v>
      </c>
      <c r="M8" s="348">
        <f ca="1">INDIRECT("'数据-取费表'!ai"&amp;$G$1)</f>
        <v>0</v>
      </c>
    </row>
    <row r="9" spans="1:37" ht="18" customHeight="1">
      <c r="A9" s="349"/>
      <c r="B9" s="3334"/>
      <c r="C9" s="351"/>
      <c r="D9" s="352"/>
      <c r="E9" s="347" t="s">
        <v>1403</v>
      </c>
      <c r="F9" s="357">
        <f ca="1">INDIRECT("'数据-取费表'!w"&amp;$G$1)</f>
        <v>0</v>
      </c>
      <c r="G9" s="1846"/>
      <c r="H9" s="349"/>
      <c r="I9" s="3334"/>
      <c r="J9" s="351"/>
      <c r="K9" s="352"/>
      <c r="L9" s="358" t="s">
        <v>1403</v>
      </c>
      <c r="M9" s="359">
        <f ca="1">INDIRECT("'数据-取费表'!ab"&amp;$G$1)</f>
        <v>0</v>
      </c>
    </row>
    <row r="10" spans="1:37" ht="18" customHeight="1">
      <c r="A10" s="1287" t="s">
        <v>1036</v>
      </c>
      <c r="B10" s="1818" t="s">
        <v>1404</v>
      </c>
      <c r="C10" s="361">
        <f ca="1">ROUND(IF(F10="押一",C6/12*F11,IF(F10="押二",C6/12*2*F11,IF(F10="押三",C6/12*3*F11,C11*F11))),0)</f>
        <v>0</v>
      </c>
      <c r="D10" s="1819" t="s">
        <v>3033</v>
      </c>
      <c r="E10" s="358" t="s">
        <v>1405</v>
      </c>
      <c r="F10" s="1362"/>
      <c r="G10" s="1846"/>
      <c r="H10" s="1287" t="s">
        <v>1036</v>
      </c>
      <c r="I10" s="1818" t="s">
        <v>1404</v>
      </c>
      <c r="J10" s="346">
        <f ca="1">ROUND(IF(M10="押一",J6/12*M11,IF(M10="押二",J6/12*2*M11,IF(M10="押三",J6/12*3*M11,J11*M11))),0)</f>
        <v>0</v>
      </c>
      <c r="K10" s="1819" t="s">
        <v>3032</v>
      </c>
      <c r="L10" s="358" t="s">
        <v>1405</v>
      </c>
      <c r="M10" s="1362" t="s">
        <v>1406</v>
      </c>
    </row>
    <row r="11" spans="1:37" ht="18" customHeight="1">
      <c r="A11" s="353"/>
      <c r="B11" s="1820" t="s">
        <v>1383</v>
      </c>
      <c r="C11" s="1174"/>
      <c r="D11" s="1821"/>
      <c r="E11" s="358" t="s">
        <v>1407</v>
      </c>
      <c r="F11" s="359">
        <f ca="1">'数据-取费表'!B39</f>
        <v>1.4999999999999999E-2</v>
      </c>
      <c r="G11" s="1846"/>
      <c r="H11" s="1295"/>
      <c r="I11" s="1820" t="s">
        <v>1383</v>
      </c>
      <c r="J11" s="1174"/>
      <c r="K11" s="746"/>
      <c r="L11" s="358" t="s">
        <v>1407</v>
      </c>
      <c r="M11" s="1052">
        <f ca="1">'数据-取费表'!B39</f>
        <v>1.4999999999999999E-2</v>
      </c>
    </row>
    <row r="12" spans="1:37" ht="18" customHeight="1" thickBot="1">
      <c r="A12" s="1329" t="s">
        <v>1072</v>
      </c>
      <c r="B12" s="1822" t="s">
        <v>1408</v>
      </c>
      <c r="C12" s="1330"/>
      <c r="D12" s="1331"/>
      <c r="E12" s="1336"/>
      <c r="F12" s="1332"/>
      <c r="G12" s="1846"/>
      <c r="H12" s="1329" t="s">
        <v>1072</v>
      </c>
      <c r="I12" s="1822" t="s">
        <v>1408</v>
      </c>
      <c r="J12" s="1330"/>
      <c r="K12" s="1344"/>
      <c r="L12" s="1336"/>
      <c r="M12" s="1345"/>
    </row>
    <row r="13" spans="1:37" ht="18" customHeight="1" thickTop="1">
      <c r="A13" s="1325">
        <v>2</v>
      </c>
      <c r="B13" s="1326" t="s">
        <v>1409</v>
      </c>
      <c r="C13" s="355">
        <f ca="1">ROUND(C29*F13,0)</f>
        <v>0</v>
      </c>
      <c r="D13" s="1327" t="s">
        <v>1410</v>
      </c>
      <c r="E13" s="1327" t="s">
        <v>1411</v>
      </c>
      <c r="F13" s="1328">
        <f ca="1">INDIRECT("'数据-取费表'!y"&amp;$G$1)</f>
        <v>0</v>
      </c>
      <c r="G13" s="1846"/>
      <c r="H13" s="1325">
        <v>2</v>
      </c>
      <c r="I13" s="1326" t="s">
        <v>1409</v>
      </c>
      <c r="J13" s="1286">
        <f ca="1">ROUND(J14*J15,0)</f>
        <v>0</v>
      </c>
      <c r="K13" s="1333" t="s">
        <v>1410</v>
      </c>
      <c r="L13" s="1847"/>
      <c r="M13" s="1848"/>
    </row>
    <row r="14" spans="1:37" ht="18" customHeight="1">
      <c r="A14" s="1197" t="s">
        <v>1031</v>
      </c>
      <c r="B14" s="347" t="s">
        <v>1412</v>
      </c>
      <c r="C14" s="363">
        <f ca="1">INDIRECT("'数据-取费表'!m"&amp;$G$1)+INDIRECT("'数据-取费表'!t"&amp;$G$1)</f>
        <v>29529</v>
      </c>
      <c r="D14" s="1795" t="s">
        <v>1413</v>
      </c>
      <c r="E14" s="1789"/>
      <c r="F14" s="364"/>
      <c r="G14" s="1846"/>
      <c r="H14" s="1197" t="s">
        <v>1032</v>
      </c>
      <c r="I14" s="347" t="s">
        <v>1414</v>
      </c>
      <c r="J14" s="24">
        <f ca="1">C29</f>
        <v>46586</v>
      </c>
      <c r="K14" s="15"/>
      <c r="L14" s="975"/>
      <c r="M14" s="976"/>
    </row>
    <row r="15" spans="1:37" s="1853" customFormat="1" ht="18" customHeight="1" thickBot="1">
      <c r="A15" s="1197" t="s">
        <v>1033</v>
      </c>
      <c r="B15" s="347" t="s">
        <v>1415</v>
      </c>
      <c r="C15" s="24">
        <f ca="1">ROUND(C14*F15,0)</f>
        <v>1476</v>
      </c>
      <c r="D15" s="365" t="s">
        <v>1416</v>
      </c>
      <c r="E15" s="365" t="s">
        <v>1417</v>
      </c>
      <c r="F15" s="366">
        <f>'数据-取费表'!B33</f>
        <v>0.05</v>
      </c>
      <c r="G15" s="1849"/>
      <c r="H15" s="1335" t="s">
        <v>1036</v>
      </c>
      <c r="I15" s="1336" t="s">
        <v>1411</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1384</v>
      </c>
      <c r="B16" s="347" t="s">
        <v>1418</v>
      </c>
      <c r="C16" s="24">
        <f ca="1">ROUND(INDIRECT("'数据-取费表'!m"&amp;$G$1)*F16,0)</f>
        <v>0</v>
      </c>
      <c r="D16" s="347" t="s">
        <v>1416</v>
      </c>
      <c r="E16" s="347" t="s">
        <v>1417</v>
      </c>
      <c r="F16" s="367">
        <f ca="1">IF(INDIRECT("'数据-取费表'!c"&amp;$G$1)="住宅",'数据-取费表'!B34,0)</f>
        <v>0</v>
      </c>
      <c r="G16" s="1846"/>
      <c r="H16" s="1325" t="s">
        <v>1027</v>
      </c>
      <c r="I16" s="1326" t="s">
        <v>1419</v>
      </c>
      <c r="J16" s="355">
        <f ca="1">ROUND(J17+J22+J23+J24,0)</f>
        <v>403</v>
      </c>
      <c r="K16" s="1333" t="s">
        <v>1420</v>
      </c>
      <c r="L16" s="1334"/>
      <c r="M16" s="1290"/>
    </row>
    <row r="17" spans="1:37" s="1853" customFormat="1" ht="18" customHeight="1">
      <c r="A17" s="1197" t="s">
        <v>1385</v>
      </c>
      <c r="B17" s="347" t="s">
        <v>1421</v>
      </c>
      <c r="C17" s="24">
        <f ca="1">ROUND(F17*(F43+INDIRECT("'数据-取费表'!S"&amp;$G$1))/10000,0)</f>
        <v>1687</v>
      </c>
      <c r="D17" s="347" t="s">
        <v>1422</v>
      </c>
      <c r="E17" s="347" t="s">
        <v>1423</v>
      </c>
      <c r="F17" s="26">
        <f>'数据-取费表'!B35</f>
        <v>200</v>
      </c>
      <c r="G17" s="1849"/>
      <c r="H17" s="1197" t="s">
        <v>1032</v>
      </c>
      <c r="I17" s="347" t="s">
        <v>1424</v>
      </c>
      <c r="J17" s="24">
        <f ca="1">ROUND(IF(项目基本情况!B11="自然人",J6*M17/(1+'数据-取费表'!C42),J18+J19+J20),1)</f>
        <v>402.5</v>
      </c>
      <c r="K17" s="1795" t="s">
        <v>1425</v>
      </c>
      <c r="L17" s="1793"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1386</v>
      </c>
      <c r="B18" s="347" t="s">
        <v>1427</v>
      </c>
      <c r="C18" s="24">
        <f ca="1">ROUND(C14*F18,0)</f>
        <v>443</v>
      </c>
      <c r="D18" s="347" t="s">
        <v>1416</v>
      </c>
      <c r="E18" s="347" t="s">
        <v>1417</v>
      </c>
      <c r="F18" s="367">
        <f>'数据-取费表'!B36</f>
        <v>1.4999999999999999E-2</v>
      </c>
      <c r="G18" s="1849"/>
      <c r="H18" s="1197" t="s">
        <v>1031</v>
      </c>
      <c r="I18" s="347" t="s">
        <v>1428</v>
      </c>
      <c r="J18" s="24">
        <f ca="1">ROUND(J6*M18/(1+'数据-取费表'!C42),2)</f>
        <v>0</v>
      </c>
      <c r="K18" s="1793"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1032</v>
      </c>
      <c r="B19" s="347" t="s">
        <v>1430</v>
      </c>
      <c r="C19" s="24">
        <f ca="1">SUM(C14:C18)</f>
        <v>33135</v>
      </c>
      <c r="D19" s="140" t="s">
        <v>1431</v>
      </c>
      <c r="E19" s="1813"/>
      <c r="F19" s="26"/>
      <c r="G19" s="1846"/>
      <c r="H19" s="1197" t="s">
        <v>1033</v>
      </c>
      <c r="I19" s="347" t="s">
        <v>1432</v>
      </c>
      <c r="J19" s="24">
        <f ca="1">IF(K19="按租金收入计税",ROUND(J6*M19/(1+'数据-取费表'!C42),2),ROUND(C29*M19*0.7,2))</f>
        <v>391.32</v>
      </c>
      <c r="K19" s="1823" t="s">
        <v>1433</v>
      </c>
      <c r="L19" s="347" t="s">
        <v>1417</v>
      </c>
      <c r="M19" s="367">
        <f>IF(K19="按租金收入计税",'数据-取费表'!B51,'数据-取费表'!B50)</f>
        <v>1.2E-2</v>
      </c>
    </row>
    <row r="20" spans="1:37" s="1853" customFormat="1" ht="18" customHeight="1">
      <c r="A20" s="1197" t="s">
        <v>1036</v>
      </c>
      <c r="B20" s="347" t="s">
        <v>1434</v>
      </c>
      <c r="C20" s="24">
        <f ca="1">ROUND(C19*F20,0)</f>
        <v>828</v>
      </c>
      <c r="D20" s="369" t="s">
        <v>1435</v>
      </c>
      <c r="E20" s="347" t="s">
        <v>1417</v>
      </c>
      <c r="F20" s="367">
        <f>'数据-取费表'!B37</f>
        <v>2.5000000000000001E-2</v>
      </c>
      <c r="G20" s="1849"/>
      <c r="H20" s="1197" t="s">
        <v>1384</v>
      </c>
      <c r="I20" s="164" t="s">
        <v>1436</v>
      </c>
      <c r="J20" s="25">
        <f ca="1">ROUND(M20*M21/10000,2)</f>
        <v>11.22</v>
      </c>
      <c r="K20" s="370" t="s">
        <v>1437</v>
      </c>
      <c r="L20" s="347" t="s">
        <v>1438</v>
      </c>
      <c r="M20" s="371">
        <f>'数据-取费表'!B52</f>
        <v>20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1072</v>
      </c>
      <c r="B21" s="347" t="s">
        <v>1439</v>
      </c>
      <c r="C21" s="24" t="s">
        <v>18</v>
      </c>
      <c r="D21" s="369" t="s">
        <v>1440</v>
      </c>
      <c r="E21" s="347" t="s">
        <v>1441</v>
      </c>
      <c r="F21" s="367">
        <f>'数据-取费表'!B38</f>
        <v>0.03</v>
      </c>
      <c r="G21" s="1849"/>
      <c r="H21" s="372"/>
      <c r="I21" s="356"/>
      <c r="J21" s="29"/>
      <c r="K21" s="373"/>
      <c r="L21" s="347" t="s">
        <v>1442</v>
      </c>
      <c r="M21" s="348">
        <f ca="1">INDIRECT("'数据-取费表'!r"&amp;$G$1)</f>
        <v>5608.01</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1387</v>
      </c>
      <c r="B22" s="347" t="s">
        <v>1443</v>
      </c>
      <c r="C22" s="24"/>
      <c r="D22" s="140" t="str">
        <f>IF(F23&lt;=1,"单利计息。","复利计息。")&amp;"建造成本、管理费用、销售费用产生的利息。"</f>
        <v>复利计息。建造成本、管理费用、销售费用产生的利息。</v>
      </c>
      <c r="E22" s="1813"/>
      <c r="F22" s="26"/>
      <c r="G22" s="1846"/>
      <c r="H22" s="1197" t="s">
        <v>1036</v>
      </c>
      <c r="I22" s="347" t="s">
        <v>1444</v>
      </c>
      <c r="J22" s="24">
        <f ca="1">ROUND(J14*M22,1)</f>
        <v>0</v>
      </c>
      <c r="K22" s="1793" t="s">
        <v>1445</v>
      </c>
      <c r="L22" s="347" t="s">
        <v>1417</v>
      </c>
      <c r="M22" s="374">
        <f ca="1">INDIRECT("'数据-取费表'!Ak"&amp;$G$1)</f>
        <v>0</v>
      </c>
    </row>
    <row r="23" spans="1:37" s="1853" customFormat="1" ht="18" customHeight="1">
      <c r="A23" s="1197" t="s">
        <v>1031</v>
      </c>
      <c r="B23" s="347" t="s">
        <v>1446</v>
      </c>
      <c r="C23" s="24">
        <f ca="1">IF('数据-取费表'!B22&lt;=1,ROUND(C19*F24*F23/2,0)+ROUND(C20*F24*F23/2,0),ROUND(C19*(POWER((1+F24),F23/2)-1),0)+ROUND(C20*(POWER((1+F24),F23/2)-1),0))</f>
        <v>3304</v>
      </c>
      <c r="D23" s="375" t="str">
        <f>IF(F23&lt;=1,"(建造成本+管理费用)×利率×(建设周期÷2)","(建造成本+管理费用)×((1+利率)^(建设周期÷2)-1)")</f>
        <v>(建造成本+管理费用)×((1+利率)^(建设周期÷2)-1)</v>
      </c>
      <c r="E23" s="347" t="s">
        <v>1447</v>
      </c>
      <c r="F23" s="371">
        <f>'数据-取费表'!B20</f>
        <v>4</v>
      </c>
      <c r="G23" s="1849"/>
      <c r="H23" s="1197" t="s">
        <v>1072</v>
      </c>
      <c r="I23" s="347" t="s">
        <v>1448</v>
      </c>
      <c r="J23" s="24">
        <f ca="1">ROUND(J13*M23,1)</f>
        <v>0</v>
      </c>
      <c r="K23" s="1793" t="s">
        <v>1449</v>
      </c>
      <c r="L23" s="347" t="s">
        <v>1450</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1451</v>
      </c>
      <c r="B24" s="347" t="s">
        <v>1452</v>
      </c>
      <c r="C24" s="24">
        <f ca="1">ROUND(IF('数据-取费表'!B22&lt;=1,F21*F24*F23/2,F21*(POWER((1+F24),F23/2)-1)),4)</f>
        <v>2.8999999999999998E-3</v>
      </c>
      <c r="D24" s="375" t="str">
        <f>IF(F23&lt;=1,"销售费用×利率×(建设周期÷2)","销售费用×((1+利率)^(建设周期÷2)-1)")</f>
        <v>销售费用×((1+利率)^(建设周期÷2)-1)</v>
      </c>
      <c r="E24" s="347" t="s">
        <v>1453</v>
      </c>
      <c r="F24" s="377">
        <f ca="1">'数据-取费表'!B40</f>
        <v>4.7500000000000001E-2</v>
      </c>
      <c r="G24" s="1849"/>
      <c r="H24" s="1335" t="s">
        <v>1388</v>
      </c>
      <c r="I24" s="1336" t="s">
        <v>1434</v>
      </c>
      <c r="J24" s="1337">
        <f ca="1">ROUND(J5*M24,1)</f>
        <v>0</v>
      </c>
      <c r="K24" s="1338" t="s">
        <v>1454</v>
      </c>
      <c r="L24" s="1336" t="s">
        <v>1450</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1455</v>
      </c>
      <c r="B25" s="347" t="s">
        <v>1456</v>
      </c>
      <c r="C25" s="24"/>
      <c r="D25" s="140" t="s">
        <v>1457</v>
      </c>
      <c r="E25" s="1813"/>
      <c r="F25" s="26"/>
      <c r="G25" s="1846"/>
      <c r="H25" s="1325" t="s">
        <v>1028</v>
      </c>
      <c r="I25" s="1340" t="s">
        <v>1458</v>
      </c>
      <c r="J25" s="355">
        <f ca="1">J5-J16</f>
        <v>-403</v>
      </c>
      <c r="K25" s="1341" t="s">
        <v>1459</v>
      </c>
      <c r="L25" s="1342"/>
      <c r="M25" s="1343"/>
    </row>
    <row r="26" spans="1:37">
      <c r="A26" s="1197" t="s">
        <v>1031</v>
      </c>
      <c r="B26" s="347" t="s">
        <v>1460</v>
      </c>
      <c r="C26" s="24">
        <f ca="1">ROUND((C19+C20)*F26,0)</f>
        <v>5094</v>
      </c>
      <c r="D26" s="369" t="s">
        <v>1461</v>
      </c>
      <c r="E26" s="358" t="s">
        <v>1462</v>
      </c>
      <c r="F26" s="357">
        <f ca="1">INDIRECT("'数据-取费表'!q"&amp;$G$1)</f>
        <v>0.15</v>
      </c>
      <c r="G26" s="1846"/>
      <c r="H26" s="344" t="s">
        <v>1029</v>
      </c>
      <c r="I26" s="345" t="s">
        <v>1463</v>
      </c>
      <c r="J26" s="346">
        <f ca="1">IF(J5&lt;&gt;0,ROUND(J25*(1-((1+M28)/(1+M26))^M27)/(M26-M28),0),0)</f>
        <v>0</v>
      </c>
      <c r="K26" s="370" t="s">
        <v>1464</v>
      </c>
      <c r="L26" s="347" t="s">
        <v>1465</v>
      </c>
      <c r="M26" s="357">
        <f ca="1">INDIRECT("'数据-取费表'!I"&amp;$G$1)</f>
        <v>5.5E-2</v>
      </c>
    </row>
    <row r="27" spans="1:37" ht="18" customHeight="1">
      <c r="A27" s="1197" t="s">
        <v>1033</v>
      </c>
      <c r="B27" s="347" t="s">
        <v>1466</v>
      </c>
      <c r="C27" s="24">
        <f ca="1">ROUND(F21*F26,4)</f>
        <v>4.4999999999999997E-3</v>
      </c>
      <c r="D27" s="369" t="s">
        <v>1467</v>
      </c>
      <c r="E27" s="365"/>
      <c r="F27" s="366"/>
      <c r="G27" s="1846"/>
      <c r="H27" s="349"/>
      <c r="I27" s="350"/>
      <c r="J27" s="351"/>
      <c r="K27" s="378" t="s">
        <v>1468</v>
      </c>
      <c r="L27" s="347" t="s">
        <v>1469</v>
      </c>
      <c r="M27" s="379">
        <f ca="1">INDIRECT("'数据-取费表'!ag"&amp;$G$1)</f>
        <v>0</v>
      </c>
    </row>
    <row r="28" spans="1:37" s="1853" customFormat="1" ht="18" customHeight="1">
      <c r="A28" s="1197"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1473</v>
      </c>
      <c r="C29" s="1337">
        <f ca="1">ROUND((C19+C20+C23+C26)/(1-F21-C24-C27-C28),0)</f>
        <v>46586</v>
      </c>
      <c r="D29" s="1338"/>
      <c r="E29" s="1336"/>
      <c r="F29" s="1339"/>
      <c r="G29" s="1849"/>
      <c r="H29" s="380" t="s">
        <v>1030</v>
      </c>
      <c r="I29" s="381" t="s">
        <v>1474</v>
      </c>
      <c r="J29" s="382">
        <f ca="1">ROUND(J26/(1+F40)^F41,0)</f>
        <v>0</v>
      </c>
      <c r="K29" s="383" t="s">
        <v>1475</v>
      </c>
      <c r="L29" s="384"/>
      <c r="M29" s="385">
        <f ca="1">INDIRECT("'数据-取费表'!k"&amp;$G$1)</f>
        <v>81667.509999999995</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1419</v>
      </c>
      <c r="C30" s="355">
        <f ca="1">ROUND(C31+C36+C37+C38,0)</f>
        <v>11</v>
      </c>
      <c r="D30" s="1333" t="s">
        <v>1420</v>
      </c>
      <c r="E30" s="1334"/>
      <c r="F30" s="1290"/>
      <c r="G30" s="1846"/>
      <c r="H30" s="743"/>
      <c r="I30" s="744"/>
      <c r="J30" s="745"/>
      <c r="K30" s="746"/>
      <c r="L30" s="747"/>
      <c r="M30" s="748"/>
    </row>
    <row r="31" spans="1:37" ht="18" customHeight="1">
      <c r="A31" s="1197" t="s">
        <v>1032</v>
      </c>
      <c r="B31" s="347" t="s">
        <v>1424</v>
      </c>
      <c r="C31" s="24">
        <f ca="1">ROUND(IF(项目基本情况!B11="自然人",C6*F31/(1+'数据-取费表'!C42),C32+C33+C34),1)</f>
        <v>11.2</v>
      </c>
      <c r="D31" s="1795" t="s">
        <v>1425</v>
      </c>
      <c r="E31" s="1793" t="s">
        <v>1476</v>
      </c>
      <c r="F31" s="368" t="str">
        <f ca="1">IF(项目基本情况!B11="企业","",IF(INDIRECT("'数据-取费表'!c"&amp;$G$1)="住宅",5%,IF(F6*F7*F8/12/(1+'数据-取费表'!C42)&gt;20000,12%,7%)))</f>
        <v/>
      </c>
      <c r="G31" s="1846"/>
      <c r="H31" s="743"/>
      <c r="I31" s="744"/>
      <c r="J31" s="745"/>
      <c r="K31" s="746"/>
      <c r="L31" s="747"/>
      <c r="M31" s="748"/>
    </row>
    <row r="32" spans="1:37" ht="18" customHeight="1">
      <c r="A32" s="1197" t="s">
        <v>1031</v>
      </c>
      <c r="B32" s="347" t="s">
        <v>1428</v>
      </c>
      <c r="C32" s="24">
        <f ca="1">IF(项目基本情况!B11="自然人","——",ROUND(C6*F32/(1+'数据-取费表'!C42),2))</f>
        <v>0</v>
      </c>
      <c r="D32" s="1793" t="s">
        <v>1429</v>
      </c>
      <c r="E32" s="347" t="s">
        <v>1417</v>
      </c>
      <c r="F32" s="377">
        <f>'数据-取费表'!B41</f>
        <v>5.6000000000000001E-2</v>
      </c>
      <c r="G32" s="1846"/>
      <c r="H32" s="743"/>
      <c r="I32" s="744"/>
      <c r="J32" s="745"/>
      <c r="K32" s="746"/>
      <c r="L32" s="747"/>
      <c r="M32" s="748"/>
    </row>
    <row r="33" spans="1:18" ht="18" customHeight="1">
      <c r="A33" s="1197" t="s">
        <v>1033</v>
      </c>
      <c r="B33" s="347" t="s">
        <v>1432</v>
      </c>
      <c r="C33" s="24">
        <f ca="1">IF(项目基本情况!B11="自然人","——",IF(D33="按租金收入计税",ROUND(C6*F33/(1+'数据-取费表'!C42),2),IF(D33="按房产原值计税",ROUND(C29*F33*0.7,2),INDIRECT("'数据-取费表'!Aj"&amp;$G$1))))</f>
        <v>0</v>
      </c>
      <c r="D33" s="1823" t="s">
        <v>3074</v>
      </c>
      <c r="E33" s="347" t="s">
        <v>1417</v>
      </c>
      <c r="F33" s="367">
        <f>IF(D33="按票据","——",IF(D33="按租金收入计税",'数据-取费表'!B51,'数据-取费表'!B50))</f>
        <v>0.12</v>
      </c>
      <c r="G33" s="1846"/>
      <c r="H33" s="1854"/>
      <c r="I33" s="1855"/>
      <c r="J33" s="1856"/>
      <c r="K33" s="1857"/>
      <c r="L33" s="1854"/>
      <c r="M33" s="1854"/>
    </row>
    <row r="34" spans="1:18" ht="18" customHeight="1">
      <c r="A34" s="1287" t="s">
        <v>1384</v>
      </c>
      <c r="B34" s="164" t="s">
        <v>1436</v>
      </c>
      <c r="C34" s="25">
        <f ca="1">IF(项目基本情况!B11="自然人","——",ROUND(F34*F35/10000,2))</f>
        <v>11.22</v>
      </c>
      <c r="D34" s="370" t="s">
        <v>1437</v>
      </c>
      <c r="E34" s="347" t="s">
        <v>1438</v>
      </c>
      <c r="F34" s="371">
        <f>'数据-取费表'!B52</f>
        <v>20</v>
      </c>
      <c r="G34" s="1846"/>
      <c r="H34" s="743"/>
      <c r="I34" s="1855"/>
      <c r="J34" s="1856"/>
      <c r="K34" s="1858"/>
      <c r="L34" s="1859"/>
      <c r="M34" s="1859"/>
    </row>
    <row r="35" spans="1:18" ht="18" customHeight="1">
      <c r="A35" s="1349"/>
      <c r="B35" s="1347"/>
      <c r="C35" s="29"/>
      <c r="D35" s="373"/>
      <c r="E35" s="347" t="s">
        <v>1442</v>
      </c>
      <c r="F35" s="348">
        <f ca="1">INDIRECT("'数据-取费表'!r"&amp;$G$1)</f>
        <v>5608.01</v>
      </c>
      <c r="G35" s="1846"/>
      <c r="H35" s="743"/>
      <c r="I35" s="1855"/>
      <c r="J35" s="1856"/>
      <c r="K35" s="1857"/>
      <c r="L35" s="1854"/>
      <c r="M35" s="1854"/>
    </row>
    <row r="36" spans="1:18" ht="18" customHeight="1">
      <c r="A36" s="1348" t="s">
        <v>1036</v>
      </c>
      <c r="B36" s="347" t="s">
        <v>1444</v>
      </c>
      <c r="C36" s="24">
        <f ca="1">ROUND(C29*F36,1)</f>
        <v>0</v>
      </c>
      <c r="D36" s="1793" t="s">
        <v>1477</v>
      </c>
      <c r="E36" s="347" t="s">
        <v>1417</v>
      </c>
      <c r="F36" s="374">
        <f ca="1">INDIRECT("'数据-取费表'!Ak"&amp;$G$1)</f>
        <v>0</v>
      </c>
      <c r="G36" s="1846"/>
      <c r="H36" s="1854"/>
      <c r="I36" s="1855"/>
      <c r="J36" s="1856"/>
      <c r="K36" s="749"/>
      <c r="L36" s="1854"/>
      <c r="M36" s="1854"/>
    </row>
    <row r="37" spans="1:18" ht="18" customHeight="1">
      <c r="A37" s="1197" t="s">
        <v>1072</v>
      </c>
      <c r="B37" s="347" t="s">
        <v>1448</v>
      </c>
      <c r="C37" s="24">
        <f ca="1">ROUND(C13*F37,1)</f>
        <v>0</v>
      </c>
      <c r="D37" s="1793" t="s">
        <v>1449</v>
      </c>
      <c r="E37" s="347" t="s">
        <v>1450</v>
      </c>
      <c r="F37" s="376">
        <f ca="1">INDIRECT("'数据-取费表'!Al"&amp;$G$1)</f>
        <v>0</v>
      </c>
      <c r="G37" s="1846"/>
      <c r="H37" s="1854"/>
      <c r="I37" s="1855"/>
      <c r="J37" s="1856"/>
      <c r="K37" s="749"/>
      <c r="L37" s="1854"/>
      <c r="M37" s="1854"/>
    </row>
    <row r="38" spans="1:18" ht="18" customHeight="1" thickBot="1">
      <c r="A38" s="1335" t="s">
        <v>1388</v>
      </c>
      <c r="B38" s="1336" t="s">
        <v>1434</v>
      </c>
      <c r="C38" s="1337">
        <f ca="1">ROUND(C5*F38,1)</f>
        <v>0</v>
      </c>
      <c r="D38" s="1338" t="s">
        <v>1454</v>
      </c>
      <c r="E38" s="1336" t="s">
        <v>1450</v>
      </c>
      <c r="F38" s="1332">
        <f ca="1">INDIRECT("'数据-取费表'!Am"&amp;$G$1)</f>
        <v>0</v>
      </c>
      <c r="G38" s="1846"/>
      <c r="H38" s="1854"/>
      <c r="I38" s="1855"/>
      <c r="J38" s="1856"/>
      <c r="K38" s="1860"/>
      <c r="L38" s="1854"/>
      <c r="M38" s="1854"/>
    </row>
    <row r="39" spans="1:18" ht="24.6" customHeight="1" thickTop="1">
      <c r="A39" s="1325" t="s">
        <v>1028</v>
      </c>
      <c r="B39" s="1340" t="s">
        <v>1478</v>
      </c>
      <c r="C39" s="355">
        <f ca="1">C5-C30</f>
        <v>-11</v>
      </c>
      <c r="D39" s="1341" t="s">
        <v>1479</v>
      </c>
      <c r="E39" s="1342"/>
      <c r="F39" s="1343"/>
      <c r="G39" s="1846"/>
      <c r="H39" s="1854"/>
      <c r="I39" s="1855"/>
      <c r="J39" s="1856"/>
      <c r="K39" s="1860"/>
      <c r="L39" s="1854"/>
      <c r="M39" s="1854"/>
    </row>
    <row r="40" spans="1:18" ht="18" customHeight="1">
      <c r="A40" s="344" t="s">
        <v>1029</v>
      </c>
      <c r="B40" s="345" t="s">
        <v>1480</v>
      </c>
      <c r="C40" s="346">
        <f ca="1">ROUND(C39*(1-((1+F42)/(1+F40))^F41)/(F40-F42),0)</f>
        <v>0</v>
      </c>
      <c r="D40" s="370" t="s">
        <v>1464</v>
      </c>
      <c r="E40" s="347" t="s">
        <v>1465</v>
      </c>
      <c r="F40" s="357">
        <f ca="1">INDIRECT("'数据-取费表'!I"&amp;$G$1)</f>
        <v>5.5E-2</v>
      </c>
      <c r="G40" s="1846"/>
      <c r="H40" s="1834"/>
      <c r="I40" s="1855"/>
      <c r="J40" s="1856"/>
      <c r="K40" s="1860"/>
      <c r="L40" s="1834"/>
      <c r="M40" s="1834"/>
    </row>
    <row r="41" spans="1:18" ht="18" customHeight="1">
      <c r="A41" s="349"/>
      <c r="B41" s="350"/>
      <c r="C41" s="351"/>
      <c r="D41" s="378" t="s">
        <v>1481</v>
      </c>
      <c r="E41" s="347" t="s">
        <v>1469</v>
      </c>
      <c r="F41" s="379">
        <f ca="1">IF(INDIRECT("'数据-取费表'!af"&amp;$G$1)=0,INDIRECT("'数据-取费表'!ae"&amp;$G$1),INDIRECT("'数据-取费表'!af"&amp;$G$1))</f>
        <v>0</v>
      </c>
      <c r="G41" s="1846"/>
      <c r="H41" s="730"/>
      <c r="I41" s="1855"/>
      <c r="J41" s="1856"/>
      <c r="K41" s="749"/>
      <c r="L41" s="730"/>
      <c r="M41" s="730"/>
    </row>
    <row r="42" spans="1:18" ht="18" customHeight="1">
      <c r="A42" s="353"/>
      <c r="B42" s="354"/>
      <c r="C42" s="355"/>
      <c r="D42" s="373"/>
      <c r="E42" s="347" t="s">
        <v>1472</v>
      </c>
      <c r="F42" s="357">
        <f ca="1">INDIRECT("'数据-取费表'!v"&amp;$G$1)</f>
        <v>0</v>
      </c>
      <c r="G42" s="1846"/>
      <c r="H42" s="730"/>
      <c r="I42" s="1855"/>
      <c r="J42" s="1856"/>
      <c r="K42" s="749"/>
      <c r="L42" s="730"/>
      <c r="M42" s="730"/>
    </row>
    <row r="43" spans="1:18" ht="18" customHeight="1" thickBot="1">
      <c r="A43" s="380" t="s">
        <v>1030</v>
      </c>
      <c r="B43" s="381" t="s">
        <v>1482</v>
      </c>
      <c r="C43" s="382">
        <f ca="1">ROUND(C40*10000/F43,0)</f>
        <v>0</v>
      </c>
      <c r="D43" s="383" t="s">
        <v>1483</v>
      </c>
      <c r="E43" s="384" t="s">
        <v>1484</v>
      </c>
      <c r="F43" s="385">
        <f ca="1">INDIRECT("'数据-取费表'!k"&amp;$G$1)</f>
        <v>81667.509999999995</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1514</v>
      </c>
      <c r="P45" s="1834"/>
      <c r="Q45" s="1834"/>
      <c r="R45" s="1834"/>
    </row>
    <row r="46" spans="1:18" s="1837" customFormat="1" ht="13.5" thickBot="1">
      <c r="A46" s="1865" t="s">
        <v>1515</v>
      </c>
      <c r="C46" s="1866">
        <f ca="1">C68-C40</f>
        <v>0</v>
      </c>
      <c r="D46" s="1867" t="str">
        <f>C2</f>
        <v>万元</v>
      </c>
      <c r="E46" s="1861"/>
      <c r="F46" s="1861"/>
      <c r="I46" s="1868" t="s">
        <v>1516</v>
      </c>
      <c r="J46" s="1869"/>
      <c r="K46" s="1870"/>
      <c r="L46" s="1871" t="str">
        <f ca="1">IF(M47="住宅",0,IF(L48&gt;J51,L60,J60))</f>
        <v>0</v>
      </c>
      <c r="O46" s="1872" t="s">
        <v>1517</v>
      </c>
      <c r="P46" s="1873" t="s">
        <v>1518</v>
      </c>
      <c r="Q46" s="1874" t="s">
        <v>1519</v>
      </c>
      <c r="R46" s="1874" t="s">
        <v>1520</v>
      </c>
    </row>
    <row r="47" spans="1:18" s="1837" customFormat="1" ht="13.5" thickBot="1">
      <c r="A47" s="1161" t="s">
        <v>1391</v>
      </c>
      <c r="B47" s="1193" t="s">
        <v>1392</v>
      </c>
      <c r="C47" s="1363" t="s">
        <v>1393</v>
      </c>
      <c r="D47" s="1193" t="s">
        <v>1394</v>
      </c>
      <c r="E47" s="1275" t="s">
        <v>1395</v>
      </c>
      <c r="F47" s="1276"/>
      <c r="G47" s="790"/>
      <c r="I47" s="1875" t="s">
        <v>1521</v>
      </c>
      <c r="J47" s="1876" t="s">
        <v>3075</v>
      </c>
      <c r="K47" s="1877" t="s">
        <v>1522</v>
      </c>
      <c r="L47" s="1878">
        <f ca="1">INDIRECT("'数据-取费表'!d"&amp;$G$1)</f>
        <v>40</v>
      </c>
      <c r="M47" s="1833" t="str">
        <f>IF(ISNUMBER(FIND("住宅",C1)),"住宅","非住宅")</f>
        <v>非住宅</v>
      </c>
      <c r="O47" s="1879" t="s">
        <v>1037</v>
      </c>
      <c r="P47" s="1880" t="s">
        <v>1523</v>
      </c>
      <c r="Q47" s="1881">
        <f ca="1">C40+J29</f>
        <v>0</v>
      </c>
      <c r="R47" s="1881" t="s">
        <v>1524</v>
      </c>
    </row>
    <row r="48" spans="1:18" s="1837" customFormat="1" ht="28.5" thickBot="1">
      <c r="A48" s="1356" t="s">
        <v>1132</v>
      </c>
      <c r="B48" s="345" t="s">
        <v>1396</v>
      </c>
      <c r="C48" s="1812">
        <f ca="1">C49+C53+C55</f>
        <v>0</v>
      </c>
      <c r="D48" s="1358"/>
      <c r="E48" s="1359"/>
      <c r="F48" s="1177"/>
      <c r="G48" s="790"/>
      <c r="H48" s="791"/>
      <c r="I48" s="1882" t="s">
        <v>1525</v>
      </c>
      <c r="J48" s="1883" t="s">
        <v>3076</v>
      </c>
      <c r="K48" s="1884" t="s">
        <v>1526</v>
      </c>
      <c r="L48" s="1885">
        <f ca="1">INDIRECT("'数据-取费表'!f"&amp;$G$1)</f>
        <v>31.77</v>
      </c>
      <c r="O48" s="1879" t="s">
        <v>1038</v>
      </c>
      <c r="P48" s="1880" t="s">
        <v>1527</v>
      </c>
      <c r="Q48" s="1881" t="str">
        <f ca="1">J60</f>
        <v>0</v>
      </c>
      <c r="R48" s="1881" t="s">
        <v>1528</v>
      </c>
    </row>
    <row r="49" spans="1:18" s="1837" customFormat="1" ht="13.5" thickBot="1">
      <c r="A49" s="1190" t="s">
        <v>1133</v>
      </c>
      <c r="B49" s="1824" t="s">
        <v>1485</v>
      </c>
      <c r="C49" s="1360">
        <f ca="1">ROUND(F49*F51*F50*(1-F52)/10000,0)</f>
        <v>0</v>
      </c>
      <c r="D49" s="1272" t="s">
        <v>3025</v>
      </c>
      <c r="E49" s="1825" t="s">
        <v>1486</v>
      </c>
      <c r="F49" s="1277"/>
      <c r="G49" s="1886"/>
      <c r="H49" s="791"/>
      <c r="I49" s="1882" t="s">
        <v>1529</v>
      </c>
      <c r="J49" s="1887"/>
      <c r="K49" s="1884" t="s">
        <v>1530</v>
      </c>
      <c r="L49" s="1888"/>
      <c r="O49" s="1889" t="s">
        <v>1039</v>
      </c>
      <c r="P49" s="1880" t="s">
        <v>1531</v>
      </c>
      <c r="Q49" s="1881">
        <f ca="1">C29</f>
        <v>46586</v>
      </c>
      <c r="R49" s="1881" t="s">
        <v>1524</v>
      </c>
    </row>
    <row r="50" spans="1:18" s="1837" customFormat="1" ht="13.5" thickBot="1">
      <c r="A50" s="1191"/>
      <c r="B50" s="1194"/>
      <c r="C50" s="1364"/>
      <c r="D50" s="1168"/>
      <c r="E50" s="1273" t="s">
        <v>1401</v>
      </c>
      <c r="F50" s="1274">
        <f ca="1">F7</f>
        <v>81667.509999999995</v>
      </c>
      <c r="H50" s="791"/>
      <c r="I50" s="1882" t="s">
        <v>1532</v>
      </c>
      <c r="J50" s="1890">
        <f>SUMPRODUCT((I63:I65=J47)*(J62:L62=J48)*(J63:L65))</f>
        <v>60</v>
      </c>
      <c r="K50" s="1884" t="s">
        <v>1533</v>
      </c>
      <c r="L50" s="1888"/>
      <c r="M50" s="1891"/>
      <c r="O50" s="1889" t="s">
        <v>1040</v>
      </c>
      <c r="P50" s="1880" t="s">
        <v>1534</v>
      </c>
      <c r="Q50" s="1892" t="e">
        <f ca="1">J58</f>
        <v>#VALUE!</v>
      </c>
      <c r="R50" s="1881"/>
    </row>
    <row r="51" spans="1:18" s="1837" customFormat="1" ht="13.5" thickBot="1">
      <c r="A51" s="1192"/>
      <c r="B51" s="1194"/>
      <c r="C51" s="1195"/>
      <c r="D51" s="1168"/>
      <c r="E51" s="1196" t="s">
        <v>1402</v>
      </c>
      <c r="F51" s="348">
        <f ca="1">F8</f>
        <v>0</v>
      </c>
      <c r="I51" s="1893" t="s">
        <v>1535</v>
      </c>
      <c r="J51" s="1894">
        <f>IF(J49="",J50,J49+J50-YEAR('数据-取费表'!B2))</f>
        <v>60</v>
      </c>
      <c r="K51" s="1895" t="s">
        <v>1536</v>
      </c>
      <c r="L51" s="1896">
        <f ca="1">ROUND(-PV(INDIRECT("'数据-取费表'!h"&amp;$G$1),L48,(C39-C13*C76),0),0)</f>
        <v>-173</v>
      </c>
      <c r="M51" s="1897"/>
      <c r="O51" s="1889" t="s">
        <v>1041</v>
      </c>
      <c r="P51" s="1880" t="s">
        <v>1537</v>
      </c>
      <c r="Q51" s="1892">
        <f>J52</f>
        <v>0</v>
      </c>
      <c r="R51" s="1881"/>
    </row>
    <row r="52" spans="1:18" s="1837" customFormat="1" ht="13.5" thickBot="1">
      <c r="A52" s="1192"/>
      <c r="B52" s="1194"/>
      <c r="C52" s="1195"/>
      <c r="D52" s="1168"/>
      <c r="E52" s="1196" t="s">
        <v>1403</v>
      </c>
      <c r="F52" s="1271"/>
      <c r="I52" s="1898" t="s">
        <v>1538</v>
      </c>
      <c r="J52" s="1899"/>
      <c r="K52" s="1898" t="s">
        <v>1539</v>
      </c>
      <c r="L52" s="1899"/>
      <c r="O52" s="1889" t="s">
        <v>1042</v>
      </c>
      <c r="P52" s="1880" t="s">
        <v>1540</v>
      </c>
      <c r="Q52" s="1881">
        <f ca="1">J53</f>
        <v>29.77</v>
      </c>
      <c r="R52" s="1881" t="s">
        <v>1541</v>
      </c>
    </row>
    <row r="53" spans="1:18" s="1837" customFormat="1" ht="24.75" thickBot="1">
      <c r="A53" s="1401" t="s">
        <v>1134</v>
      </c>
      <c r="B53" s="1826" t="s">
        <v>1404</v>
      </c>
      <c r="C53" s="361">
        <f ca="1">ROUND(IF(F53="押一",C49/12*F11,IF(F53="押二",C49/12*2*F11,IF(F53="押三",C49/12*3*F11,C54*F11))),0)</f>
        <v>0</v>
      </c>
      <c r="D53" s="1819" t="s">
        <v>3032</v>
      </c>
      <c r="E53" s="358" t="s">
        <v>1405</v>
      </c>
      <c r="F53" s="1362"/>
      <c r="I53" s="1900" t="s">
        <v>1542</v>
      </c>
      <c r="J53" s="2941">
        <f ca="1">IF(M47="住宅",IF(D1="——",MAX(J51,L48),MAX(J51,L48-'数据-取费表'!B24)),IF(D1="——",MIN(J51,L48),MIN(J51,L48-'数据-取费表'!B24)))</f>
        <v>29.77</v>
      </c>
      <c r="K53" s="3335" t="s">
        <v>1543</v>
      </c>
      <c r="L53" s="3336"/>
      <c r="O53" s="1879" t="s">
        <v>1043</v>
      </c>
      <c r="P53" s="1880" t="s">
        <v>1544</v>
      </c>
      <c r="Q53" s="1881">
        <f ca="1">Q47+Q48</f>
        <v>0</v>
      </c>
      <c r="R53" s="1881" t="s">
        <v>1044</v>
      </c>
    </row>
    <row r="54" spans="1:18" s="1837" customFormat="1" ht="13.5" thickBot="1">
      <c r="A54" s="1402"/>
      <c r="B54" s="1820" t="s">
        <v>1383</v>
      </c>
      <c r="C54" s="1174"/>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1545</v>
      </c>
      <c r="P54" s="1834"/>
      <c r="Q54" s="1834"/>
      <c r="R54" s="1834"/>
    </row>
    <row r="55" spans="1:18" s="1837" customFormat="1" ht="13.5" thickBot="1">
      <c r="A55" s="1329" t="s">
        <v>1072</v>
      </c>
      <c r="B55" s="1822" t="s">
        <v>1408</v>
      </c>
      <c r="C55" s="1330"/>
      <c r="D55" s="1819"/>
      <c r="E55" s="1827"/>
      <c r="F55" s="1901"/>
      <c r="I55" s="1904" t="s">
        <v>1546</v>
      </c>
      <c r="J55" s="1905" t="e">
        <f ca="1">ROUND(IF(J47="钢混",J57/J50,1-(1-2%)*(J50-J57)/J50),3)</f>
        <v>#VALUE!</v>
      </c>
      <c r="K55" s="1906" t="s">
        <v>1547</v>
      </c>
      <c r="L55" s="1907" t="s">
        <v>1548</v>
      </c>
      <c r="O55" s="1872" t="s">
        <v>1517</v>
      </c>
      <c r="P55" s="1873" t="s">
        <v>1518</v>
      </c>
      <c r="Q55" s="1874" t="s">
        <v>1519</v>
      </c>
      <c r="R55" s="1874" t="s">
        <v>1520</v>
      </c>
    </row>
    <row r="56" spans="1:18" s="1837" customFormat="1" ht="25.5" thickTop="1" thickBot="1">
      <c r="A56" s="1172">
        <v>2</v>
      </c>
      <c r="B56" s="1173" t="s">
        <v>1409</v>
      </c>
      <c r="C56" s="276">
        <f ca="1">C13</f>
        <v>0</v>
      </c>
      <c r="D56" s="1908"/>
      <c r="E56" s="1909"/>
      <c r="F56" s="1901"/>
      <c r="I56" s="1910" t="s">
        <v>1549</v>
      </c>
      <c r="J56" s="1911" t="s">
        <v>3070</v>
      </c>
      <c r="K56" s="1882" t="s">
        <v>1550</v>
      </c>
      <c r="L56" s="1885" t="str">
        <f ca="1">IF(L48&lt;J51,"——",L48-J53)</f>
        <v>——</v>
      </c>
      <c r="O56" s="1879" t="s">
        <v>1037</v>
      </c>
      <c r="P56" s="1880" t="s">
        <v>1523</v>
      </c>
      <c r="Q56" s="1881">
        <f ca="1">C40+J29</f>
        <v>0</v>
      </c>
      <c r="R56" s="1881" t="s">
        <v>1524</v>
      </c>
    </row>
    <row r="57" spans="1:18" s="1837" customFormat="1" ht="24.75" thickBot="1">
      <c r="A57" s="1912"/>
      <c r="B57" s="1165" t="s">
        <v>1473</v>
      </c>
      <c r="C57" s="282">
        <f ca="1">C29</f>
        <v>46586</v>
      </c>
      <c r="D57" s="1913"/>
      <c r="E57" s="1914"/>
      <c r="F57" s="1915"/>
      <c r="I57" s="1916" t="s">
        <v>1551</v>
      </c>
      <c r="J57" s="1917" t="str">
        <f ca="1">IF(OR(M47="住宅",J51&lt;L48,J56="是"),"——",J51-L48)</f>
        <v>——</v>
      </c>
      <c r="K57" s="1882" t="s">
        <v>1552</v>
      </c>
      <c r="L57" s="1885" t="str">
        <f ca="1">IF(L48&lt;J51,"——",IF(L55="比较法",L49,IF(L55="基准地价",L50,L51)))</f>
        <v>——</v>
      </c>
      <c r="O57" s="1879" t="s">
        <v>1038</v>
      </c>
      <c r="P57" s="1880" t="s">
        <v>1553</v>
      </c>
      <c r="Q57" s="1881">
        <f ca="1">L60</f>
        <v>0</v>
      </c>
      <c r="R57" s="1881" t="s">
        <v>1554</v>
      </c>
    </row>
    <row r="58" spans="1:18" s="1837" customFormat="1" ht="24.75" thickBot="1">
      <c r="A58" s="360" t="s">
        <v>1027</v>
      </c>
      <c r="B58" s="1173" t="s">
        <v>1419</v>
      </c>
      <c r="C58" s="361">
        <f ca="1">ROUND(C59+C64+C65+C66,0)</f>
        <v>3924</v>
      </c>
      <c r="D58" s="1175" t="s">
        <v>1420</v>
      </c>
      <c r="E58" s="1176"/>
      <c r="F58" s="1177"/>
      <c r="I58" s="1916" t="s">
        <v>1555</v>
      </c>
      <c r="J58" s="1918" t="e">
        <f ca="1">IF(J55&lt;0.4,0.4,J55)</f>
        <v>#VALUE!</v>
      </c>
      <c r="K58" s="1895" t="s">
        <v>1556</v>
      </c>
      <c r="L58" s="1885" t="e">
        <f ca="1">ROUND(POWER(1+L52,L47-L48)*(POWER(1+L52,L48)-1)/(POWER(1+L52,L47)-1),4)</f>
        <v>#DIV/0!</v>
      </c>
      <c r="O58" s="1889" t="s">
        <v>1039</v>
      </c>
      <c r="P58" s="1880" t="s">
        <v>1557</v>
      </c>
      <c r="Q58" s="1881">
        <f>IF(L55="比较法",L49,IF(L55="基准地价",L50,0))</f>
        <v>0</v>
      </c>
      <c r="R58" s="1881" t="s">
        <v>1524</v>
      </c>
    </row>
    <row r="59" spans="1:18" s="1837" customFormat="1" ht="24.75" thickBot="1">
      <c r="A59" s="1197" t="s">
        <v>1032</v>
      </c>
      <c r="B59" s="1165" t="s">
        <v>1424</v>
      </c>
      <c r="C59" s="24">
        <f ca="1">ROUND(IF(项目基本情况!B11="自然人",C48*F59,C60+C61+C62),1)</f>
        <v>3924.4</v>
      </c>
      <c r="D59" s="1178" t="s">
        <v>1425</v>
      </c>
      <c r="E59" s="1179" t="s">
        <v>1426</v>
      </c>
      <c r="F59" s="368" t="str">
        <f ca="1">IF(项目基本情况!B11="企业","",IF(INDIRECT("'数据-取费表'!c"&amp;$G$1)="住宅",5%,IF(F49*F50*F51/12/(1+'数据-取费表'!C42)&gt;20000,12%,7%)))</f>
        <v/>
      </c>
      <c r="I59" s="1916" t="s">
        <v>1558</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1559</v>
      </c>
      <c r="Q59" s="1892">
        <f>L52</f>
        <v>0</v>
      </c>
      <c r="R59" s="1881"/>
    </row>
    <row r="60" spans="1:18" s="1837" customFormat="1" ht="16.5" thickBot="1">
      <c r="A60" s="1197" t="s">
        <v>1031</v>
      </c>
      <c r="B60" s="1165" t="s">
        <v>1428</v>
      </c>
      <c r="C60" s="24">
        <f ca="1">IF(项目基本情况!B11="自然人","——",ROUND(C48*F60/(1+'数据-取费表'!C42),2))</f>
        <v>0</v>
      </c>
      <c r="D60" s="1179" t="s">
        <v>1429</v>
      </c>
      <c r="E60" s="1165" t="s">
        <v>1417</v>
      </c>
      <c r="F60" s="377">
        <f t="shared" ref="F60:F66" si="0">F32</f>
        <v>5.6000000000000001E-2</v>
      </c>
      <c r="I60" s="1919" t="s">
        <v>1560</v>
      </c>
      <c r="J60" s="1920" t="str">
        <f ca="1">IF(OR(M47="住宅",J51&lt;L48,J56="是"),"0",ROUND(J59/(1+J52)^J53,0))</f>
        <v>0</v>
      </c>
      <c r="K60" s="1921" t="s">
        <v>1561</v>
      </c>
      <c r="L60" s="1920">
        <f ca="1">IF(OR(M47="住宅",L48&lt;J51),0,ROUND(L57*(L58/L59-1),0))</f>
        <v>0</v>
      </c>
      <c r="O60" s="1889" t="s">
        <v>1041</v>
      </c>
      <c r="P60" s="1880" t="s">
        <v>1562</v>
      </c>
      <c r="Q60" s="1881" t="e">
        <f ca="1">L58</f>
        <v>#DIV/0!</v>
      </c>
      <c r="R60" s="1881" t="s">
        <v>1563</v>
      </c>
    </row>
    <row r="61" spans="1:18" s="1837" customFormat="1" ht="13.5" thickBot="1">
      <c r="A61" s="1197" t="s">
        <v>1487</v>
      </c>
      <c r="B61" s="1165" t="s">
        <v>1488</v>
      </c>
      <c r="C61" s="24">
        <f ca="1">IF(项目基本情况!B11="自然人","——",IF(D61="按租金收入计税",ROUND(C48*F61,2),IF(D61="按房产原值计税",ROUND(C57*F61*0.7,2),INDIRECT("'数据-取费表'!Aj"&amp;$G$1))))</f>
        <v>3913.22</v>
      </c>
      <c r="D61" s="1823" t="s">
        <v>1433</v>
      </c>
      <c r="E61" s="1165" t="s">
        <v>1489</v>
      </c>
      <c r="F61" s="367">
        <f t="shared" si="0"/>
        <v>0.12</v>
      </c>
      <c r="I61" s="1922"/>
      <c r="J61" s="1922"/>
      <c r="K61" s="1922"/>
      <c r="L61" s="1922"/>
      <c r="O61" s="1889" t="s">
        <v>1042</v>
      </c>
      <c r="P61" s="1880" t="str">
        <f>K59</f>
        <v>续建工期及建筑物耐用年限下的土地年期修正系数Kn</v>
      </c>
      <c r="Q61" s="1881" t="e">
        <f ca="1">L59</f>
        <v>#DIV/0!</v>
      </c>
      <c r="R61" s="1881" t="s">
        <v>1564</v>
      </c>
    </row>
    <row r="62" spans="1:18" s="1837" customFormat="1" ht="13.5" thickBot="1">
      <c r="A62" s="1197" t="s">
        <v>1490</v>
      </c>
      <c r="B62" s="1164" t="s">
        <v>1491</v>
      </c>
      <c r="C62" s="25">
        <f ca="1">IF(项目基本情况!B11="自然人","——",ROUND(F62*F63/10000,2))</f>
        <v>11.22</v>
      </c>
      <c r="D62" s="1180" t="s">
        <v>1492</v>
      </c>
      <c r="E62" s="1165" t="s">
        <v>1493</v>
      </c>
      <c r="F62" s="371">
        <f t="shared" si="0"/>
        <v>20</v>
      </c>
      <c r="I62" s="1923" t="s">
        <v>1565</v>
      </c>
      <c r="J62" s="1924" t="s">
        <v>1566</v>
      </c>
      <c r="K62" s="1924" t="s">
        <v>1567</v>
      </c>
      <c r="L62" s="1924" t="s">
        <v>1568</v>
      </c>
      <c r="M62" s="1925" t="s">
        <v>1569</v>
      </c>
      <c r="O62" s="1879" t="s">
        <v>1043</v>
      </c>
      <c r="P62" s="1880" t="s">
        <v>1570</v>
      </c>
      <c r="Q62" s="1881">
        <f ca="1">Q56+Q57</f>
        <v>0</v>
      </c>
      <c r="R62" s="1881" t="s">
        <v>1044</v>
      </c>
    </row>
    <row r="63" spans="1:18" s="1837" customFormat="1" ht="13.5" thickBot="1">
      <c r="A63" s="372"/>
      <c r="B63" s="1171"/>
      <c r="C63" s="29"/>
      <c r="D63" s="1181"/>
      <c r="E63" s="1165" t="s">
        <v>1494</v>
      </c>
      <c r="F63" s="348">
        <f t="shared" ca="1" si="0"/>
        <v>5608.01</v>
      </c>
      <c r="I63" s="1923" t="s">
        <v>1571</v>
      </c>
      <c r="J63" s="1924">
        <v>70</v>
      </c>
      <c r="K63" s="1924">
        <v>50</v>
      </c>
      <c r="L63" s="1924">
        <v>80</v>
      </c>
      <c r="M63" s="1926">
        <v>0.02</v>
      </c>
      <c r="O63" s="1864" t="s">
        <v>1572</v>
      </c>
      <c r="P63" s="1834"/>
      <c r="Q63" s="1834"/>
      <c r="R63" s="1834"/>
    </row>
    <row r="64" spans="1:18" s="1837" customFormat="1" ht="13.5" thickBot="1">
      <c r="A64" s="1197" t="s">
        <v>1495</v>
      </c>
      <c r="B64" s="1165" t="s">
        <v>1496</v>
      </c>
      <c r="C64" s="24">
        <f ca="1">ROUND(C57*F64,1)</f>
        <v>0</v>
      </c>
      <c r="D64" s="1179" t="s">
        <v>1497</v>
      </c>
      <c r="E64" s="1165" t="s">
        <v>1489</v>
      </c>
      <c r="F64" s="374">
        <f t="shared" ca="1" si="0"/>
        <v>0</v>
      </c>
      <c r="I64" s="1923" t="s">
        <v>1573</v>
      </c>
      <c r="J64" s="1924">
        <v>50</v>
      </c>
      <c r="K64" s="1924">
        <v>35</v>
      </c>
      <c r="L64" s="1924">
        <v>60</v>
      </c>
      <c r="M64" s="1925">
        <v>0</v>
      </c>
      <c r="O64" s="1872" t="s">
        <v>1517</v>
      </c>
      <c r="P64" s="1873" t="s">
        <v>1518</v>
      </c>
      <c r="Q64" s="1874" t="s">
        <v>1519</v>
      </c>
      <c r="R64" s="1874" t="s">
        <v>1520</v>
      </c>
    </row>
    <row r="65" spans="1:18" s="1837" customFormat="1" ht="13.5" thickBot="1">
      <c r="A65" s="1197" t="s">
        <v>1498</v>
      </c>
      <c r="B65" s="1165" t="s">
        <v>1448</v>
      </c>
      <c r="C65" s="24">
        <f ca="1">ROUND(C56*F65,1)</f>
        <v>0</v>
      </c>
      <c r="D65" s="1179" t="s">
        <v>1449</v>
      </c>
      <c r="E65" s="1165" t="s">
        <v>1450</v>
      </c>
      <c r="F65" s="376">
        <f t="shared" ca="1" si="0"/>
        <v>0</v>
      </c>
      <c r="I65" s="1923" t="s">
        <v>1574</v>
      </c>
      <c r="J65" s="1924">
        <v>40</v>
      </c>
      <c r="K65" s="1924">
        <v>30</v>
      </c>
      <c r="L65" s="1924">
        <v>50</v>
      </c>
      <c r="M65" s="1926">
        <v>0.02</v>
      </c>
      <c r="O65" s="1879" t="s">
        <v>1037</v>
      </c>
      <c r="P65" s="1880" t="s">
        <v>1575</v>
      </c>
      <c r="Q65" s="1881">
        <f ca="1">C40+J29</f>
        <v>0</v>
      </c>
      <c r="R65" s="1881" t="s">
        <v>1524</v>
      </c>
    </row>
    <row r="66" spans="1:18" s="1837" customFormat="1" ht="16.5" thickBot="1">
      <c r="A66" s="1197" t="s">
        <v>1499</v>
      </c>
      <c r="B66" s="1165" t="s">
        <v>1434</v>
      </c>
      <c r="C66" s="24">
        <f ca="1">ROUND(C48*F66,1)</f>
        <v>0</v>
      </c>
      <c r="D66" s="1179" t="s">
        <v>1500</v>
      </c>
      <c r="E66" s="1165" t="s">
        <v>1417</v>
      </c>
      <c r="F66" s="357">
        <f t="shared" ca="1" si="0"/>
        <v>0</v>
      </c>
      <c r="O66" s="1879" t="s">
        <v>1038</v>
      </c>
      <c r="P66" s="1880" t="s">
        <v>1553</v>
      </c>
      <c r="Q66" s="1881">
        <f ca="1">L60</f>
        <v>0</v>
      </c>
      <c r="R66" s="1881" t="s">
        <v>1576</v>
      </c>
    </row>
    <row r="67" spans="1:18" s="1837" customFormat="1" ht="16.5" thickBot="1">
      <c r="A67" s="1172" t="s">
        <v>1028</v>
      </c>
      <c r="B67" s="1182" t="s">
        <v>1458</v>
      </c>
      <c r="C67" s="361">
        <f ca="1">C48-C58</f>
        <v>-3924</v>
      </c>
      <c r="D67" s="1178" t="s">
        <v>1459</v>
      </c>
      <c r="E67" s="1183"/>
      <c r="F67" s="1184"/>
      <c r="O67" s="1889" t="s">
        <v>1039</v>
      </c>
      <c r="P67" s="1880" t="s">
        <v>1557</v>
      </c>
      <c r="Q67" s="1927">
        <f ca="1">L51</f>
        <v>-173</v>
      </c>
      <c r="R67" s="1881" t="s">
        <v>1577</v>
      </c>
    </row>
    <row r="68" spans="1:18" s="1837" customFormat="1" ht="16.5" thickBot="1">
      <c r="A68" s="1162" t="s">
        <v>1029</v>
      </c>
      <c r="B68" s="1163" t="s">
        <v>1480</v>
      </c>
      <c r="C68" s="346">
        <f ca="1">ROUND(C67*(1-((1+F70)/(1+F68))^F69)/(F68-F70),0)</f>
        <v>0</v>
      </c>
      <c r="D68" s="1180" t="s">
        <v>1464</v>
      </c>
      <c r="E68" s="1165" t="s">
        <v>1465</v>
      </c>
      <c r="F68" s="357">
        <f ca="1">F40</f>
        <v>5.5E-2</v>
      </c>
      <c r="O68" s="1889" t="s">
        <v>1040</v>
      </c>
      <c r="P68" s="1928" t="s">
        <v>1578</v>
      </c>
      <c r="Q68" s="1881">
        <f ca="1">ROUND(Q69-Q70*Q71,0)</f>
        <v>-11</v>
      </c>
      <c r="R68" s="1881" t="s">
        <v>1048</v>
      </c>
    </row>
    <row r="69" spans="1:18" s="1837" customFormat="1" ht="13.5" thickBot="1">
      <c r="A69" s="1166"/>
      <c r="B69" s="1167"/>
      <c r="C69" s="351"/>
      <c r="D69" s="1185" t="s">
        <v>1468</v>
      </c>
      <c r="E69" s="1165" t="s">
        <v>1469</v>
      </c>
      <c r="F69" s="379">
        <f ca="1">F41</f>
        <v>0</v>
      </c>
      <c r="O69" s="1889" t="s">
        <v>1045</v>
      </c>
      <c r="P69" s="1928" t="s">
        <v>1579</v>
      </c>
      <c r="Q69" s="1881">
        <f ca="1">C39</f>
        <v>-11</v>
      </c>
      <c r="R69" s="1881" t="s">
        <v>1524</v>
      </c>
    </row>
    <row r="70" spans="1:18" s="1837" customFormat="1" ht="13.5" thickBot="1">
      <c r="A70" s="1169"/>
      <c r="B70" s="1170"/>
      <c r="C70" s="355"/>
      <c r="D70" s="1181"/>
      <c r="E70" s="1165" t="s">
        <v>1472</v>
      </c>
      <c r="F70" s="1271"/>
      <c r="O70" s="1889" t="s">
        <v>1046</v>
      </c>
      <c r="P70" s="1928" t="s">
        <v>1580</v>
      </c>
      <c r="Q70" s="1881">
        <f ca="1">C13</f>
        <v>0</v>
      </c>
      <c r="R70" s="1881" t="s">
        <v>1524</v>
      </c>
    </row>
    <row r="71" spans="1:18" s="1837" customFormat="1" ht="13.5" thickBot="1">
      <c r="A71" s="1186" t="s">
        <v>1030</v>
      </c>
      <c r="B71" s="1187" t="s">
        <v>1482</v>
      </c>
      <c r="C71" s="382">
        <f ca="1">ROUND(C68*10000/F71,0)</f>
        <v>0</v>
      </c>
      <c r="D71" s="1188" t="s">
        <v>1483</v>
      </c>
      <c r="E71" s="1189" t="s">
        <v>1484</v>
      </c>
      <c r="F71" s="385">
        <f ca="1">F43</f>
        <v>81667.509999999995</v>
      </c>
      <c r="O71" s="1889" t="s">
        <v>1047</v>
      </c>
      <c r="P71" s="1928" t="s">
        <v>1581</v>
      </c>
      <c r="Q71" s="1892">
        <f ca="1">C76</f>
        <v>0</v>
      </c>
      <c r="R71" s="1881"/>
    </row>
    <row r="72" spans="1:18" s="1837" customFormat="1" ht="13.5" thickBot="1">
      <c r="B72" s="794"/>
      <c r="C72" s="794"/>
      <c r="O72" s="1889" t="s">
        <v>1041</v>
      </c>
      <c r="P72" s="1880" t="s">
        <v>1559</v>
      </c>
      <c r="Q72" s="1892">
        <f>L52</f>
        <v>0</v>
      </c>
      <c r="R72" s="1881"/>
    </row>
    <row r="73" spans="1:18" ht="16.5" thickBot="1">
      <c r="A73" s="1837"/>
      <c r="B73" s="794"/>
      <c r="C73" s="794"/>
      <c r="D73" s="1837"/>
      <c r="E73" s="1837"/>
      <c r="F73" s="1837"/>
      <c r="O73" s="1889" t="s">
        <v>1042</v>
      </c>
      <c r="P73" s="1880" t="s">
        <v>1562</v>
      </c>
      <c r="Q73" s="1881" t="e">
        <f ca="1">L58</f>
        <v>#DIV/0!</v>
      </c>
      <c r="R73" s="1881" t="s">
        <v>1563</v>
      </c>
    </row>
    <row r="74" spans="1:18" ht="13.5" thickBot="1">
      <c r="A74" s="1837"/>
      <c r="B74" s="317" t="s">
        <v>1582</v>
      </c>
      <c r="C74" s="1930"/>
      <c r="D74" s="1837"/>
      <c r="E74" s="1837"/>
      <c r="F74" s="1837"/>
      <c r="O74" s="1889" t="s">
        <v>1049</v>
      </c>
      <c r="P74" s="1880" t="str">
        <f>K59</f>
        <v>续建工期及建筑物耐用年限下的土地年期修正系数Kn</v>
      </c>
      <c r="Q74" s="1881" t="e">
        <f ca="1">L59</f>
        <v>#DIV/0!</v>
      </c>
      <c r="R74" s="1881" t="s">
        <v>1564</v>
      </c>
    </row>
    <row r="75" spans="1:18" ht="13.5" thickBot="1">
      <c r="A75" s="1837"/>
      <c r="B75" s="386" t="s">
        <v>1501</v>
      </c>
      <c r="C75" s="387">
        <f ca="1">ROUND(C13*C76,0)</f>
        <v>0</v>
      </c>
      <c r="D75" s="1837"/>
      <c r="E75" s="1837"/>
      <c r="F75" s="1837"/>
      <c r="K75" s="1863"/>
      <c r="L75" s="1837"/>
      <c r="O75" s="1879" t="s">
        <v>1043</v>
      </c>
      <c r="P75" s="1880" t="s">
        <v>1544</v>
      </c>
      <c r="Q75" s="1881">
        <f ca="1">Q65+Q66</f>
        <v>0</v>
      </c>
      <c r="R75" s="1881" t="s">
        <v>1044</v>
      </c>
    </row>
    <row r="76" spans="1:18">
      <c r="B76" s="388" t="s">
        <v>1502</v>
      </c>
      <c r="C76" s="389">
        <f ca="1">INDIRECT("'数据-取费表'!j"&amp;$G$1)</f>
        <v>0</v>
      </c>
      <c r="I76" s="1837"/>
      <c r="J76" s="1837"/>
      <c r="K76" s="1863"/>
      <c r="L76" s="1837"/>
    </row>
    <row r="77" spans="1:18">
      <c r="B77" s="390" t="s">
        <v>1503</v>
      </c>
      <c r="C77" s="391"/>
      <c r="I77" s="1837"/>
      <c r="J77" s="1837"/>
      <c r="K77" s="1863"/>
      <c r="L77" s="1837"/>
    </row>
    <row r="78" spans="1:18">
      <c r="B78" s="314" t="s">
        <v>1504</v>
      </c>
      <c r="C78" s="392"/>
    </row>
    <row r="79" spans="1:18">
      <c r="B79" s="386" t="s">
        <v>1505</v>
      </c>
      <c r="C79" s="318">
        <f ca="1">1-C80</f>
        <v>1</v>
      </c>
    </row>
    <row r="80" spans="1:18">
      <c r="B80" s="386" t="s">
        <v>1506</v>
      </c>
      <c r="C80" s="318">
        <f ca="1">ROUND(C75/C39,3)</f>
        <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3" priority="56">
      <formula>$L$48&gt;$J$51</formula>
    </cfRule>
  </conditionalFormatting>
  <conditionalFormatting sqref="I55 I60">
    <cfRule type="expression" dxfId="92" priority="57">
      <formula>$J$51&gt;$L$48</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4">
    <cfRule type="expression" dxfId="8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28" sqref="D28"/>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80"/>
      <c r="C1" s="1832" t="s">
        <v>48</v>
      </c>
      <c r="D1" s="1815" t="s">
        <v>3073</v>
      </c>
      <c r="E1" s="1816" t="s">
        <v>1382</v>
      </c>
      <c r="F1" s="1279">
        <f ca="1">J53</f>
        <v>29.77</v>
      </c>
      <c r="G1" s="1831">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1510</v>
      </c>
      <c r="B2" s="1839">
        <f ca="1">C40+J29+L46</f>
        <v>41971</v>
      </c>
      <c r="C2" s="1840" t="s">
        <v>1511</v>
      </c>
      <c r="D2" s="1840"/>
      <c r="E2" s="1841"/>
      <c r="F2" s="1842"/>
      <c r="G2" s="1843"/>
      <c r="H2" s="1835"/>
      <c r="I2" s="1835"/>
      <c r="J2" s="1835"/>
      <c r="K2" s="1836"/>
      <c r="L2" s="1835"/>
      <c r="M2" s="1835"/>
    </row>
    <row r="3" spans="1:37" ht="18" customHeight="1" thickBot="1">
      <c r="A3" s="1844" t="s">
        <v>1512</v>
      </c>
      <c r="B3" s="1845">
        <f ca="1">IF(ISERROR(B2*10000/F43),0,ROUND(B2*10000/F43,0))</f>
        <v>3637</v>
      </c>
      <c r="C3" s="1840" t="s">
        <v>1513</v>
      </c>
      <c r="D3" s="1840"/>
      <c r="E3" s="1841"/>
      <c r="F3" s="1842"/>
      <c r="G3" s="1843"/>
      <c r="H3" s="742" t="s">
        <v>1583</v>
      </c>
      <c r="I3" s="1835"/>
      <c r="J3" s="1835"/>
      <c r="K3" s="1836"/>
      <c r="L3" s="1835"/>
      <c r="M3" s="1835"/>
    </row>
    <row r="4" spans="1:37" ht="18" customHeight="1">
      <c r="A4" s="340" t="s">
        <v>1391</v>
      </c>
      <c r="B4" s="341" t="s">
        <v>1392</v>
      </c>
      <c r="C4" s="341" t="s">
        <v>1393</v>
      </c>
      <c r="D4" s="341" t="s">
        <v>1394</v>
      </c>
      <c r="E4" s="342" t="s">
        <v>1395</v>
      </c>
      <c r="F4" s="343"/>
      <c r="G4" s="1846"/>
      <c r="H4" s="340" t="s">
        <v>1391</v>
      </c>
      <c r="I4" s="341" t="s">
        <v>1392</v>
      </c>
      <c r="J4" s="341" t="s">
        <v>1393</v>
      </c>
      <c r="K4" s="341" t="s">
        <v>1394</v>
      </c>
      <c r="L4" s="342" t="s">
        <v>1395</v>
      </c>
      <c r="M4" s="343"/>
    </row>
    <row r="5" spans="1:37" ht="18" customHeight="1">
      <c r="A5" s="344">
        <v>1</v>
      </c>
      <c r="B5" s="345" t="s">
        <v>1396</v>
      </c>
      <c r="C5" s="1288">
        <f ca="1">C6+C10+C12</f>
        <v>3001</v>
      </c>
      <c r="D5" s="1817" t="s">
        <v>1397</v>
      </c>
      <c r="E5" s="1289"/>
      <c r="F5" s="1290"/>
      <c r="G5" s="1846"/>
      <c r="H5" s="344">
        <v>1</v>
      </c>
      <c r="I5" s="345" t="s">
        <v>1396</v>
      </c>
      <c r="J5" s="1288">
        <f ca="1">J6+J10+J12</f>
        <v>0</v>
      </c>
      <c r="K5" s="1817" t="s">
        <v>1397</v>
      </c>
      <c r="L5" s="1289"/>
      <c r="M5" s="1290"/>
    </row>
    <row r="6" spans="1:37" ht="18" customHeight="1">
      <c r="A6" s="1287" t="s">
        <v>1032</v>
      </c>
      <c r="B6" s="3332" t="s">
        <v>1398</v>
      </c>
      <c r="C6" s="1292">
        <f ca="1">ROUND(F6*F8*F7*(1-F9)/10000,0)</f>
        <v>3001</v>
      </c>
      <c r="D6" s="164" t="s">
        <v>3024</v>
      </c>
      <c r="E6" s="347" t="s">
        <v>1400</v>
      </c>
      <c r="F6" s="348">
        <f ca="1">INDIRECT("'数据-取费表'!u"&amp;$G$1)</f>
        <v>0.75</v>
      </c>
      <c r="G6" s="1846"/>
      <c r="H6" s="1287" t="s">
        <v>1032</v>
      </c>
      <c r="I6" s="3332" t="s">
        <v>1398</v>
      </c>
      <c r="J6" s="346">
        <f ca="1">ROUND(M6*M8*M7*(1-M9)/10000,0)</f>
        <v>0</v>
      </c>
      <c r="K6" s="164" t="s">
        <v>3023</v>
      </c>
      <c r="L6" s="347" t="s">
        <v>1400</v>
      </c>
      <c r="M6" s="348">
        <f ca="1">INDIRECT("'数据-取费表'!z"&amp;$G$1)</f>
        <v>0</v>
      </c>
    </row>
    <row r="7" spans="1:37" ht="18" customHeight="1">
      <c r="A7" s="1291"/>
      <c r="B7" s="3333"/>
      <c r="C7" s="1293"/>
      <c r="D7" s="352"/>
      <c r="E7" s="2954" t="s">
        <v>1401</v>
      </c>
      <c r="F7" s="348">
        <f ca="1">IF(INDIRECT("'数据-取费表'!ah"&amp;$G$1)="",INDIRECT("'数据-取费表'!k"&amp;$G$1),INDIRECT("'数据-取费表'!ah"&amp;$G$1))</f>
        <v>115386.06</v>
      </c>
      <c r="G7" s="1846"/>
      <c r="H7" s="349"/>
      <c r="I7" s="3333"/>
      <c r="J7" s="351"/>
      <c r="K7" s="352"/>
      <c r="L7" s="347" t="s">
        <v>1401</v>
      </c>
      <c r="M7" s="348">
        <f ca="1">F7</f>
        <v>115386.06</v>
      </c>
    </row>
    <row r="8" spans="1:37" ht="18" customHeight="1">
      <c r="A8" s="349"/>
      <c r="B8" s="3333"/>
      <c r="C8" s="351"/>
      <c r="D8" s="352"/>
      <c r="E8" s="347" t="s">
        <v>1402</v>
      </c>
      <c r="F8" s="348">
        <f ca="1">INDIRECT("'数据-取费表'!ai"&amp;$G$1)</f>
        <v>365</v>
      </c>
      <c r="G8" s="1846"/>
      <c r="H8" s="349"/>
      <c r="I8" s="3333"/>
      <c r="J8" s="351"/>
      <c r="K8" s="352"/>
      <c r="L8" s="347" t="s">
        <v>1402</v>
      </c>
      <c r="M8" s="348">
        <f ca="1">INDIRECT("'数据-取费表'!ai"&amp;$G$1)</f>
        <v>365</v>
      </c>
    </row>
    <row r="9" spans="1:37" ht="18" customHeight="1">
      <c r="A9" s="349"/>
      <c r="B9" s="3334"/>
      <c r="C9" s="351"/>
      <c r="D9" s="352"/>
      <c r="E9" s="347" t="s">
        <v>1403</v>
      </c>
      <c r="F9" s="357">
        <f ca="1">INDIRECT("'数据-取费表'!w"&amp;$G$1)</f>
        <v>0.05</v>
      </c>
      <c r="G9" s="1846"/>
      <c r="H9" s="349"/>
      <c r="I9" s="3334"/>
      <c r="J9" s="351"/>
      <c r="K9" s="352"/>
      <c r="L9" s="358" t="s">
        <v>1403</v>
      </c>
      <c r="M9" s="359">
        <f ca="1">INDIRECT("'数据-取费表'!ab"&amp;$G$1)</f>
        <v>0</v>
      </c>
    </row>
    <row r="10" spans="1:37" ht="18" customHeight="1">
      <c r="A10" s="1287" t="s">
        <v>1036</v>
      </c>
      <c r="B10" s="1818" t="s">
        <v>1404</v>
      </c>
      <c r="C10" s="361">
        <f ca="1">ROUND(IF(F10="押一",C6/12*F11,IF(F10="押二",C6/12*2*F11,IF(F10="押三",C6/12*3*F11,C11*F11))),0)</f>
        <v>0</v>
      </c>
      <c r="D10" s="1819" t="s">
        <v>3032</v>
      </c>
      <c r="E10" s="358" t="s">
        <v>1405</v>
      </c>
      <c r="F10" s="1362"/>
      <c r="G10" s="1846"/>
      <c r="H10" s="1287" t="s">
        <v>1036</v>
      </c>
      <c r="I10" s="1818" t="s">
        <v>1404</v>
      </c>
      <c r="J10" s="346">
        <f ca="1">ROUND(IF(M10="押一",J6/12*M11,IF(M10="押二",J6/12*2*M11,IF(M10="押三",J6/12*3*M11,J11*M11))),0)</f>
        <v>0</v>
      </c>
      <c r="K10" s="1819" t="s">
        <v>3032</v>
      </c>
      <c r="L10" s="358" t="s">
        <v>1405</v>
      </c>
      <c r="M10" s="1362" t="s">
        <v>1406</v>
      </c>
    </row>
    <row r="11" spans="1:37" ht="18" customHeight="1">
      <c r="A11" s="353"/>
      <c r="B11" s="1820" t="s">
        <v>1383</v>
      </c>
      <c r="C11" s="1174"/>
      <c r="D11" s="1821"/>
      <c r="E11" s="358" t="s">
        <v>1407</v>
      </c>
      <c r="F11" s="359">
        <f ca="1">'数据-取费表'!B39</f>
        <v>1.4999999999999999E-2</v>
      </c>
      <c r="G11" s="1846"/>
      <c r="H11" s="1295"/>
      <c r="I11" s="1820" t="s">
        <v>1383</v>
      </c>
      <c r="J11" s="1174"/>
      <c r="K11" s="746"/>
      <c r="L11" s="358" t="s">
        <v>1407</v>
      </c>
      <c r="M11" s="1052">
        <f ca="1">'数据-取费表'!B39</f>
        <v>1.4999999999999999E-2</v>
      </c>
    </row>
    <row r="12" spans="1:37" ht="18" customHeight="1" thickBot="1">
      <c r="A12" s="1329" t="s">
        <v>1072</v>
      </c>
      <c r="B12" s="1822" t="s">
        <v>1408</v>
      </c>
      <c r="C12" s="1330"/>
      <c r="D12" s="1331"/>
      <c r="E12" s="1336"/>
      <c r="F12" s="1332"/>
      <c r="G12" s="1846"/>
      <c r="H12" s="1329" t="s">
        <v>1072</v>
      </c>
      <c r="I12" s="1822" t="s">
        <v>1408</v>
      </c>
      <c r="J12" s="1330"/>
      <c r="K12" s="1344"/>
      <c r="L12" s="1336"/>
      <c r="M12" s="1345"/>
    </row>
    <row r="13" spans="1:37" ht="18" customHeight="1" thickTop="1">
      <c r="A13" s="1325">
        <v>2</v>
      </c>
      <c r="B13" s="1326" t="s">
        <v>1409</v>
      </c>
      <c r="C13" s="355">
        <f ca="1">ROUND(C29*F13,0)</f>
        <v>59254</v>
      </c>
      <c r="D13" s="1327" t="s">
        <v>1410</v>
      </c>
      <c r="E13" s="1327" t="s">
        <v>1411</v>
      </c>
      <c r="F13" s="1328">
        <f ca="1">INDIRECT("'数据-取费表'!y"&amp;$G$1)</f>
        <v>1</v>
      </c>
      <c r="G13" s="1846"/>
      <c r="H13" s="1325">
        <v>2</v>
      </c>
      <c r="I13" s="1326" t="s">
        <v>1409</v>
      </c>
      <c r="J13" s="1286">
        <f ca="1">ROUND(J14*J15,0)</f>
        <v>0</v>
      </c>
      <c r="K13" s="1333" t="s">
        <v>1410</v>
      </c>
      <c r="L13" s="1847"/>
      <c r="M13" s="1848"/>
    </row>
    <row r="14" spans="1:37" ht="18" customHeight="1">
      <c r="A14" s="1197" t="s">
        <v>1031</v>
      </c>
      <c r="B14" s="347" t="s">
        <v>1412</v>
      </c>
      <c r="C14" s="363">
        <f ca="1">INDIRECT("'数据-取费表'!m"&amp;$G$1)+INDIRECT("'数据-取费表'!t"&amp;$G$1)</f>
        <v>41720</v>
      </c>
      <c r="D14" s="2947" t="s">
        <v>1413</v>
      </c>
      <c r="E14" s="2945"/>
      <c r="F14" s="364"/>
      <c r="G14" s="1846"/>
      <c r="H14" s="1197" t="s">
        <v>1032</v>
      </c>
      <c r="I14" s="347" t="s">
        <v>1414</v>
      </c>
      <c r="J14" s="24">
        <f ca="1">C29</f>
        <v>59254</v>
      </c>
      <c r="K14" s="2953"/>
      <c r="L14" s="975"/>
      <c r="M14" s="976"/>
    </row>
    <row r="15" spans="1:37" s="1853" customFormat="1" ht="18" customHeight="1" thickBot="1">
      <c r="A15" s="1197" t="s">
        <v>1033</v>
      </c>
      <c r="B15" s="347" t="s">
        <v>1415</v>
      </c>
      <c r="C15" s="24">
        <f ca="1">ROUND(C14*F15,0)</f>
        <v>2086</v>
      </c>
      <c r="D15" s="365" t="s">
        <v>1416</v>
      </c>
      <c r="E15" s="365" t="s">
        <v>1417</v>
      </c>
      <c r="F15" s="366">
        <f>'数据-取费表'!B33</f>
        <v>0.05</v>
      </c>
      <c r="G15" s="1849"/>
      <c r="H15" s="1335" t="s">
        <v>1036</v>
      </c>
      <c r="I15" s="1336" t="s">
        <v>1411</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1384</v>
      </c>
      <c r="B16" s="347" t="s">
        <v>1418</v>
      </c>
      <c r="C16" s="24">
        <f ca="1">ROUND(INDIRECT("'数据-取费表'!m"&amp;$G$1)*F16,0)</f>
        <v>0</v>
      </c>
      <c r="D16" s="347" t="s">
        <v>1416</v>
      </c>
      <c r="E16" s="347" t="s">
        <v>1417</v>
      </c>
      <c r="F16" s="367">
        <f ca="1">IF(INDIRECT("'数据-取费表'!c"&amp;$G$1)="住宅",'数据-取费表'!B34,0)</f>
        <v>0</v>
      </c>
      <c r="G16" s="1846"/>
      <c r="H16" s="1325" t="s">
        <v>1027</v>
      </c>
      <c r="I16" s="1326" t="s">
        <v>1419</v>
      </c>
      <c r="J16" s="355">
        <f ca="1">ROUND(J17+J22+J23+J24,0)</f>
        <v>1106</v>
      </c>
      <c r="K16" s="1333" t="s">
        <v>1420</v>
      </c>
      <c r="L16" s="2948"/>
      <c r="M16" s="1290"/>
    </row>
    <row r="17" spans="1:37" s="1853" customFormat="1" ht="18" customHeight="1">
      <c r="A17" s="1197" t="s">
        <v>1385</v>
      </c>
      <c r="B17" s="347" t="s">
        <v>1421</v>
      </c>
      <c r="C17" s="24">
        <f ca="1">ROUND(F17*(F43+INDIRECT("'数据-取费表'!S"&amp;$G$1))/10000,0)</f>
        <v>2384</v>
      </c>
      <c r="D17" s="347" t="s">
        <v>1422</v>
      </c>
      <c r="E17" s="347" t="s">
        <v>1423</v>
      </c>
      <c r="F17" s="26">
        <f>'数据-取费表'!B35</f>
        <v>200</v>
      </c>
      <c r="G17" s="1849"/>
      <c r="H17" s="1197" t="s">
        <v>1032</v>
      </c>
      <c r="I17" s="347" t="s">
        <v>1424</v>
      </c>
      <c r="J17" s="24">
        <f ca="1">ROUND(IF(项目基本情况!B11="自然人",J6*M17/(1+'数据-取费表'!C42),J18+J19+J20),1)</f>
        <v>513.6</v>
      </c>
      <c r="K17" s="2947" t="s">
        <v>1425</v>
      </c>
      <c r="L17" s="2946"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1386</v>
      </c>
      <c r="B18" s="347" t="s">
        <v>1427</v>
      </c>
      <c r="C18" s="24">
        <f ca="1">ROUND(C14*F18,0)</f>
        <v>626</v>
      </c>
      <c r="D18" s="347" t="s">
        <v>1416</v>
      </c>
      <c r="E18" s="347" t="s">
        <v>1417</v>
      </c>
      <c r="F18" s="367">
        <f>'数据-取费表'!B36</f>
        <v>1.4999999999999999E-2</v>
      </c>
      <c r="G18" s="1849"/>
      <c r="H18" s="1197" t="s">
        <v>1031</v>
      </c>
      <c r="I18" s="347" t="s">
        <v>1428</v>
      </c>
      <c r="J18" s="24">
        <f ca="1">ROUND(J6*M18/(1+'数据-取费表'!C42),2)</f>
        <v>0</v>
      </c>
      <c r="K18" s="2946"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1032</v>
      </c>
      <c r="B19" s="347" t="s">
        <v>1430</v>
      </c>
      <c r="C19" s="24">
        <f ca="1">SUM(C14:C18)</f>
        <v>46816</v>
      </c>
      <c r="D19" s="140" t="s">
        <v>1431</v>
      </c>
      <c r="E19" s="2952"/>
      <c r="F19" s="26"/>
      <c r="G19" s="1846"/>
      <c r="H19" s="1197" t="s">
        <v>1033</v>
      </c>
      <c r="I19" s="347" t="s">
        <v>1432</v>
      </c>
      <c r="J19" s="24">
        <f ca="1">IF(K19="按租金收入计税",ROUND(J6*M19/(1+'数据-取费表'!C42),2),ROUND(C29*M19*0.7,2))</f>
        <v>497.73</v>
      </c>
      <c r="K19" s="1823" t="s">
        <v>1433</v>
      </c>
      <c r="L19" s="347" t="s">
        <v>1417</v>
      </c>
      <c r="M19" s="367">
        <f>IF(K19="按租金收入计税",'数据-取费表'!B51,'数据-取费表'!B50)</f>
        <v>1.2E-2</v>
      </c>
    </row>
    <row r="20" spans="1:37" s="1853" customFormat="1" ht="18" customHeight="1">
      <c r="A20" s="1197" t="s">
        <v>1036</v>
      </c>
      <c r="B20" s="347" t="s">
        <v>1434</v>
      </c>
      <c r="C20" s="24">
        <f ca="1">ROUND(C19*F20,0)</f>
        <v>1170</v>
      </c>
      <c r="D20" s="369" t="s">
        <v>1435</v>
      </c>
      <c r="E20" s="347" t="s">
        <v>1417</v>
      </c>
      <c r="F20" s="367">
        <f>'数据-取费表'!B37</f>
        <v>2.5000000000000001E-2</v>
      </c>
      <c r="G20" s="1849"/>
      <c r="H20" s="1197" t="s">
        <v>1384</v>
      </c>
      <c r="I20" s="164" t="s">
        <v>1436</v>
      </c>
      <c r="J20" s="25">
        <f ca="1">ROUND(M20*M21/10000,2)</f>
        <v>15.85</v>
      </c>
      <c r="K20" s="370" t="s">
        <v>1437</v>
      </c>
      <c r="L20" s="347" t="s">
        <v>1438</v>
      </c>
      <c r="M20" s="371">
        <f>'数据-取费表'!B52</f>
        <v>20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1072</v>
      </c>
      <c r="B21" s="347" t="s">
        <v>1439</v>
      </c>
      <c r="C21" s="24" t="s">
        <v>18</v>
      </c>
      <c r="D21" s="369" t="s">
        <v>1440</v>
      </c>
      <c r="E21" s="347" t="s">
        <v>1441</v>
      </c>
      <c r="F21" s="367">
        <f>'数据-取费表'!B38</f>
        <v>0.03</v>
      </c>
      <c r="G21" s="1849"/>
      <c r="H21" s="372"/>
      <c r="I21" s="356"/>
      <c r="J21" s="29"/>
      <c r="K21" s="373"/>
      <c r="L21" s="347" t="s">
        <v>1442</v>
      </c>
      <c r="M21" s="348">
        <f ca="1">INDIRECT("'数据-取费表'!r"&amp;$G$1)</f>
        <v>7923.4199999999992</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1387</v>
      </c>
      <c r="B22" s="347" t="s">
        <v>1443</v>
      </c>
      <c r="C22" s="24"/>
      <c r="D22" s="140" t="str">
        <f>IF(F23&lt;=1,"单利计息。","复利计息。")&amp;"建造成本、管理费用、销售费用产生的利息。"</f>
        <v>复利计息。建造成本、管理费用、销售费用产生的利息。</v>
      </c>
      <c r="E22" s="2952"/>
      <c r="F22" s="26"/>
      <c r="G22" s="1846"/>
      <c r="H22" s="1197" t="s">
        <v>1036</v>
      </c>
      <c r="I22" s="347" t="s">
        <v>1444</v>
      </c>
      <c r="J22" s="24">
        <f ca="1">ROUND(J14*M22,1)</f>
        <v>592.5</v>
      </c>
      <c r="K22" s="2946" t="s">
        <v>1445</v>
      </c>
      <c r="L22" s="347" t="s">
        <v>1417</v>
      </c>
      <c r="M22" s="374">
        <f ca="1">INDIRECT("'数据-取费表'!Ak"&amp;$G$1)</f>
        <v>0.01</v>
      </c>
    </row>
    <row r="23" spans="1:37" s="1853" customFormat="1" ht="18" customHeight="1">
      <c r="A23" s="1197" t="s">
        <v>1031</v>
      </c>
      <c r="B23" s="347" t="s">
        <v>1446</v>
      </c>
      <c r="C23" s="24">
        <f ca="1">IF('数据-取费表'!B22&lt;=1,ROUND(C19*F24*F23/2,0)+ROUND(C20*F24*F23/2,0),ROUND(C19*(POWER((1+F24),F23/2)-1),0)+ROUND(C20*(POWER((1+F24),F23/2)-1),0))</f>
        <v>4667</v>
      </c>
      <c r="D23" s="375" t="str">
        <f>IF(F23&lt;=1,"(建造成本+管理费用)×利率×(建设周期÷2)","(建造成本+管理费用)×((1+利率)^(建设周期÷2)-1)")</f>
        <v>(建造成本+管理费用)×((1+利率)^(建设周期÷2)-1)</v>
      </c>
      <c r="E23" s="347" t="s">
        <v>1447</v>
      </c>
      <c r="F23" s="371">
        <f>'数据-取费表'!B20</f>
        <v>4</v>
      </c>
      <c r="G23" s="1849"/>
      <c r="H23" s="1197" t="s">
        <v>1072</v>
      </c>
      <c r="I23" s="347" t="s">
        <v>1448</v>
      </c>
      <c r="J23" s="24">
        <f ca="1">ROUND(J13*M23,1)</f>
        <v>0</v>
      </c>
      <c r="K23" s="2946" t="s">
        <v>1449</v>
      </c>
      <c r="L23" s="347" t="s">
        <v>1417</v>
      </c>
      <c r="M23" s="376">
        <f ca="1">INDIRECT("'数据-取费表'!Al"&amp;$G$1)</f>
        <v>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1033</v>
      </c>
      <c r="B24" s="347" t="s">
        <v>1452</v>
      </c>
      <c r="C24" s="24">
        <f ca="1">ROUND(IF('数据-取费表'!B22&lt;=1,F21*F24*F23/2,F21*(POWER((1+F24),F23/2)-1)),4)</f>
        <v>2.8999999999999998E-3</v>
      </c>
      <c r="D24" s="375" t="str">
        <f>IF(F23&lt;=1,"销售费用×利率×(建设周期÷2)","销售费用×((1+利率)^(建设周期÷2)-1)")</f>
        <v>销售费用×((1+利率)^(建设周期÷2)-1)</v>
      </c>
      <c r="E24" s="347" t="s">
        <v>1453</v>
      </c>
      <c r="F24" s="377">
        <f ca="1">'数据-取费表'!B40</f>
        <v>4.7500000000000001E-2</v>
      </c>
      <c r="G24" s="1849"/>
      <c r="H24" s="1335" t="s">
        <v>1387</v>
      </c>
      <c r="I24" s="1336" t="s">
        <v>1434</v>
      </c>
      <c r="J24" s="1337">
        <f ca="1">ROUND(J5*M24,1)</f>
        <v>0</v>
      </c>
      <c r="K24" s="1338" t="s">
        <v>1454</v>
      </c>
      <c r="L24" s="1336" t="s">
        <v>1417</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1455</v>
      </c>
      <c r="B25" s="347" t="s">
        <v>1456</v>
      </c>
      <c r="C25" s="24"/>
      <c r="D25" s="140" t="s">
        <v>1457</v>
      </c>
      <c r="E25" s="2952"/>
      <c r="F25" s="26"/>
      <c r="G25" s="1846"/>
      <c r="H25" s="1325" t="s">
        <v>1028</v>
      </c>
      <c r="I25" s="1340" t="s">
        <v>1458</v>
      </c>
      <c r="J25" s="355">
        <f ca="1">J5-J16</f>
        <v>-1106</v>
      </c>
      <c r="K25" s="1341" t="s">
        <v>1459</v>
      </c>
      <c r="L25" s="1342"/>
      <c r="M25" s="1343"/>
    </row>
    <row r="26" spans="1:37">
      <c r="A26" s="1197" t="s">
        <v>1031</v>
      </c>
      <c r="B26" s="347" t="s">
        <v>1460</v>
      </c>
      <c r="C26" s="24">
        <f ca="1">ROUND((C19+C20)*F26,0)</f>
        <v>1440</v>
      </c>
      <c r="D26" s="369" t="s">
        <v>1461</v>
      </c>
      <c r="E26" s="358" t="s">
        <v>1462</v>
      </c>
      <c r="F26" s="357">
        <f ca="1">INDIRECT("'数据-取费表'!q"&amp;$G$1)</f>
        <v>0.03</v>
      </c>
      <c r="G26" s="1846"/>
      <c r="H26" s="344" t="s">
        <v>1029</v>
      </c>
      <c r="I26" s="345" t="s">
        <v>1463</v>
      </c>
      <c r="J26" s="346">
        <f ca="1">IF(J5&lt;&gt;0,ROUND(J25*(1-((1+M28)/(1+M26))^M27)/(M26-M28),0),0)</f>
        <v>0</v>
      </c>
      <c r="K26" s="370" t="s">
        <v>1464</v>
      </c>
      <c r="L26" s="347" t="s">
        <v>1465</v>
      </c>
      <c r="M26" s="357">
        <f ca="1">INDIRECT("'数据-取费表'!I"&amp;$G$1)</f>
        <v>4.4999999999999998E-2</v>
      </c>
    </row>
    <row r="27" spans="1:37" ht="18" customHeight="1">
      <c r="A27" s="1197" t="s">
        <v>1033</v>
      </c>
      <c r="B27" s="347" t="s">
        <v>1466</v>
      </c>
      <c r="C27" s="24">
        <f ca="1">ROUND(F21*F26,4)</f>
        <v>8.9999999999999998E-4</v>
      </c>
      <c r="D27" s="369" t="s">
        <v>1467</v>
      </c>
      <c r="E27" s="365"/>
      <c r="F27" s="366"/>
      <c r="G27" s="1846"/>
      <c r="H27" s="349"/>
      <c r="I27" s="350"/>
      <c r="J27" s="351"/>
      <c r="K27" s="378" t="s">
        <v>1468</v>
      </c>
      <c r="L27" s="347" t="s">
        <v>1469</v>
      </c>
      <c r="M27" s="379">
        <f ca="1">INDIRECT("'数据-取费表'!ag"&amp;$G$1)</f>
        <v>0</v>
      </c>
    </row>
    <row r="28" spans="1:37" s="1853" customFormat="1" ht="18" customHeight="1">
      <c r="A28" s="1197"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1473</v>
      </c>
      <c r="C29" s="1337">
        <f ca="1">ROUND((C19+C20+C23+C26)/(1-F21-C24-C27-C28),0)</f>
        <v>59254</v>
      </c>
      <c r="D29" s="1338"/>
      <c r="E29" s="1336"/>
      <c r="F29" s="1339"/>
      <c r="G29" s="1849"/>
      <c r="H29" s="380" t="s">
        <v>1030</v>
      </c>
      <c r="I29" s="381" t="s">
        <v>1474</v>
      </c>
      <c r="J29" s="382">
        <f ca="1">ROUND(J26/(1+F40)^F41,0)</f>
        <v>0</v>
      </c>
      <c r="K29" s="383" t="s">
        <v>1475</v>
      </c>
      <c r="L29" s="384"/>
      <c r="M29" s="385">
        <f ca="1">INDIRECT("'数据-取费表'!k"&amp;$G$1)</f>
        <v>115386.06</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1419</v>
      </c>
      <c r="C30" s="355">
        <f ca="1">ROUND(C31+C36+C37+C38,0)</f>
        <v>1201</v>
      </c>
      <c r="D30" s="1333" t="s">
        <v>1420</v>
      </c>
      <c r="E30" s="2948"/>
      <c r="F30" s="1290"/>
      <c r="G30" s="1846"/>
      <c r="H30" s="743"/>
      <c r="I30" s="744"/>
      <c r="J30" s="745"/>
      <c r="K30" s="746"/>
      <c r="L30" s="747"/>
      <c r="M30" s="748"/>
    </row>
    <row r="31" spans="1:37" ht="18" customHeight="1">
      <c r="A31" s="1197" t="s">
        <v>1032</v>
      </c>
      <c r="B31" s="347" t="s">
        <v>1424</v>
      </c>
      <c r="C31" s="24">
        <f ca="1">ROUND(IF(项目基本情况!B11="自然人",C6*F31/(1+'数据-取费表'!C42),C32+C33+C34),1)</f>
        <v>518.9</v>
      </c>
      <c r="D31" s="2947" t="s">
        <v>1425</v>
      </c>
      <c r="E31" s="2946" t="s">
        <v>1476</v>
      </c>
      <c r="F31" s="368" t="str">
        <f ca="1">IF(项目基本情况!B11="企业","",IF(INDIRECT("'数据-取费表'!c"&amp;$G$1)="住宅",5%,IF(F6*F7*F8/12/(1+'数据-取费表'!C42)&gt;20000,12%,7%)))</f>
        <v/>
      </c>
      <c r="G31" s="1846"/>
      <c r="H31" s="743"/>
      <c r="I31" s="744"/>
      <c r="J31" s="745"/>
      <c r="K31" s="746"/>
      <c r="L31" s="747"/>
      <c r="M31" s="748"/>
    </row>
    <row r="32" spans="1:37" ht="18" customHeight="1">
      <c r="A32" s="1197" t="s">
        <v>1031</v>
      </c>
      <c r="B32" s="347" t="s">
        <v>1428</v>
      </c>
      <c r="C32" s="24">
        <f ca="1">IF(项目基本情况!B11="自然人","——",ROUND(C6*F32/(1+'数据-取费表'!C42),2))</f>
        <v>160.05000000000001</v>
      </c>
      <c r="D32" s="2946" t="s">
        <v>1429</v>
      </c>
      <c r="E32" s="347" t="s">
        <v>1417</v>
      </c>
      <c r="F32" s="377">
        <f>'数据-取费表'!B41</f>
        <v>5.6000000000000001E-2</v>
      </c>
      <c r="G32" s="1846"/>
      <c r="H32" s="743"/>
      <c r="I32" s="744"/>
      <c r="J32" s="745"/>
      <c r="K32" s="746"/>
      <c r="L32" s="747"/>
      <c r="M32" s="748"/>
    </row>
    <row r="33" spans="1:18" ht="18" customHeight="1">
      <c r="A33" s="1197" t="s">
        <v>1033</v>
      </c>
      <c r="B33" s="347" t="s">
        <v>1432</v>
      </c>
      <c r="C33" s="24">
        <f ca="1">IF(项目基本情况!B11="自然人","——",IF(D33="按租金收入计税",ROUND(C6*F33/(1+'数据-取费表'!C42),2),IF(D33="按房产原值计税",ROUND(C29*F33*0.7,2),INDIRECT("'数据-取费表'!Aj"&amp;$G$1))))</f>
        <v>342.97</v>
      </c>
      <c r="D33" s="1823" t="s">
        <v>3074</v>
      </c>
      <c r="E33" s="347" t="s">
        <v>1417</v>
      </c>
      <c r="F33" s="367">
        <f>IF(D33="按票据","——",IF(D33="按租金收入计税",'数据-取费表'!B51,'数据-取费表'!B50))</f>
        <v>0.12</v>
      </c>
      <c r="G33" s="1846"/>
      <c r="H33" s="1854"/>
      <c r="I33" s="1855"/>
      <c r="J33" s="1856"/>
      <c r="K33" s="1857"/>
      <c r="L33" s="1854"/>
      <c r="M33" s="1854"/>
    </row>
    <row r="34" spans="1:18" ht="18" customHeight="1">
      <c r="A34" s="1287" t="s">
        <v>1384</v>
      </c>
      <c r="B34" s="164" t="s">
        <v>1436</v>
      </c>
      <c r="C34" s="25">
        <f ca="1">IF(项目基本情况!B11="自然人","——",ROUND(F34*F35/10000,2))</f>
        <v>15.85</v>
      </c>
      <c r="D34" s="370" t="s">
        <v>1437</v>
      </c>
      <c r="E34" s="347" t="s">
        <v>1438</v>
      </c>
      <c r="F34" s="371">
        <f>'数据-取费表'!B52</f>
        <v>20</v>
      </c>
      <c r="G34" s="1846"/>
      <c r="H34" s="743"/>
      <c r="I34" s="1855"/>
      <c r="J34" s="1856"/>
      <c r="K34" s="1858"/>
      <c r="L34" s="1859"/>
      <c r="M34" s="1859"/>
    </row>
    <row r="35" spans="1:18" ht="18" customHeight="1">
      <c r="A35" s="1349"/>
      <c r="B35" s="1347"/>
      <c r="C35" s="29"/>
      <c r="D35" s="373"/>
      <c r="E35" s="347" t="s">
        <v>1442</v>
      </c>
      <c r="F35" s="348">
        <f ca="1">INDIRECT("'数据-取费表'!r"&amp;$G$1)</f>
        <v>7923.4199999999992</v>
      </c>
      <c r="G35" s="1846"/>
      <c r="H35" s="743"/>
      <c r="I35" s="1855"/>
      <c r="J35" s="1856"/>
      <c r="K35" s="1857"/>
      <c r="L35" s="1854"/>
      <c r="M35" s="1854"/>
    </row>
    <row r="36" spans="1:18" ht="18" customHeight="1">
      <c r="A36" s="1348" t="s">
        <v>1036</v>
      </c>
      <c r="B36" s="347" t="s">
        <v>1444</v>
      </c>
      <c r="C36" s="24">
        <f ca="1">ROUND(C29*F36,1)</f>
        <v>592.5</v>
      </c>
      <c r="D36" s="2946" t="s">
        <v>1477</v>
      </c>
      <c r="E36" s="347" t="s">
        <v>1417</v>
      </c>
      <c r="F36" s="374">
        <f ca="1">INDIRECT("'数据-取费表'!Ak"&amp;$G$1)</f>
        <v>0.01</v>
      </c>
      <c r="G36" s="1846"/>
      <c r="H36" s="1854"/>
      <c r="I36" s="1855"/>
      <c r="J36" s="1856"/>
      <c r="K36" s="749"/>
      <c r="L36" s="1854"/>
      <c r="M36" s="1854"/>
    </row>
    <row r="37" spans="1:18" ht="18" customHeight="1">
      <c r="A37" s="1197" t="s">
        <v>1072</v>
      </c>
      <c r="B37" s="347" t="s">
        <v>1448</v>
      </c>
      <c r="C37" s="24">
        <f ca="1">ROUND(C13*F37,1)</f>
        <v>59.3</v>
      </c>
      <c r="D37" s="2946" t="s">
        <v>1449</v>
      </c>
      <c r="E37" s="347" t="s">
        <v>1417</v>
      </c>
      <c r="F37" s="376">
        <f ca="1">INDIRECT("'数据-取费表'!Al"&amp;$G$1)</f>
        <v>1E-3</v>
      </c>
      <c r="G37" s="1846"/>
      <c r="H37" s="1854"/>
      <c r="I37" s="1855"/>
      <c r="J37" s="1856"/>
      <c r="K37" s="749"/>
      <c r="L37" s="1854"/>
      <c r="M37" s="1854"/>
    </row>
    <row r="38" spans="1:18" ht="18" customHeight="1" thickBot="1">
      <c r="A38" s="1335" t="s">
        <v>1387</v>
      </c>
      <c r="B38" s="1336" t="s">
        <v>1434</v>
      </c>
      <c r="C38" s="1337">
        <f ca="1">ROUND(C5*F38,1)</f>
        <v>30</v>
      </c>
      <c r="D38" s="1338" t="s">
        <v>1454</v>
      </c>
      <c r="E38" s="1336" t="s">
        <v>1417</v>
      </c>
      <c r="F38" s="1332">
        <f ca="1">INDIRECT("'数据-取费表'!Am"&amp;$G$1)</f>
        <v>0.01</v>
      </c>
      <c r="G38" s="1846"/>
      <c r="H38" s="1854"/>
      <c r="I38" s="1855"/>
      <c r="J38" s="1856"/>
      <c r="K38" s="1860"/>
      <c r="L38" s="1854"/>
      <c r="M38" s="1854"/>
    </row>
    <row r="39" spans="1:18" ht="24.6" customHeight="1" thickTop="1">
      <c r="A39" s="1325" t="s">
        <v>1028</v>
      </c>
      <c r="B39" s="1340" t="s">
        <v>1458</v>
      </c>
      <c r="C39" s="355">
        <f ca="1">C5-C30</f>
        <v>1800</v>
      </c>
      <c r="D39" s="1341" t="s">
        <v>1459</v>
      </c>
      <c r="E39" s="1342"/>
      <c r="F39" s="1343"/>
      <c r="G39" s="1846"/>
      <c r="H39" s="1854"/>
      <c r="I39" s="1855"/>
      <c r="J39" s="1856"/>
      <c r="K39" s="1860"/>
      <c r="L39" s="1854"/>
      <c r="M39" s="1854"/>
    </row>
    <row r="40" spans="1:18" ht="18" customHeight="1">
      <c r="A40" s="344" t="s">
        <v>1029</v>
      </c>
      <c r="B40" s="345" t="s">
        <v>1480</v>
      </c>
      <c r="C40" s="346">
        <f ca="1">ROUND(C39*(1-((1+F42)/(1+F40))^F41)/(F40-F42),0)</f>
        <v>41971</v>
      </c>
      <c r="D40" s="370" t="s">
        <v>1464</v>
      </c>
      <c r="E40" s="347" t="s">
        <v>1465</v>
      </c>
      <c r="F40" s="357">
        <f ca="1">INDIRECT("'数据-取费表'!I"&amp;$G$1)</f>
        <v>4.4999999999999998E-2</v>
      </c>
      <c r="G40" s="1846"/>
      <c r="H40" s="1834"/>
      <c r="I40" s="1855"/>
      <c r="J40" s="1856"/>
      <c r="K40" s="1860"/>
      <c r="L40" s="1834"/>
      <c r="M40" s="1834"/>
    </row>
    <row r="41" spans="1:18" ht="18" customHeight="1">
      <c r="A41" s="349"/>
      <c r="B41" s="350"/>
      <c r="C41" s="351"/>
      <c r="D41" s="378" t="s">
        <v>1481</v>
      </c>
      <c r="E41" s="347" t="s">
        <v>1469</v>
      </c>
      <c r="F41" s="379">
        <f ca="1">IF(INDIRECT("'数据-取费表'!af"&amp;$G$1)=0,INDIRECT("'数据-取费表'!ae"&amp;$G$1),INDIRECT("'数据-取费表'!af"&amp;$G$1))</f>
        <v>29.77</v>
      </c>
      <c r="G41" s="1846"/>
      <c r="H41" s="730"/>
      <c r="I41" s="1855"/>
      <c r="J41" s="1856"/>
      <c r="K41" s="749"/>
      <c r="L41" s="730"/>
      <c r="M41" s="730"/>
    </row>
    <row r="42" spans="1:18" ht="18" customHeight="1">
      <c r="A42" s="353"/>
      <c r="B42" s="354"/>
      <c r="C42" s="355"/>
      <c r="D42" s="373"/>
      <c r="E42" s="347" t="s">
        <v>1472</v>
      </c>
      <c r="F42" s="357">
        <f ca="1">INDIRECT("'数据-取费表'!v"&amp;$G$1)</f>
        <v>0.03</v>
      </c>
      <c r="G42" s="1846"/>
      <c r="H42" s="730"/>
      <c r="I42" s="1855"/>
      <c r="J42" s="1856"/>
      <c r="K42" s="749"/>
      <c r="L42" s="730"/>
      <c r="M42" s="730"/>
    </row>
    <row r="43" spans="1:18" ht="18" customHeight="1" thickBot="1">
      <c r="A43" s="380" t="s">
        <v>1030</v>
      </c>
      <c r="B43" s="381" t="s">
        <v>1482</v>
      </c>
      <c r="C43" s="382">
        <f ca="1">ROUND(C40*10000/F43,0)</f>
        <v>3637</v>
      </c>
      <c r="D43" s="383" t="s">
        <v>1483</v>
      </c>
      <c r="E43" s="384" t="s">
        <v>1484</v>
      </c>
      <c r="F43" s="385">
        <f ca="1">INDIRECT("'数据-取费表'!k"&amp;$G$1)</f>
        <v>115386.06</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1514</v>
      </c>
      <c r="P45" s="1834"/>
      <c r="Q45" s="1834"/>
      <c r="R45" s="1834"/>
    </row>
    <row r="46" spans="1:18" s="1837" customFormat="1" ht="13.5" thickBot="1">
      <c r="A46" s="1865" t="s">
        <v>1515</v>
      </c>
      <c r="C46" s="1866">
        <f ca="1">C68-C40</f>
        <v>-133581</v>
      </c>
      <c r="D46" s="1867" t="str">
        <f>C2</f>
        <v>万元</v>
      </c>
      <c r="E46" s="1861"/>
      <c r="F46" s="1861"/>
      <c r="I46" s="1868" t="s">
        <v>1516</v>
      </c>
      <c r="J46" s="1869"/>
      <c r="K46" s="1870"/>
      <c r="L46" s="1871" t="str">
        <f ca="1">IF(M47="住宅",0,IF(L48&gt;J51,L60,J60))</f>
        <v>0</v>
      </c>
      <c r="O46" s="1872" t="s">
        <v>1517</v>
      </c>
      <c r="P46" s="1873" t="s">
        <v>1518</v>
      </c>
      <c r="Q46" s="1874" t="s">
        <v>1519</v>
      </c>
      <c r="R46" s="1874" t="s">
        <v>1520</v>
      </c>
    </row>
    <row r="47" spans="1:18" s="1837" customFormat="1" ht="13.5" thickBot="1">
      <c r="A47" s="1161" t="s">
        <v>1391</v>
      </c>
      <c r="B47" s="1193" t="s">
        <v>1392</v>
      </c>
      <c r="C47" s="1363" t="s">
        <v>1393</v>
      </c>
      <c r="D47" s="1193" t="s">
        <v>1394</v>
      </c>
      <c r="E47" s="1275" t="s">
        <v>1395</v>
      </c>
      <c r="F47" s="1276"/>
      <c r="G47" s="790"/>
      <c r="I47" s="1875" t="s">
        <v>1521</v>
      </c>
      <c r="J47" s="1876" t="s">
        <v>3075</v>
      </c>
      <c r="K47" s="1877" t="s">
        <v>1522</v>
      </c>
      <c r="L47" s="1878">
        <f ca="1">INDIRECT("'数据-取费表'!d"&amp;$G$1)</f>
        <v>40</v>
      </c>
      <c r="M47" s="1833" t="str">
        <f>IF(ISNUMBER(FIND("住宅",C1)),"住宅","非住宅")</f>
        <v>非住宅</v>
      </c>
      <c r="O47" s="1879" t="s">
        <v>1037</v>
      </c>
      <c r="P47" s="1880" t="s">
        <v>1523</v>
      </c>
      <c r="Q47" s="1881">
        <f ca="1">C40+J29</f>
        <v>41971</v>
      </c>
      <c r="R47" s="1881" t="s">
        <v>1524</v>
      </c>
    </row>
    <row r="48" spans="1:18" s="1837" customFormat="1" ht="28.5" thickBot="1">
      <c r="A48" s="1356" t="s">
        <v>1132</v>
      </c>
      <c r="B48" s="345" t="s">
        <v>1396</v>
      </c>
      <c r="C48" s="2951">
        <f ca="1">C49+C53+C55</f>
        <v>0</v>
      </c>
      <c r="D48" s="1358"/>
      <c r="E48" s="1359"/>
      <c r="F48" s="1177"/>
      <c r="G48" s="790"/>
      <c r="H48" s="791"/>
      <c r="I48" s="1882" t="s">
        <v>1525</v>
      </c>
      <c r="J48" s="1883" t="s">
        <v>3076</v>
      </c>
      <c r="K48" s="1884" t="s">
        <v>1526</v>
      </c>
      <c r="L48" s="1885">
        <f ca="1">INDIRECT("'数据-取费表'!f"&amp;$G$1)</f>
        <v>31.77</v>
      </c>
      <c r="O48" s="1879" t="s">
        <v>1038</v>
      </c>
      <c r="P48" s="1880" t="s">
        <v>1527</v>
      </c>
      <c r="Q48" s="1881" t="str">
        <f ca="1">J60</f>
        <v>0</v>
      </c>
      <c r="R48" s="1881" t="s">
        <v>1528</v>
      </c>
    </row>
    <row r="49" spans="1:18" s="1837" customFormat="1" ht="13.5" thickBot="1">
      <c r="A49" s="1190" t="s">
        <v>1133</v>
      </c>
      <c r="B49" s="1824" t="s">
        <v>1485</v>
      </c>
      <c r="C49" s="1360">
        <f ca="1">ROUND(F49*F51*F50*(1-F52)/10000,0)</f>
        <v>0</v>
      </c>
      <c r="D49" s="1272" t="s">
        <v>3023</v>
      </c>
      <c r="E49" s="1825" t="s">
        <v>1486</v>
      </c>
      <c r="F49" s="1277"/>
      <c r="G49" s="1886"/>
      <c r="H49" s="791"/>
      <c r="I49" s="1882" t="s">
        <v>1529</v>
      </c>
      <c r="J49" s="1887"/>
      <c r="K49" s="1884" t="s">
        <v>1530</v>
      </c>
      <c r="L49" s="1888"/>
      <c r="O49" s="1889" t="s">
        <v>1039</v>
      </c>
      <c r="P49" s="1880" t="s">
        <v>1531</v>
      </c>
      <c r="Q49" s="1881">
        <f ca="1">C29</f>
        <v>59254</v>
      </c>
      <c r="R49" s="1881" t="s">
        <v>1524</v>
      </c>
    </row>
    <row r="50" spans="1:18" s="1837" customFormat="1" ht="13.5" thickBot="1">
      <c r="A50" s="1191"/>
      <c r="B50" s="1194"/>
      <c r="C50" s="1364"/>
      <c r="D50" s="1168"/>
      <c r="E50" s="1273" t="s">
        <v>1401</v>
      </c>
      <c r="F50" s="1274">
        <f ca="1">F7</f>
        <v>115386.06</v>
      </c>
      <c r="H50" s="791"/>
      <c r="I50" s="1882" t="s">
        <v>1532</v>
      </c>
      <c r="J50" s="1890">
        <f>SUMPRODUCT((I63:I65=J47)*(J62:L62=J48)*(J63:L65))</f>
        <v>60</v>
      </c>
      <c r="K50" s="1884" t="s">
        <v>1533</v>
      </c>
      <c r="L50" s="1888"/>
      <c r="M50" s="1891"/>
      <c r="O50" s="1889" t="s">
        <v>1040</v>
      </c>
      <c r="P50" s="1880" t="s">
        <v>1534</v>
      </c>
      <c r="Q50" s="1892" t="e">
        <f ca="1">J58</f>
        <v>#VALUE!</v>
      </c>
      <c r="R50" s="1881"/>
    </row>
    <row r="51" spans="1:18" s="1837" customFormat="1" ht="13.5" thickBot="1">
      <c r="A51" s="1192"/>
      <c r="B51" s="1194"/>
      <c r="C51" s="1195"/>
      <c r="D51" s="1168"/>
      <c r="E51" s="1196" t="s">
        <v>1402</v>
      </c>
      <c r="F51" s="348">
        <f ca="1">F8</f>
        <v>365</v>
      </c>
      <c r="I51" s="1893" t="s">
        <v>1535</v>
      </c>
      <c r="J51" s="1894">
        <f>IF(J49="",J50,J49+J50-YEAR('数据-取费表'!B2))</f>
        <v>60</v>
      </c>
      <c r="K51" s="1895" t="s">
        <v>1536</v>
      </c>
      <c r="L51" s="1896">
        <f ca="1">ROUND(-PV(INDIRECT("'数据-取费表'!h"&amp;$G$1),L48,(C39-C13*C76),0),0)</f>
        <v>32056</v>
      </c>
      <c r="M51" s="1897"/>
      <c r="O51" s="1889" t="s">
        <v>1041</v>
      </c>
      <c r="P51" s="1880" t="s">
        <v>1537</v>
      </c>
      <c r="Q51" s="1892">
        <f>J52</f>
        <v>0</v>
      </c>
      <c r="R51" s="1881"/>
    </row>
    <row r="52" spans="1:18" s="1837" customFormat="1" ht="13.5" thickBot="1">
      <c r="A52" s="1192"/>
      <c r="B52" s="1194"/>
      <c r="C52" s="1195"/>
      <c r="D52" s="1168"/>
      <c r="E52" s="1196" t="s">
        <v>1403</v>
      </c>
      <c r="F52" s="1271"/>
      <c r="I52" s="1898" t="s">
        <v>1538</v>
      </c>
      <c r="J52" s="1899"/>
      <c r="K52" s="1898" t="s">
        <v>1539</v>
      </c>
      <c r="L52" s="1899"/>
      <c r="O52" s="1889" t="s">
        <v>1042</v>
      </c>
      <c r="P52" s="1880" t="s">
        <v>1540</v>
      </c>
      <c r="Q52" s="1881">
        <f ca="1">J53</f>
        <v>29.77</v>
      </c>
      <c r="R52" s="1881" t="s">
        <v>1541</v>
      </c>
    </row>
    <row r="53" spans="1:18" s="1837" customFormat="1" ht="24.75" thickBot="1">
      <c r="A53" s="1401" t="s">
        <v>1134</v>
      </c>
      <c r="B53" s="1826" t="s">
        <v>1404</v>
      </c>
      <c r="C53" s="361">
        <f ca="1">ROUND(IF(F53="押一",C49/12*F11,IF(F53="押二",C49/12*2*F11,IF(F53="押三",C49/12*3*F11,C54*F11))),0)</f>
        <v>0</v>
      </c>
      <c r="D53" s="1819" t="s">
        <v>3032</v>
      </c>
      <c r="E53" s="358" t="s">
        <v>1405</v>
      </c>
      <c r="F53" s="1362"/>
      <c r="I53" s="1900" t="s">
        <v>1542</v>
      </c>
      <c r="J53" s="2941">
        <f ca="1">IF(M47="住宅",IF(D1="——",MAX(J51,L48),MAX(J51,L48-'数据-取费表'!B24)),IF(D1="——",MIN(J51,L48),MIN(J51,L48-'数据-取费表'!B24)))</f>
        <v>29.77</v>
      </c>
      <c r="K53" s="3335" t="s">
        <v>1543</v>
      </c>
      <c r="L53" s="3336"/>
      <c r="O53" s="1879" t="s">
        <v>1043</v>
      </c>
      <c r="P53" s="1880" t="s">
        <v>1544</v>
      </c>
      <c r="Q53" s="1881">
        <f ca="1">Q47+Q48</f>
        <v>41971</v>
      </c>
      <c r="R53" s="1881" t="s">
        <v>1044</v>
      </c>
    </row>
    <row r="54" spans="1:18" s="1837" customFormat="1" ht="13.5" thickBot="1">
      <c r="A54" s="1402"/>
      <c r="B54" s="1820" t="s">
        <v>1383</v>
      </c>
      <c r="C54" s="1174"/>
      <c r="D54" s="1819"/>
      <c r="E54" s="2950"/>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1545</v>
      </c>
      <c r="P54" s="1834"/>
      <c r="Q54" s="1834"/>
      <c r="R54" s="1834"/>
    </row>
    <row r="55" spans="1:18" s="1837" customFormat="1" ht="13.5" thickBot="1">
      <c r="A55" s="1329" t="s">
        <v>1072</v>
      </c>
      <c r="B55" s="1822" t="s">
        <v>1408</v>
      </c>
      <c r="C55" s="1330"/>
      <c r="D55" s="1819"/>
      <c r="E55" s="2950"/>
      <c r="F55" s="1901"/>
      <c r="I55" s="1904" t="s">
        <v>1546</v>
      </c>
      <c r="J55" s="1905" t="e">
        <f ca="1">ROUND(IF(J47="钢混",J57/J50,1-(1-2%)*(J50-J57)/J50),3)</f>
        <v>#VALUE!</v>
      </c>
      <c r="K55" s="1906" t="s">
        <v>1547</v>
      </c>
      <c r="L55" s="1907" t="s">
        <v>1548</v>
      </c>
      <c r="O55" s="1872" t="s">
        <v>1517</v>
      </c>
      <c r="P55" s="1873" t="s">
        <v>1518</v>
      </c>
      <c r="Q55" s="1874" t="s">
        <v>1519</v>
      </c>
      <c r="R55" s="1874" t="s">
        <v>1520</v>
      </c>
    </row>
    <row r="56" spans="1:18" s="1837" customFormat="1" ht="25.5" thickTop="1" thickBot="1">
      <c r="A56" s="1172">
        <v>2</v>
      </c>
      <c r="B56" s="1173" t="s">
        <v>1409</v>
      </c>
      <c r="C56" s="276">
        <f ca="1">C13</f>
        <v>59254</v>
      </c>
      <c r="D56" s="1908"/>
      <c r="E56" s="1909"/>
      <c r="F56" s="1901"/>
      <c r="I56" s="1910" t="s">
        <v>1549</v>
      </c>
      <c r="J56" s="1911" t="s">
        <v>3070</v>
      </c>
      <c r="K56" s="1882" t="s">
        <v>1550</v>
      </c>
      <c r="L56" s="1885" t="str">
        <f ca="1">IF(L48&lt;J51,"——",L48-J53)</f>
        <v>——</v>
      </c>
      <c r="O56" s="1879" t="s">
        <v>1037</v>
      </c>
      <c r="P56" s="1880" t="s">
        <v>1523</v>
      </c>
      <c r="Q56" s="1881">
        <f ca="1">C40+J29</f>
        <v>41971</v>
      </c>
      <c r="R56" s="1881" t="s">
        <v>1524</v>
      </c>
    </row>
    <row r="57" spans="1:18" s="1837" customFormat="1" ht="24.75" thickBot="1">
      <c r="A57" s="1912"/>
      <c r="B57" s="1165" t="s">
        <v>1473</v>
      </c>
      <c r="C57" s="282">
        <f ca="1">C29</f>
        <v>59254</v>
      </c>
      <c r="D57" s="1913"/>
      <c r="E57" s="1914"/>
      <c r="F57" s="1915"/>
      <c r="I57" s="1916" t="s">
        <v>1551</v>
      </c>
      <c r="J57" s="1917" t="str">
        <f ca="1">IF(OR(M47="住宅",J51&lt;L48,J56="是"),"——",J51-L48)</f>
        <v>——</v>
      </c>
      <c r="K57" s="1882" t="s">
        <v>1552</v>
      </c>
      <c r="L57" s="1885" t="str">
        <f ca="1">IF(L48&lt;J51,"——",IF(L55="比较法",L49,IF(L55="基准地价",L50,L51)))</f>
        <v>——</v>
      </c>
      <c r="O57" s="1879" t="s">
        <v>1038</v>
      </c>
      <c r="P57" s="1880" t="s">
        <v>1553</v>
      </c>
      <c r="Q57" s="1881">
        <f ca="1">L60</f>
        <v>0</v>
      </c>
      <c r="R57" s="1881" t="s">
        <v>1554</v>
      </c>
    </row>
    <row r="58" spans="1:18" s="1837" customFormat="1" ht="24.75" thickBot="1">
      <c r="A58" s="360" t="s">
        <v>1027</v>
      </c>
      <c r="B58" s="1173" t="s">
        <v>1419</v>
      </c>
      <c r="C58" s="361">
        <f ca="1">ROUND(C59+C64+C65+C66,0)</f>
        <v>5645</v>
      </c>
      <c r="D58" s="1175" t="s">
        <v>1420</v>
      </c>
      <c r="E58" s="1176"/>
      <c r="F58" s="1177"/>
      <c r="I58" s="1916" t="s">
        <v>1555</v>
      </c>
      <c r="J58" s="1918" t="e">
        <f ca="1">IF(J55&lt;0.4,0.4,J55)</f>
        <v>#VALUE!</v>
      </c>
      <c r="K58" s="1895" t="s">
        <v>1556</v>
      </c>
      <c r="L58" s="1885" t="e">
        <f ca="1">ROUND(POWER(1+L52,L47-L48)*(POWER(1+L52,L48)-1)/(POWER(1+L52,L47)-1),4)</f>
        <v>#DIV/0!</v>
      </c>
      <c r="O58" s="1889" t="s">
        <v>1039</v>
      </c>
      <c r="P58" s="1880" t="s">
        <v>1557</v>
      </c>
      <c r="Q58" s="1881">
        <f>IF(L55="比较法",L49,IF(L55="基准地价",L50,0))</f>
        <v>0</v>
      </c>
      <c r="R58" s="1881" t="s">
        <v>1524</v>
      </c>
    </row>
    <row r="59" spans="1:18" s="1837" customFormat="1" ht="24.75" thickBot="1">
      <c r="A59" s="1197" t="s">
        <v>1032</v>
      </c>
      <c r="B59" s="1165" t="s">
        <v>1424</v>
      </c>
      <c r="C59" s="24">
        <f ca="1">ROUND(IF(项目基本情况!B11="自然人",C48*F59,C60+C61+C62),1)</f>
        <v>4993.2</v>
      </c>
      <c r="D59" s="1178" t="s">
        <v>1425</v>
      </c>
      <c r="E59" s="1179" t="s">
        <v>1426</v>
      </c>
      <c r="F59" s="368" t="str">
        <f ca="1">IF(项目基本情况!B11="企业","",IF(INDIRECT("'数据-取费表'!c"&amp;$G$1)="住宅",5%,IF(F49*F50*F51/12/(1+'数据-取费表'!C42)&gt;20000,12%,7%)))</f>
        <v/>
      </c>
      <c r="I59" s="1916" t="s">
        <v>1558</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1559</v>
      </c>
      <c r="Q59" s="1892">
        <f>L52</f>
        <v>0</v>
      </c>
      <c r="R59" s="1881"/>
    </row>
    <row r="60" spans="1:18" s="1837" customFormat="1" ht="16.5" thickBot="1">
      <c r="A60" s="1197" t="s">
        <v>1031</v>
      </c>
      <c r="B60" s="1165" t="s">
        <v>1428</v>
      </c>
      <c r="C60" s="24">
        <f ca="1">IF(项目基本情况!B11="自然人","——",ROUND(C48*F60/(1+'数据-取费表'!C42),2))</f>
        <v>0</v>
      </c>
      <c r="D60" s="1179" t="s">
        <v>1429</v>
      </c>
      <c r="E60" s="1165" t="s">
        <v>1417</v>
      </c>
      <c r="F60" s="377">
        <f t="shared" ref="F60:F66" si="0">F32</f>
        <v>5.6000000000000001E-2</v>
      </c>
      <c r="I60" s="1919" t="s">
        <v>1560</v>
      </c>
      <c r="J60" s="1920" t="str">
        <f ca="1">IF(OR(M47="住宅",J51&lt;L48,J56="是"),"0",ROUND(J59/(1+J52)^J53,0))</f>
        <v>0</v>
      </c>
      <c r="K60" s="1921" t="s">
        <v>1561</v>
      </c>
      <c r="L60" s="1920">
        <f ca="1">IF(OR(M47="住宅",L48&lt;J51),0,ROUND(L57*(L58/L59-1),0))</f>
        <v>0</v>
      </c>
      <c r="O60" s="1889" t="s">
        <v>1041</v>
      </c>
      <c r="P60" s="1880" t="s">
        <v>1562</v>
      </c>
      <c r="Q60" s="1881" t="e">
        <f ca="1">L58</f>
        <v>#DIV/0!</v>
      </c>
      <c r="R60" s="1881" t="s">
        <v>1563</v>
      </c>
    </row>
    <row r="61" spans="1:18" s="1837" customFormat="1" ht="13.5" thickBot="1">
      <c r="A61" s="1197" t="s">
        <v>1487</v>
      </c>
      <c r="B61" s="1165" t="s">
        <v>1432</v>
      </c>
      <c r="C61" s="24">
        <f ca="1">IF(项目基本情况!B11="自然人","——",IF(D61="按租金收入计税",ROUND(C48*F61,2),IF(D61="按房产原值计税",ROUND(C57*F61*0.7,2),INDIRECT("'数据-取费表'!Aj"&amp;$G$1))))</f>
        <v>4977.34</v>
      </c>
      <c r="D61" s="1823" t="s">
        <v>1433</v>
      </c>
      <c r="E61" s="1165" t="s">
        <v>1417</v>
      </c>
      <c r="F61" s="367">
        <f t="shared" si="0"/>
        <v>0.12</v>
      </c>
      <c r="I61" s="1922"/>
      <c r="J61" s="1922"/>
      <c r="K61" s="1922"/>
      <c r="L61" s="1922"/>
      <c r="O61" s="1889" t="s">
        <v>1042</v>
      </c>
      <c r="P61" s="1880" t="str">
        <f>K59</f>
        <v>续建工期及建筑物耐用年限下的土地年期修正系数Kn</v>
      </c>
      <c r="Q61" s="1881" t="e">
        <f ca="1">L59</f>
        <v>#DIV/0!</v>
      </c>
      <c r="R61" s="1881" t="s">
        <v>1564</v>
      </c>
    </row>
    <row r="62" spans="1:18" s="1837" customFormat="1" ht="13.5" thickBot="1">
      <c r="A62" s="1197" t="s">
        <v>1490</v>
      </c>
      <c r="B62" s="1164" t="s">
        <v>1436</v>
      </c>
      <c r="C62" s="25">
        <f ca="1">IF(项目基本情况!B11="自然人","——",ROUND(F62*F63/10000,2))</f>
        <v>15.85</v>
      </c>
      <c r="D62" s="1180" t="s">
        <v>1437</v>
      </c>
      <c r="E62" s="1165" t="s">
        <v>1438</v>
      </c>
      <c r="F62" s="371">
        <f t="shared" si="0"/>
        <v>20</v>
      </c>
      <c r="I62" s="1923" t="s">
        <v>1565</v>
      </c>
      <c r="J62" s="1924" t="s">
        <v>1566</v>
      </c>
      <c r="K62" s="1924" t="s">
        <v>1567</v>
      </c>
      <c r="L62" s="1924" t="s">
        <v>1568</v>
      </c>
      <c r="M62" s="1925" t="s">
        <v>1569</v>
      </c>
      <c r="O62" s="1879" t="s">
        <v>1043</v>
      </c>
      <c r="P62" s="1880" t="s">
        <v>1544</v>
      </c>
      <c r="Q62" s="1881">
        <f ca="1">Q56+Q57</f>
        <v>41971</v>
      </c>
      <c r="R62" s="1881" t="s">
        <v>1044</v>
      </c>
    </row>
    <row r="63" spans="1:18" s="1837" customFormat="1" ht="13.5" thickBot="1">
      <c r="A63" s="372"/>
      <c r="B63" s="1171"/>
      <c r="C63" s="29"/>
      <c r="D63" s="1181"/>
      <c r="E63" s="1165" t="s">
        <v>1442</v>
      </c>
      <c r="F63" s="348">
        <f t="shared" ca="1" si="0"/>
        <v>7923.4199999999992</v>
      </c>
      <c r="I63" s="1923" t="s">
        <v>1571</v>
      </c>
      <c r="J63" s="1924">
        <v>70</v>
      </c>
      <c r="K63" s="1924">
        <v>50</v>
      </c>
      <c r="L63" s="1924">
        <v>80</v>
      </c>
      <c r="M63" s="1926">
        <v>0.02</v>
      </c>
      <c r="O63" s="1864" t="s">
        <v>1572</v>
      </c>
      <c r="P63" s="1834"/>
      <c r="Q63" s="1834"/>
      <c r="R63" s="1834"/>
    </row>
    <row r="64" spans="1:18" s="1837" customFormat="1" ht="13.5" thickBot="1">
      <c r="A64" s="1197" t="s">
        <v>1036</v>
      </c>
      <c r="B64" s="1165" t="s">
        <v>1444</v>
      </c>
      <c r="C64" s="24">
        <f ca="1">ROUND(C57*F64,1)</f>
        <v>592.5</v>
      </c>
      <c r="D64" s="1179" t="s">
        <v>1477</v>
      </c>
      <c r="E64" s="1165" t="s">
        <v>1417</v>
      </c>
      <c r="F64" s="374">
        <f t="shared" ca="1" si="0"/>
        <v>0.01</v>
      </c>
      <c r="I64" s="1923" t="s">
        <v>1573</v>
      </c>
      <c r="J64" s="1924">
        <v>50</v>
      </c>
      <c r="K64" s="1924">
        <v>35</v>
      </c>
      <c r="L64" s="1924">
        <v>60</v>
      </c>
      <c r="M64" s="1925">
        <v>0</v>
      </c>
      <c r="O64" s="1872" t="s">
        <v>1517</v>
      </c>
      <c r="P64" s="1873" t="s">
        <v>1518</v>
      </c>
      <c r="Q64" s="1874" t="s">
        <v>1519</v>
      </c>
      <c r="R64" s="1874" t="s">
        <v>1520</v>
      </c>
    </row>
    <row r="65" spans="1:18" s="1837" customFormat="1" ht="13.5" thickBot="1">
      <c r="A65" s="1197" t="s">
        <v>1498</v>
      </c>
      <c r="B65" s="1165" t="s">
        <v>1448</v>
      </c>
      <c r="C65" s="24">
        <f ca="1">ROUND(C56*F65,1)</f>
        <v>59.3</v>
      </c>
      <c r="D65" s="1179" t="s">
        <v>1449</v>
      </c>
      <c r="E65" s="1165" t="s">
        <v>1417</v>
      </c>
      <c r="F65" s="376">
        <f t="shared" ca="1" si="0"/>
        <v>1E-3</v>
      </c>
      <c r="I65" s="1923" t="s">
        <v>1574</v>
      </c>
      <c r="J65" s="1924">
        <v>40</v>
      </c>
      <c r="K65" s="1924">
        <v>30</v>
      </c>
      <c r="L65" s="1924">
        <v>50</v>
      </c>
      <c r="M65" s="1926">
        <v>0.02</v>
      </c>
      <c r="O65" s="1879" t="s">
        <v>1037</v>
      </c>
      <c r="P65" s="1880" t="s">
        <v>1523</v>
      </c>
      <c r="Q65" s="1881">
        <f ca="1">C40+J29</f>
        <v>41971</v>
      </c>
      <c r="R65" s="1881" t="s">
        <v>1524</v>
      </c>
    </row>
    <row r="66" spans="1:18" s="1837" customFormat="1" ht="16.5" thickBot="1">
      <c r="A66" s="1197" t="s">
        <v>1499</v>
      </c>
      <c r="B66" s="1165" t="s">
        <v>1434</v>
      </c>
      <c r="C66" s="24">
        <f ca="1">ROUND(C48*F66,1)</f>
        <v>0</v>
      </c>
      <c r="D66" s="1179" t="s">
        <v>1454</v>
      </c>
      <c r="E66" s="1165" t="s">
        <v>1417</v>
      </c>
      <c r="F66" s="357">
        <f t="shared" ca="1" si="0"/>
        <v>0.01</v>
      </c>
      <c r="O66" s="1879" t="s">
        <v>1038</v>
      </c>
      <c r="P66" s="1880" t="s">
        <v>1553</v>
      </c>
      <c r="Q66" s="1881">
        <f ca="1">L60</f>
        <v>0</v>
      </c>
      <c r="R66" s="1881" t="s">
        <v>1576</v>
      </c>
    </row>
    <row r="67" spans="1:18" s="1837" customFormat="1" ht="16.5" thickBot="1">
      <c r="A67" s="1172" t="s">
        <v>1028</v>
      </c>
      <c r="B67" s="1182" t="s">
        <v>1458</v>
      </c>
      <c r="C67" s="361">
        <f ca="1">C48-C58</f>
        <v>-5645</v>
      </c>
      <c r="D67" s="1178" t="s">
        <v>1459</v>
      </c>
      <c r="E67" s="1183"/>
      <c r="F67" s="1184"/>
      <c r="O67" s="1889" t="s">
        <v>1039</v>
      </c>
      <c r="P67" s="1880" t="s">
        <v>1557</v>
      </c>
      <c r="Q67" s="1927">
        <f ca="1">L51</f>
        <v>32056</v>
      </c>
      <c r="R67" s="1881" t="s">
        <v>1577</v>
      </c>
    </row>
    <row r="68" spans="1:18" s="1837" customFormat="1" ht="16.5" thickBot="1">
      <c r="A68" s="1162" t="s">
        <v>1029</v>
      </c>
      <c r="B68" s="1163" t="s">
        <v>1480</v>
      </c>
      <c r="C68" s="346">
        <f ca="1">ROUND(C67*(1-((1+F70)/(1+F68))^F69)/(F68-F70),0)</f>
        <v>-91610</v>
      </c>
      <c r="D68" s="1180" t="s">
        <v>1464</v>
      </c>
      <c r="E68" s="1165" t="s">
        <v>1465</v>
      </c>
      <c r="F68" s="357">
        <f ca="1">F40</f>
        <v>4.4999999999999998E-2</v>
      </c>
      <c r="O68" s="1889" t="s">
        <v>1040</v>
      </c>
      <c r="P68" s="1928" t="s">
        <v>1578</v>
      </c>
      <c r="Q68" s="1881">
        <f ca="1">ROUND(Q69-Q70*Q71,0)</f>
        <v>1800</v>
      </c>
      <c r="R68" s="1881" t="s">
        <v>1048</v>
      </c>
    </row>
    <row r="69" spans="1:18" s="1837" customFormat="1" ht="13.5" thickBot="1">
      <c r="A69" s="1166"/>
      <c r="B69" s="1167"/>
      <c r="C69" s="351"/>
      <c r="D69" s="1185" t="s">
        <v>1468</v>
      </c>
      <c r="E69" s="1165" t="s">
        <v>1469</v>
      </c>
      <c r="F69" s="379">
        <f ca="1">F41</f>
        <v>29.77</v>
      </c>
      <c r="O69" s="1889" t="s">
        <v>1045</v>
      </c>
      <c r="P69" s="1928" t="s">
        <v>1579</v>
      </c>
      <c r="Q69" s="1881">
        <f ca="1">C39</f>
        <v>1800</v>
      </c>
      <c r="R69" s="1881" t="s">
        <v>1524</v>
      </c>
    </row>
    <row r="70" spans="1:18" s="1837" customFormat="1" ht="13.5" thickBot="1">
      <c r="A70" s="1169"/>
      <c r="B70" s="1170"/>
      <c r="C70" s="355"/>
      <c r="D70" s="1181"/>
      <c r="E70" s="1165" t="s">
        <v>1472</v>
      </c>
      <c r="F70" s="1271"/>
      <c r="O70" s="1889" t="s">
        <v>1046</v>
      </c>
      <c r="P70" s="1928" t="s">
        <v>1580</v>
      </c>
      <c r="Q70" s="1881">
        <f ca="1">C13</f>
        <v>59254</v>
      </c>
      <c r="R70" s="1881" t="s">
        <v>1524</v>
      </c>
    </row>
    <row r="71" spans="1:18" s="1837" customFormat="1" ht="13.5" thickBot="1">
      <c r="A71" s="1186" t="s">
        <v>1030</v>
      </c>
      <c r="B71" s="1187" t="s">
        <v>1482</v>
      </c>
      <c r="C71" s="382">
        <f ca="1">ROUND(C68*10000/F71,0)</f>
        <v>-7939</v>
      </c>
      <c r="D71" s="1188" t="s">
        <v>1483</v>
      </c>
      <c r="E71" s="1189" t="s">
        <v>1484</v>
      </c>
      <c r="F71" s="385">
        <f ca="1">F43</f>
        <v>115386.06</v>
      </c>
      <c r="O71" s="1889" t="s">
        <v>1047</v>
      </c>
      <c r="P71" s="1928" t="s">
        <v>1581</v>
      </c>
      <c r="Q71" s="1892">
        <f ca="1">C76</f>
        <v>0</v>
      </c>
      <c r="R71" s="1881"/>
    </row>
    <row r="72" spans="1:18" s="1837" customFormat="1" ht="13.5" thickBot="1">
      <c r="B72" s="794"/>
      <c r="C72" s="794"/>
      <c r="O72" s="1889" t="s">
        <v>1041</v>
      </c>
      <c r="P72" s="1880" t="s">
        <v>1559</v>
      </c>
      <c r="Q72" s="1892">
        <f>L52</f>
        <v>0</v>
      </c>
      <c r="R72" s="1881"/>
    </row>
    <row r="73" spans="1:18" ht="16.5" thickBot="1">
      <c r="A73" s="1837"/>
      <c r="B73" s="794"/>
      <c r="C73" s="794"/>
      <c r="D73" s="1837"/>
      <c r="E73" s="1837"/>
      <c r="F73" s="1837"/>
      <c r="O73" s="1889" t="s">
        <v>1042</v>
      </c>
      <c r="P73" s="1880" t="s">
        <v>1562</v>
      </c>
      <c r="Q73" s="1881" t="e">
        <f ca="1">L58</f>
        <v>#DIV/0!</v>
      </c>
      <c r="R73" s="1881" t="s">
        <v>1563</v>
      </c>
    </row>
    <row r="74" spans="1:18" ht="13.5" thickBot="1">
      <c r="A74" s="1837"/>
      <c r="B74" s="317" t="s">
        <v>1582</v>
      </c>
      <c r="C74" s="1930"/>
      <c r="D74" s="1837"/>
      <c r="E74" s="1837"/>
      <c r="F74" s="1837"/>
      <c r="O74" s="1889" t="s">
        <v>1049</v>
      </c>
      <c r="P74" s="1880" t="str">
        <f>K59</f>
        <v>续建工期及建筑物耐用年限下的土地年期修正系数Kn</v>
      </c>
      <c r="Q74" s="1881" t="e">
        <f ca="1">L59</f>
        <v>#DIV/0!</v>
      </c>
      <c r="R74" s="1881" t="s">
        <v>1564</v>
      </c>
    </row>
    <row r="75" spans="1:18" ht="13.5" thickBot="1">
      <c r="A75" s="1837"/>
      <c r="B75" s="386" t="s">
        <v>1501</v>
      </c>
      <c r="C75" s="387">
        <f ca="1">ROUND(C13*C76,0)</f>
        <v>0</v>
      </c>
      <c r="D75" s="1837"/>
      <c r="E75" s="1837"/>
      <c r="F75" s="1837"/>
      <c r="K75" s="1863"/>
      <c r="L75" s="1837"/>
      <c r="O75" s="1879" t="s">
        <v>1043</v>
      </c>
      <c r="P75" s="1880" t="s">
        <v>1544</v>
      </c>
      <c r="Q75" s="1881">
        <f ca="1">Q65+Q66</f>
        <v>41971</v>
      </c>
      <c r="R75" s="1881" t="s">
        <v>1044</v>
      </c>
    </row>
    <row r="76" spans="1:18">
      <c r="B76" s="388" t="s">
        <v>1502</v>
      </c>
      <c r="C76" s="389">
        <f ca="1">INDIRECT("'数据-取费表'!j"&amp;$G$1)</f>
        <v>0</v>
      </c>
      <c r="I76" s="1837"/>
      <c r="J76" s="1837"/>
      <c r="K76" s="1863"/>
      <c r="L76" s="1837"/>
    </row>
    <row r="77" spans="1:18">
      <c r="B77" s="390" t="s">
        <v>1503</v>
      </c>
      <c r="C77" s="391"/>
      <c r="I77" s="1837"/>
      <c r="J77" s="1837"/>
      <c r="K77" s="1863"/>
      <c r="L77" s="1837"/>
    </row>
    <row r="78" spans="1:18">
      <c r="B78" s="314" t="s">
        <v>1504</v>
      </c>
      <c r="C78" s="392"/>
    </row>
    <row r="79" spans="1:18">
      <c r="B79" s="386" t="s">
        <v>1505</v>
      </c>
      <c r="C79" s="318">
        <f ca="1">1-C80</f>
        <v>1</v>
      </c>
    </row>
    <row r="80" spans="1:18">
      <c r="B80" s="386" t="s">
        <v>1506</v>
      </c>
      <c r="C80" s="318">
        <f ca="1">ROUND(C75/C39,3)</f>
        <v>0</v>
      </c>
    </row>
    <row r="81" spans="2:3">
      <c r="B81" s="314" t="s">
        <v>1507</v>
      </c>
      <c r="C81" s="282"/>
    </row>
    <row r="82" spans="2:3">
      <c r="B82" s="317" t="s">
        <v>1508</v>
      </c>
      <c r="C82" s="319">
        <f ca="1">1-C83</f>
        <v>-0.41199999999999992</v>
      </c>
    </row>
    <row r="83" spans="2:3">
      <c r="B83" s="317" t="s">
        <v>1509</v>
      </c>
      <c r="C83" s="318">
        <f ca="1">ROUND(C13/C40,3)</f>
        <v>1.4119999999999999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8" priority="4">
      <formula>$L$48&gt;$J$51</formula>
    </cfRule>
  </conditionalFormatting>
  <conditionalFormatting sqref="I55 I60">
    <cfRule type="expression" dxfId="87" priority="5">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80"/>
      <c r="C1" s="1832"/>
      <c r="D1" s="1815"/>
      <c r="E1" s="1816" t="s">
        <v>1382</v>
      </c>
      <c r="F1" s="1279">
        <f ca="1">J53</f>
        <v>-2</v>
      </c>
      <c r="G1" s="1831">
        <f>MATCH(C1,'数据-取费表'!A6:A16,0)+5</f>
        <v>10</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1585</v>
      </c>
      <c r="B2" s="1839" t="e">
        <f ca="1">ROUND(D2/10000,0)</f>
        <v>#DIV/0!</v>
      </c>
      <c r="C2" s="1840" t="s">
        <v>1586</v>
      </c>
      <c r="D2" s="1932" t="e">
        <f ca="1">C40+J29+L46</f>
        <v>#DIV/0!</v>
      </c>
      <c r="E2" s="1841" t="s">
        <v>1587</v>
      </c>
      <c r="F2" s="1842"/>
      <c r="G2" s="1843"/>
      <c r="H2" s="1835"/>
      <c r="I2" s="1835"/>
      <c r="J2" s="1835"/>
      <c r="K2" s="1836"/>
      <c r="L2" s="1835"/>
      <c r="M2" s="1835"/>
    </row>
    <row r="3" spans="1:37" ht="18" customHeight="1" thickBot="1">
      <c r="A3" s="1844" t="s">
        <v>1588</v>
      </c>
      <c r="B3" s="1845">
        <f ca="1">IF(ISERROR(D2/F43),0,ROUND(D2/F43,0))</f>
        <v>0</v>
      </c>
      <c r="C3" s="1840" t="s">
        <v>1589</v>
      </c>
      <c r="D3" s="1840"/>
      <c r="E3" s="1841"/>
      <c r="F3" s="1842"/>
      <c r="G3" s="1843"/>
      <c r="H3" s="742" t="s">
        <v>1583</v>
      </c>
      <c r="I3" s="1835"/>
      <c r="J3" s="1835"/>
      <c r="K3" s="1836"/>
      <c r="L3" s="1835"/>
      <c r="M3" s="1835"/>
    </row>
    <row r="4" spans="1:37" ht="18" customHeight="1">
      <c r="A4" s="340" t="s">
        <v>1590</v>
      </c>
      <c r="B4" s="341" t="s">
        <v>1591</v>
      </c>
      <c r="C4" s="341" t="s">
        <v>1592</v>
      </c>
      <c r="D4" s="341" t="s">
        <v>1593</v>
      </c>
      <c r="E4" s="342" t="s">
        <v>1594</v>
      </c>
      <c r="F4" s="343"/>
      <c r="G4" s="1846"/>
      <c r="H4" s="340" t="s">
        <v>1590</v>
      </c>
      <c r="I4" s="341" t="s">
        <v>1591</v>
      </c>
      <c r="J4" s="341" t="s">
        <v>1592</v>
      </c>
      <c r="K4" s="341" t="s">
        <v>1593</v>
      </c>
      <c r="L4" s="342" t="s">
        <v>1594</v>
      </c>
      <c r="M4" s="343"/>
    </row>
    <row r="5" spans="1:37" ht="18" customHeight="1">
      <c r="A5" s="344">
        <v>1</v>
      </c>
      <c r="B5" s="345" t="s">
        <v>1595</v>
      </c>
      <c r="C5" s="1288">
        <f ca="1">C6+C10+C12</f>
        <v>0</v>
      </c>
      <c r="D5" s="1817" t="s">
        <v>1596</v>
      </c>
      <c r="E5" s="1289"/>
      <c r="F5" s="1290"/>
      <c r="G5" s="1846"/>
      <c r="H5" s="344">
        <v>1</v>
      </c>
      <c r="I5" s="345" t="s">
        <v>1595</v>
      </c>
      <c r="J5" s="1288">
        <f ca="1">J6+J10+J12</f>
        <v>0</v>
      </c>
      <c r="K5" s="1817" t="s">
        <v>1596</v>
      </c>
      <c r="L5" s="1289"/>
      <c r="M5" s="1290"/>
    </row>
    <row r="6" spans="1:37" ht="18" customHeight="1">
      <c r="A6" s="1287" t="s">
        <v>1032</v>
      </c>
      <c r="B6" s="3332" t="s">
        <v>1398</v>
      </c>
      <c r="C6" s="1292">
        <f ca="1">ROUND(F6*F8*F7*(1-F9),0)</f>
        <v>0</v>
      </c>
      <c r="D6" s="164" t="s">
        <v>3021</v>
      </c>
      <c r="E6" s="347" t="s">
        <v>1400</v>
      </c>
      <c r="F6" s="348">
        <f ca="1">INDIRECT("'数据-取费表'!u"&amp;$G$1)</f>
        <v>0</v>
      </c>
      <c r="G6" s="1846"/>
      <c r="H6" s="1287" t="s">
        <v>1032</v>
      </c>
      <c r="I6" s="3332" t="s">
        <v>1398</v>
      </c>
      <c r="J6" s="346">
        <f ca="1">ROUND(M6*M8*M7*(1-M9),0)</f>
        <v>0</v>
      </c>
      <c r="K6" s="1829" t="s">
        <v>3022</v>
      </c>
      <c r="L6" s="347" t="s">
        <v>1400</v>
      </c>
      <c r="M6" s="348">
        <f ca="1">INDIRECT("'数据-取费表'!z"&amp;$G$1)</f>
        <v>0</v>
      </c>
    </row>
    <row r="7" spans="1:37" ht="18" customHeight="1">
      <c r="A7" s="1291"/>
      <c r="B7" s="3333"/>
      <c r="C7" s="1293"/>
      <c r="D7" s="352"/>
      <c r="E7" s="1294" t="s">
        <v>1401</v>
      </c>
      <c r="F7" s="348">
        <f ca="1">IF(INDIRECT("'数据-取费表'!ah"&amp;$G$1)="",INDIRECT("'数据-取费表'!k"&amp;$G$1),INDIRECT("'数据-取费表'!ah"&amp;$G$1))</f>
        <v>0</v>
      </c>
      <c r="G7" s="1846"/>
      <c r="H7" s="349"/>
      <c r="I7" s="3333"/>
      <c r="J7" s="351"/>
      <c r="K7" s="352"/>
      <c r="L7" s="347" t="s">
        <v>1401</v>
      </c>
      <c r="M7" s="348">
        <f ca="1">F7</f>
        <v>0</v>
      </c>
    </row>
    <row r="8" spans="1:37" ht="18" customHeight="1">
      <c r="A8" s="349"/>
      <c r="B8" s="3333"/>
      <c r="C8" s="351"/>
      <c r="D8" s="352"/>
      <c r="E8" s="347" t="s">
        <v>1402</v>
      </c>
      <c r="F8" s="348">
        <f ca="1">INDIRECT("'数据-取费表'!ai"&amp;$G$1)</f>
        <v>0</v>
      </c>
      <c r="G8" s="1846"/>
      <c r="H8" s="349"/>
      <c r="I8" s="3333"/>
      <c r="J8" s="351"/>
      <c r="K8" s="352"/>
      <c r="L8" s="347" t="s">
        <v>1402</v>
      </c>
      <c r="M8" s="348">
        <f ca="1">INDIRECT("'数据-取费表'!ai"&amp;$G$1)</f>
        <v>0</v>
      </c>
    </row>
    <row r="9" spans="1:37" ht="18" customHeight="1">
      <c r="A9" s="349"/>
      <c r="B9" s="3334"/>
      <c r="C9" s="351"/>
      <c r="D9" s="352"/>
      <c r="E9" s="347" t="s">
        <v>1403</v>
      </c>
      <c r="F9" s="357">
        <f ca="1">INDIRECT("'数据-取费表'!w"&amp;$G$1)</f>
        <v>0</v>
      </c>
      <c r="G9" s="1846"/>
      <c r="H9" s="349"/>
      <c r="I9" s="3334"/>
      <c r="J9" s="351"/>
      <c r="K9" s="352"/>
      <c r="L9" s="358" t="s">
        <v>1403</v>
      </c>
      <c r="M9" s="359">
        <f ca="1">INDIRECT("'数据-取费表'!ab"&amp;$G$1)</f>
        <v>0</v>
      </c>
    </row>
    <row r="10" spans="1:37" ht="18" customHeight="1">
      <c r="A10" s="1287" t="s">
        <v>1036</v>
      </c>
      <c r="B10" s="1818" t="s">
        <v>1404</v>
      </c>
      <c r="C10" s="361">
        <f ca="1">ROUND(IF(F10="押一",C6/12*F11,IF(F10="押二",C6/12*2*F11,IF(F10="押三",C6/12*3*F11,C11*F11))),0)</f>
        <v>0</v>
      </c>
      <c r="D10" s="1819" t="s">
        <v>3032</v>
      </c>
      <c r="E10" s="358" t="s">
        <v>1405</v>
      </c>
      <c r="F10" s="1362"/>
      <c r="G10" s="1846"/>
      <c r="H10" s="1287" t="s">
        <v>1036</v>
      </c>
      <c r="I10" s="1818" t="s">
        <v>1404</v>
      </c>
      <c r="J10" s="346">
        <f ca="1">ROUND(IF(M10="押一",J6/12*M11,IF(M10="押二",J6/12*2*M11,IF(M10="押三",J6/12*3*M11,J11*M11))),0)</f>
        <v>0</v>
      </c>
      <c r="K10" s="1830" t="s">
        <v>3034</v>
      </c>
      <c r="L10" s="358" t="s">
        <v>1405</v>
      </c>
      <c r="M10" s="1362"/>
    </row>
    <row r="11" spans="1:37" ht="18" customHeight="1">
      <c r="A11" s="353"/>
      <c r="B11" s="1820" t="s">
        <v>1597</v>
      </c>
      <c r="C11" s="1174"/>
      <c r="D11" s="352"/>
      <c r="E11" s="358" t="s">
        <v>1407</v>
      </c>
      <c r="F11" s="359">
        <f ca="1">'数据-取费表'!B39</f>
        <v>1.4999999999999999E-2</v>
      </c>
      <c r="G11" s="1846"/>
      <c r="H11" s="1295"/>
      <c r="I11" s="1820" t="s">
        <v>1598</v>
      </c>
      <c r="J11" s="1174"/>
      <c r="K11" s="746"/>
      <c r="L11" s="358" t="s">
        <v>1407</v>
      </c>
      <c r="M11" s="1052">
        <f ca="1">'数据-取费表'!B39</f>
        <v>1.4999999999999999E-2</v>
      </c>
    </row>
    <row r="12" spans="1:37" ht="18" customHeight="1" thickBot="1">
      <c r="A12" s="1329" t="s">
        <v>1072</v>
      </c>
      <c r="B12" s="1822" t="s">
        <v>1408</v>
      </c>
      <c r="C12" s="1330"/>
      <c r="D12" s="1331"/>
      <c r="E12" s="1336"/>
      <c r="F12" s="1332"/>
      <c r="G12" s="1846"/>
      <c r="H12" s="1329" t="s">
        <v>1072</v>
      </c>
      <c r="I12" s="1822" t="s">
        <v>1408</v>
      </c>
      <c r="J12" s="1330"/>
      <c r="K12" s="1344"/>
      <c r="L12" s="1336"/>
      <c r="M12" s="1345"/>
    </row>
    <row r="13" spans="1:37" ht="18" customHeight="1" thickTop="1">
      <c r="A13" s="1325">
        <v>2</v>
      </c>
      <c r="B13" s="1326" t="s">
        <v>1409</v>
      </c>
      <c r="C13" s="355">
        <f ca="1">ROUND(C29*F13,0)</f>
        <v>0</v>
      </c>
      <c r="D13" s="1327" t="s">
        <v>1410</v>
      </c>
      <c r="E13" s="1327" t="s">
        <v>1411</v>
      </c>
      <c r="F13" s="1328">
        <f ca="1">INDIRECT("'数据-取费表'!y"&amp;$G$1)</f>
        <v>0</v>
      </c>
      <c r="G13" s="1846"/>
      <c r="H13" s="1325">
        <v>2</v>
      </c>
      <c r="I13" s="1326" t="s">
        <v>1409</v>
      </c>
      <c r="J13" s="1286">
        <f ca="1">ROUND(J14*J15,0)</f>
        <v>0</v>
      </c>
      <c r="K13" s="1333" t="s">
        <v>1410</v>
      </c>
      <c r="L13" s="1847"/>
      <c r="M13" s="1848"/>
    </row>
    <row r="14" spans="1:37" ht="18" customHeight="1">
      <c r="A14" s="1197" t="s">
        <v>1031</v>
      </c>
      <c r="B14" s="347" t="s">
        <v>1412</v>
      </c>
      <c r="C14" s="363">
        <f ca="1">ROUND(INDIRECT("'数据-取费表'!l"&amp;$G$1)*F43+'数据-取费表'!L14*INDIRECT("'数据-取费表'!S"&amp;$G$1),0)</f>
        <v>0</v>
      </c>
      <c r="D14" s="1795" t="s">
        <v>1413</v>
      </c>
      <c r="E14" s="1789"/>
      <c r="F14" s="364"/>
      <c r="G14" s="1846"/>
      <c r="H14" s="1197" t="s">
        <v>1032</v>
      </c>
      <c r="I14" s="347" t="s">
        <v>1414</v>
      </c>
      <c r="J14" s="24">
        <f ca="1">C29</f>
        <v>0</v>
      </c>
      <c r="K14" s="15"/>
      <c r="L14" s="975"/>
      <c r="M14" s="976"/>
    </row>
    <row r="15" spans="1:37" s="1853" customFormat="1" ht="18" customHeight="1" thickBot="1">
      <c r="A15" s="1197" t="s">
        <v>1033</v>
      </c>
      <c r="B15" s="347" t="s">
        <v>1415</v>
      </c>
      <c r="C15" s="24">
        <f ca="1">ROUND(C14*F15,0)</f>
        <v>0</v>
      </c>
      <c r="D15" s="365" t="s">
        <v>1416</v>
      </c>
      <c r="E15" s="365" t="s">
        <v>1417</v>
      </c>
      <c r="F15" s="366">
        <f>'数据-取费表'!B33</f>
        <v>0.05</v>
      </c>
      <c r="G15" s="1849"/>
      <c r="H15" s="1335" t="s">
        <v>1036</v>
      </c>
      <c r="I15" s="1336" t="s">
        <v>1411</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1384</v>
      </c>
      <c r="B16" s="347" t="s">
        <v>1418</v>
      </c>
      <c r="C16" s="24">
        <f ca="1">ROUND(INDIRECT("'数据-取费表'!l"&amp;$G$1)*F43*F16,0)</f>
        <v>0</v>
      </c>
      <c r="D16" s="347" t="s">
        <v>1416</v>
      </c>
      <c r="E16" s="347" t="s">
        <v>1417</v>
      </c>
      <c r="F16" s="367">
        <f ca="1">IF(INDIRECT("'数据-取费表'!c"&amp;$G$1)="住宅",'数据-取费表'!B34,0)</f>
        <v>0</v>
      </c>
      <c r="G16" s="1846"/>
      <c r="H16" s="1325" t="s">
        <v>1027</v>
      </c>
      <c r="I16" s="1326" t="s">
        <v>1419</v>
      </c>
      <c r="J16" s="355">
        <f ca="1">ROUND(J17+J22+J23+J24,0)</f>
        <v>0</v>
      </c>
      <c r="K16" s="1333" t="s">
        <v>1420</v>
      </c>
      <c r="L16" s="1334"/>
      <c r="M16" s="1290"/>
    </row>
    <row r="17" spans="1:37" s="1853" customFormat="1" ht="18" customHeight="1">
      <c r="A17" s="1197" t="s">
        <v>1385</v>
      </c>
      <c r="B17" s="347" t="s">
        <v>1421</v>
      </c>
      <c r="C17" s="24">
        <f ca="1">ROUND(F17*(F43+INDIRECT("'数据-取费表'!S"&amp;$G$1)),0)</f>
        <v>0</v>
      </c>
      <c r="D17" s="347" t="s">
        <v>1422</v>
      </c>
      <c r="E17" s="347" t="s">
        <v>1423</v>
      </c>
      <c r="F17" s="26">
        <f>'数据-取费表'!B35</f>
        <v>200</v>
      </c>
      <c r="G17" s="1849"/>
      <c r="H17" s="1197" t="s">
        <v>1032</v>
      </c>
      <c r="I17" s="347" t="s">
        <v>1424</v>
      </c>
      <c r="J17" s="24">
        <f ca="1">ROUND(IF(项目基本情况!B11="自然人",J6*M17/(1+'数据-取费表'!C42),J18+J19+J20),0)</f>
        <v>0</v>
      </c>
      <c r="K17" s="1795" t="s">
        <v>1425</v>
      </c>
      <c r="L17" s="1793"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1386</v>
      </c>
      <c r="B18" s="347" t="s">
        <v>1427</v>
      </c>
      <c r="C18" s="24">
        <f ca="1">ROUND(C14*F18,0)</f>
        <v>0</v>
      </c>
      <c r="D18" s="347" t="s">
        <v>1416</v>
      </c>
      <c r="E18" s="347" t="s">
        <v>1417</v>
      </c>
      <c r="F18" s="367">
        <f>'数据-取费表'!B36</f>
        <v>1.4999999999999999E-2</v>
      </c>
      <c r="G18" s="1849"/>
      <c r="H18" s="1197" t="s">
        <v>1031</v>
      </c>
      <c r="I18" s="347" t="s">
        <v>1428</v>
      </c>
      <c r="J18" s="24">
        <f ca="1">ROUND(J6*M18/(1+'数据-取费表'!C42),0)</f>
        <v>0</v>
      </c>
      <c r="K18" s="1793"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1032</v>
      </c>
      <c r="B19" s="347" t="s">
        <v>1430</v>
      </c>
      <c r="C19" s="24">
        <f ca="1">SUM(C14:C18)</f>
        <v>0</v>
      </c>
      <c r="D19" s="140" t="s">
        <v>1431</v>
      </c>
      <c r="E19" s="1813"/>
      <c r="F19" s="26"/>
      <c r="G19" s="1846"/>
      <c r="H19" s="1197" t="s">
        <v>1033</v>
      </c>
      <c r="I19" s="347" t="s">
        <v>1432</v>
      </c>
      <c r="J19" s="24">
        <f ca="1">IF(K19="按租金收入计税",ROUND(J6*M19/(1+'数据-取费表'!C42),0),ROUND(C29*M19*0.7,0))</f>
        <v>0</v>
      </c>
      <c r="K19" s="1823" t="s">
        <v>1433</v>
      </c>
      <c r="L19" s="347" t="s">
        <v>1417</v>
      </c>
      <c r="M19" s="367">
        <f>IF(K19="按租金收入计税",'数据-取费表'!B51,'数据-取费表'!B50)</f>
        <v>1.2E-2</v>
      </c>
    </row>
    <row r="20" spans="1:37" s="1853" customFormat="1" ht="18" customHeight="1">
      <c r="A20" s="1197" t="s">
        <v>1036</v>
      </c>
      <c r="B20" s="347" t="s">
        <v>1434</v>
      </c>
      <c r="C20" s="24">
        <f ca="1">ROUND(C19*F20,0)</f>
        <v>0</v>
      </c>
      <c r="D20" s="369" t="s">
        <v>1435</v>
      </c>
      <c r="E20" s="347" t="s">
        <v>1417</v>
      </c>
      <c r="F20" s="367">
        <f>'数据-取费表'!B37</f>
        <v>2.5000000000000001E-2</v>
      </c>
      <c r="G20" s="1849"/>
      <c r="H20" s="1197" t="s">
        <v>1384</v>
      </c>
      <c r="I20" s="164" t="s">
        <v>1436</v>
      </c>
      <c r="J20" s="25">
        <f ca="1">ROUND(M20*M21,0)</f>
        <v>0</v>
      </c>
      <c r="K20" s="370" t="s">
        <v>1437</v>
      </c>
      <c r="L20" s="347" t="s">
        <v>1438</v>
      </c>
      <c r="M20" s="371">
        <f>'数据-取费表'!B52</f>
        <v>20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1072</v>
      </c>
      <c r="B21" s="347" t="s">
        <v>1439</v>
      </c>
      <c r="C21" s="24" t="s">
        <v>1</v>
      </c>
      <c r="D21" s="369" t="s">
        <v>1440</v>
      </c>
      <c r="E21" s="347" t="s">
        <v>1441</v>
      </c>
      <c r="F21" s="367">
        <f>'数据-取费表'!B38</f>
        <v>0.03</v>
      </c>
      <c r="G21" s="1849"/>
      <c r="H21" s="372"/>
      <c r="I21" s="356"/>
      <c r="J21" s="29"/>
      <c r="K21" s="373"/>
      <c r="L21" s="347" t="s">
        <v>1442</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1387</v>
      </c>
      <c r="B22" s="347" t="s">
        <v>1443</v>
      </c>
      <c r="C22" s="24"/>
      <c r="D22" s="140" t="str">
        <f>IF(F23&lt;=1,"单利计息。","复利计息。")&amp;"建造成本、管理费用、销售费用产生的利息。"</f>
        <v>复利计息。建造成本、管理费用、销售费用产生的利息。</v>
      </c>
      <c r="E22" s="1813"/>
      <c r="F22" s="26"/>
      <c r="G22" s="1846"/>
      <c r="H22" s="1197" t="s">
        <v>1036</v>
      </c>
      <c r="I22" s="347" t="s">
        <v>1444</v>
      </c>
      <c r="J22" s="24">
        <f ca="1">ROUND(J14*M22,0)</f>
        <v>0</v>
      </c>
      <c r="K22" s="1793" t="s">
        <v>1445</v>
      </c>
      <c r="L22" s="347" t="s">
        <v>1417</v>
      </c>
      <c r="M22" s="374">
        <f ca="1">INDIRECT("'数据-取费表'!Ak"&amp;$G$1)</f>
        <v>0</v>
      </c>
    </row>
    <row r="23" spans="1:37" s="1853" customFormat="1" ht="18" customHeight="1">
      <c r="A23" s="1197"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4</v>
      </c>
      <c r="G23" s="1849"/>
      <c r="H23" s="1197" t="s">
        <v>1072</v>
      </c>
      <c r="I23" s="347" t="s">
        <v>1448</v>
      </c>
      <c r="J23" s="24">
        <f ca="1">ROUND(J13*M23,0)</f>
        <v>0</v>
      </c>
      <c r="K23" s="1793" t="s">
        <v>1449</v>
      </c>
      <c r="L23" s="347" t="s">
        <v>1450</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1451</v>
      </c>
      <c r="B24" s="347" t="s">
        <v>1452</v>
      </c>
      <c r="C24" s="24">
        <f ca="1">ROUND(IF('数据-取费表'!B22&lt;=1,F21*F24*F23/2,F21*(POWER((1+F24),F23/2)-1)),4)</f>
        <v>2.8999999999999998E-3</v>
      </c>
      <c r="D24" s="375" t="str">
        <f>IF(F23&lt;=1,"销售费用×利率×(建设周期÷2)","销售费用×((1+利率)^(建设周期÷2)-1)")</f>
        <v>销售费用×((1+利率)^(建设周期÷2)-1)</v>
      </c>
      <c r="E24" s="347" t="s">
        <v>1453</v>
      </c>
      <c r="F24" s="377">
        <f ca="1">'数据-取费表'!B40</f>
        <v>4.7500000000000001E-2</v>
      </c>
      <c r="G24" s="1849"/>
      <c r="H24" s="1335" t="s">
        <v>1388</v>
      </c>
      <c r="I24" s="1336" t="s">
        <v>1434</v>
      </c>
      <c r="J24" s="1337">
        <f ca="1">ROUND(J5*M24,0)</f>
        <v>0</v>
      </c>
      <c r="K24" s="1338" t="s">
        <v>1454</v>
      </c>
      <c r="L24" s="1336" t="s">
        <v>1450</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1455</v>
      </c>
      <c r="B25" s="347" t="s">
        <v>1456</v>
      </c>
      <c r="C25" s="24"/>
      <c r="D25" s="140" t="s">
        <v>1457</v>
      </c>
      <c r="E25" s="1813"/>
      <c r="F25" s="26"/>
      <c r="G25" s="1846"/>
      <c r="H25" s="1325" t="s">
        <v>1028</v>
      </c>
      <c r="I25" s="1340" t="s">
        <v>1458</v>
      </c>
      <c r="J25" s="355">
        <f ca="1">J5-J16</f>
        <v>0</v>
      </c>
      <c r="K25" s="1341" t="s">
        <v>1459</v>
      </c>
      <c r="L25" s="1342"/>
      <c r="M25" s="1343"/>
    </row>
    <row r="26" spans="1:37" ht="18" customHeight="1">
      <c r="A26" s="1197" t="s">
        <v>1031</v>
      </c>
      <c r="B26" s="347" t="s">
        <v>1460</v>
      </c>
      <c r="C26" s="24">
        <f ca="1">ROUND((C19+C20)*F26,0)</f>
        <v>0</v>
      </c>
      <c r="D26" s="369" t="s">
        <v>1461</v>
      </c>
      <c r="E26" s="358" t="s">
        <v>1462</v>
      </c>
      <c r="F26" s="357">
        <f ca="1">INDIRECT("'数据-取费表'!q"&amp;$G$1)</f>
        <v>0</v>
      </c>
      <c r="G26" s="1846"/>
      <c r="H26" s="344" t="s">
        <v>1029</v>
      </c>
      <c r="I26" s="345" t="s">
        <v>1463</v>
      </c>
      <c r="J26" s="346">
        <f ca="1">IF(J5&lt;&gt;0,ROUND(J25*(1-((1+M28)/(1+M26))^M27)/(M26-M28),0),0)</f>
        <v>0</v>
      </c>
      <c r="K26" s="370" t="s">
        <v>1464</v>
      </c>
      <c r="L26" s="347" t="s">
        <v>1465</v>
      </c>
      <c r="M26" s="357">
        <f ca="1">INDIRECT("'数据-取费表'!I"&amp;$G$1)</f>
        <v>0</v>
      </c>
    </row>
    <row r="27" spans="1:37" ht="18" customHeight="1">
      <c r="A27" s="1197" t="s">
        <v>1033</v>
      </c>
      <c r="B27" s="347" t="s">
        <v>1466</v>
      </c>
      <c r="C27" s="24">
        <f ca="1">ROUND(F21*F26,4)</f>
        <v>0</v>
      </c>
      <c r="D27" s="369" t="s">
        <v>1467</v>
      </c>
      <c r="E27" s="365"/>
      <c r="F27" s="366"/>
      <c r="G27" s="1846"/>
      <c r="H27" s="349"/>
      <c r="I27" s="350"/>
      <c r="J27" s="351"/>
      <c r="K27" s="378" t="s">
        <v>1468</v>
      </c>
      <c r="L27" s="347" t="s">
        <v>1469</v>
      </c>
      <c r="M27" s="379">
        <f ca="1">INDIRECT("'数据-取费表'!ag"&amp;$G$1)</f>
        <v>0</v>
      </c>
    </row>
    <row r="28" spans="1:37" s="1853" customFormat="1" ht="18" customHeight="1">
      <c r="A28" s="1197"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1473</v>
      </c>
      <c r="C29" s="1337">
        <f ca="1">ROUND((C19+C20+C23+C26)/(1-F21-C24-C27-C28),0)</f>
        <v>0</v>
      </c>
      <c r="D29" s="1338"/>
      <c r="E29" s="1336"/>
      <c r="F29" s="1339"/>
      <c r="G29" s="1849"/>
      <c r="H29" s="380" t="s">
        <v>1030</v>
      </c>
      <c r="I29" s="381" t="s">
        <v>1474</v>
      </c>
      <c r="J29" s="382">
        <f ca="1">ROUND(J26/(1+F40)^F41,0)</f>
        <v>0</v>
      </c>
      <c r="K29" s="383" t="s">
        <v>1475</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1419</v>
      </c>
      <c r="C30" s="355">
        <f ca="1">ROUND(C31+C36+C37+C38,0)</f>
        <v>0</v>
      </c>
      <c r="D30" s="1333" t="s">
        <v>1420</v>
      </c>
      <c r="E30" s="1334"/>
      <c r="F30" s="1290"/>
      <c r="G30" s="1846"/>
      <c r="H30" s="743"/>
      <c r="I30" s="744"/>
      <c r="J30" s="745"/>
      <c r="K30" s="746"/>
      <c r="L30" s="747"/>
      <c r="M30" s="748"/>
    </row>
    <row r="31" spans="1:37" ht="18" customHeight="1">
      <c r="A31" s="1197" t="s">
        <v>1032</v>
      </c>
      <c r="B31" s="347" t="s">
        <v>1424</v>
      </c>
      <c r="C31" s="24">
        <f ca="1">ROUND(IF(项目基本情况!B11="自然人",C6*F31/(1+'数据-取费表'!C42),C32+C33+C34),0)</f>
        <v>0</v>
      </c>
      <c r="D31" s="1795" t="s">
        <v>1425</v>
      </c>
      <c r="E31" s="1793" t="s">
        <v>1476</v>
      </c>
      <c r="F31" s="368" t="str">
        <f ca="1">IF(项目基本情况!B11="企业","",IF(INDIRECT("'数据-取费表'!c"&amp;$G$1)="住宅",5%,IF(F6*F7*F8/12/(1+'数据-取费表'!C42)&gt;20000,12%,7%)))</f>
        <v/>
      </c>
      <c r="G31" s="1846"/>
      <c r="H31" s="743"/>
      <c r="I31" s="744"/>
      <c r="J31" s="745"/>
      <c r="K31" s="746"/>
      <c r="L31" s="747"/>
      <c r="M31" s="748"/>
    </row>
    <row r="32" spans="1:37" ht="18" customHeight="1">
      <c r="A32" s="1197" t="s">
        <v>1031</v>
      </c>
      <c r="B32" s="347" t="s">
        <v>1428</v>
      </c>
      <c r="C32" s="24">
        <f ca="1">IF(项目基本情况!B11="自然人","——",ROUND(C6*F32/(1+'数据-取费表'!C42),0))</f>
        <v>0</v>
      </c>
      <c r="D32" s="1793" t="s">
        <v>1429</v>
      </c>
      <c r="E32" s="347" t="s">
        <v>1417</v>
      </c>
      <c r="F32" s="377">
        <f>'数据-取费表'!B41</f>
        <v>5.6000000000000001E-2</v>
      </c>
      <c r="G32" s="1846"/>
      <c r="H32" s="743"/>
      <c r="I32" s="744"/>
      <c r="J32" s="745"/>
      <c r="K32" s="746"/>
      <c r="L32" s="747"/>
      <c r="M32" s="748"/>
    </row>
    <row r="33" spans="1:18" ht="18" customHeight="1">
      <c r="A33" s="1197" t="s">
        <v>1033</v>
      </c>
      <c r="B33" s="347" t="s">
        <v>1432</v>
      </c>
      <c r="C33" s="24">
        <f ca="1">IF(项目基本情况!B11="自然人","——",IF(D33="按租金收入计税",ROUND(C6*F33/(1+'数据-取费表'!C42),0),IF(D33="按房产原值计税",ROUND(C29*F33*0.7,0),INDIRECT("'数据-取费表'!Aj"&amp;$G$1))))</f>
        <v>0</v>
      </c>
      <c r="D33" s="1823" t="s">
        <v>1433</v>
      </c>
      <c r="E33" s="347" t="s">
        <v>1417</v>
      </c>
      <c r="F33" s="367">
        <f>IF(D33="按票据","——",IF(D33="按租金收入计税",'数据-取费表'!B51,'数据-取费表'!B50))</f>
        <v>1.2E-2</v>
      </c>
      <c r="G33" s="1846"/>
      <c r="H33" s="1854"/>
      <c r="I33" s="1855"/>
      <c r="J33" s="1856"/>
      <c r="K33" s="1857"/>
      <c r="L33" s="1854"/>
      <c r="M33" s="1854"/>
    </row>
    <row r="34" spans="1:18" ht="18" customHeight="1">
      <c r="A34" s="1287" t="s">
        <v>1384</v>
      </c>
      <c r="B34" s="164" t="s">
        <v>1436</v>
      </c>
      <c r="C34" s="25">
        <f ca="1">IF(项目基本情况!B11="自然人","——",ROUND(F34*F35,))</f>
        <v>0</v>
      </c>
      <c r="D34" s="370" t="s">
        <v>1437</v>
      </c>
      <c r="E34" s="347" t="s">
        <v>1438</v>
      </c>
      <c r="F34" s="371">
        <f>'数据-取费表'!B52</f>
        <v>20</v>
      </c>
      <c r="G34" s="1846"/>
      <c r="H34" s="743"/>
      <c r="I34" s="1855"/>
      <c r="J34" s="1856"/>
      <c r="K34" s="1858"/>
      <c r="L34" s="1859"/>
      <c r="M34" s="1859"/>
    </row>
    <row r="35" spans="1:18" ht="18" customHeight="1">
      <c r="A35" s="1349"/>
      <c r="B35" s="1347"/>
      <c r="C35" s="29"/>
      <c r="D35" s="373"/>
      <c r="E35" s="347" t="s">
        <v>1442</v>
      </c>
      <c r="F35" s="348">
        <f ca="1">INDIRECT("'数据-取费表'!r"&amp;$G$1)</f>
        <v>0</v>
      </c>
      <c r="G35" s="1846"/>
      <c r="H35" s="743"/>
      <c r="I35" s="1855"/>
      <c r="J35" s="1856"/>
      <c r="K35" s="1857"/>
      <c r="L35" s="1854"/>
      <c r="M35" s="1854"/>
    </row>
    <row r="36" spans="1:18" ht="18" customHeight="1">
      <c r="A36" s="1348" t="s">
        <v>1036</v>
      </c>
      <c r="B36" s="347" t="s">
        <v>1444</v>
      </c>
      <c r="C36" s="24">
        <f ca="1">ROUND(C29*F36,0)</f>
        <v>0</v>
      </c>
      <c r="D36" s="1793" t="s">
        <v>1477</v>
      </c>
      <c r="E36" s="347" t="s">
        <v>1417</v>
      </c>
      <c r="F36" s="374">
        <f ca="1">INDIRECT("'数据-取费表'!Ak"&amp;$G$1)</f>
        <v>0</v>
      </c>
      <c r="G36" s="1846"/>
      <c r="H36" s="1854"/>
      <c r="I36" s="1855"/>
      <c r="J36" s="1856"/>
      <c r="K36" s="749"/>
      <c r="L36" s="1854"/>
      <c r="M36" s="1854"/>
    </row>
    <row r="37" spans="1:18" ht="18" customHeight="1">
      <c r="A37" s="1197" t="s">
        <v>1072</v>
      </c>
      <c r="B37" s="347" t="s">
        <v>1448</v>
      </c>
      <c r="C37" s="24">
        <f ca="1">ROUND(C13*F37,0)</f>
        <v>0</v>
      </c>
      <c r="D37" s="1793" t="s">
        <v>1449</v>
      </c>
      <c r="E37" s="347" t="s">
        <v>1450</v>
      </c>
      <c r="F37" s="376">
        <f ca="1">INDIRECT("'数据-取费表'!Al"&amp;$G$1)</f>
        <v>0</v>
      </c>
      <c r="G37" s="1846"/>
      <c r="H37" s="1854"/>
      <c r="I37" s="1855"/>
      <c r="J37" s="1856"/>
      <c r="K37" s="749"/>
      <c r="L37" s="1854"/>
      <c r="M37" s="1854"/>
    </row>
    <row r="38" spans="1:18" ht="18" customHeight="1" thickBot="1">
      <c r="A38" s="1335" t="s">
        <v>1388</v>
      </c>
      <c r="B38" s="1336" t="s">
        <v>1434</v>
      </c>
      <c r="C38" s="1337">
        <f ca="1">ROUND(C5*F38,1)</f>
        <v>0</v>
      </c>
      <c r="D38" s="1338" t="s">
        <v>1454</v>
      </c>
      <c r="E38" s="1336" t="s">
        <v>1450</v>
      </c>
      <c r="F38" s="1332">
        <f ca="1">INDIRECT("'数据-取费表'!Am"&amp;$G$1)</f>
        <v>0</v>
      </c>
      <c r="G38" s="1846"/>
      <c r="H38" s="1854"/>
      <c r="I38" s="1855"/>
      <c r="J38" s="1856"/>
      <c r="K38" s="1860"/>
      <c r="L38" s="1854"/>
      <c r="M38" s="1854"/>
    </row>
    <row r="39" spans="1:18" ht="24.6" customHeight="1" thickTop="1">
      <c r="A39" s="1325" t="s">
        <v>1028</v>
      </c>
      <c r="B39" s="1340" t="s">
        <v>1478</v>
      </c>
      <c r="C39" s="355">
        <f ca="1">C5-C30</f>
        <v>0</v>
      </c>
      <c r="D39" s="1341" t="s">
        <v>1479</v>
      </c>
      <c r="E39" s="1342"/>
      <c r="F39" s="1343"/>
      <c r="G39" s="1846"/>
      <c r="H39" s="1854"/>
      <c r="I39" s="1855"/>
      <c r="J39" s="1856"/>
      <c r="K39" s="1860"/>
      <c r="L39" s="1854"/>
      <c r="M39" s="1854"/>
    </row>
    <row r="40" spans="1:18" ht="18" customHeight="1">
      <c r="A40" s="344" t="s">
        <v>1029</v>
      </c>
      <c r="B40" s="345" t="s">
        <v>1480</v>
      </c>
      <c r="C40" s="346" t="e">
        <f ca="1">ROUND(C39*(1-((1+F42)/(1+F40))^F41)/(F40-F42),0)</f>
        <v>#DIV/0!</v>
      </c>
      <c r="D40" s="370" t="s">
        <v>1464</v>
      </c>
      <c r="E40" s="347" t="s">
        <v>1465</v>
      </c>
      <c r="F40" s="357">
        <f ca="1">INDIRECT("'数据-取费表'!I"&amp;$G$1)</f>
        <v>0</v>
      </c>
      <c r="G40" s="1846"/>
      <c r="H40" s="1834"/>
      <c r="I40" s="1855"/>
      <c r="J40" s="1856"/>
      <c r="K40" s="1860"/>
      <c r="L40" s="1834"/>
      <c r="M40" s="1834"/>
    </row>
    <row r="41" spans="1:18" ht="18" customHeight="1">
      <c r="A41" s="349"/>
      <c r="B41" s="350"/>
      <c r="C41" s="351"/>
      <c r="D41" s="378" t="s">
        <v>1481</v>
      </c>
      <c r="E41" s="347" t="s">
        <v>1469</v>
      </c>
      <c r="F41" s="379">
        <f ca="1">IF(INDIRECT("'数据-取费表'!af"&amp;$G$1)=0,INDIRECT("'数据-取费表'!ae"&amp;$G$1),INDIRECT("'数据-取费表'!af"&amp;$G$1))</f>
        <v>0</v>
      </c>
      <c r="G41" s="1846"/>
      <c r="H41" s="730"/>
      <c r="I41" s="1855"/>
      <c r="J41" s="1856"/>
      <c r="K41" s="749"/>
      <c r="L41" s="730"/>
      <c r="M41" s="730"/>
    </row>
    <row r="42" spans="1:18" ht="18" customHeight="1">
      <c r="A42" s="353"/>
      <c r="B42" s="354"/>
      <c r="C42" s="355"/>
      <c r="D42" s="373"/>
      <c r="E42" s="347" t="s">
        <v>1472</v>
      </c>
      <c r="F42" s="357">
        <f ca="1">INDIRECT("'数据-取费表'!v"&amp;$G$1)</f>
        <v>0</v>
      </c>
      <c r="G42" s="1846"/>
      <c r="H42" s="730"/>
      <c r="I42" s="1855"/>
      <c r="J42" s="1856"/>
      <c r="K42" s="749"/>
      <c r="L42" s="730"/>
      <c r="M42" s="730"/>
    </row>
    <row r="43" spans="1:18" ht="18" customHeight="1" thickBot="1">
      <c r="A43" s="380" t="s">
        <v>1030</v>
      </c>
      <c r="B43" s="381" t="s">
        <v>1482</v>
      </c>
      <c r="C43" s="382" t="e">
        <f ca="1">ROUND(C40/F43,0)</f>
        <v>#DIV/0!</v>
      </c>
      <c r="D43" s="383" t="s">
        <v>1483</v>
      </c>
      <c r="E43" s="384" t="s">
        <v>1484</v>
      </c>
      <c r="F43" s="385">
        <f ca="1">INDIRECT("'数据-取费表'!k"&amp;$G$1)</f>
        <v>0</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933" t="e">
        <f ca="1">C68-C40</f>
        <v>#DIV/0!</v>
      </c>
      <c r="D45" s="1934" t="s">
        <v>1599</v>
      </c>
      <c r="E45" s="1861"/>
      <c r="F45" s="1861"/>
      <c r="O45" s="1864" t="s">
        <v>1514</v>
      </c>
      <c r="P45" s="1834"/>
      <c r="Q45" s="1834"/>
      <c r="R45" s="1834"/>
    </row>
    <row r="46" spans="1:18" s="1837" customFormat="1" ht="13.5" thickBot="1">
      <c r="A46" s="1865" t="s">
        <v>1515</v>
      </c>
      <c r="C46" s="1866" t="e">
        <f ca="1">ROUND(C45/10000,0)</f>
        <v>#DIV/0!</v>
      </c>
      <c r="D46" s="1867" t="str">
        <f>C2</f>
        <v>万元</v>
      </c>
      <c r="I46" s="1868" t="s">
        <v>1516</v>
      </c>
      <c r="J46" s="1869"/>
      <c r="K46" s="1870"/>
      <c r="L46" s="1871" t="e">
        <f ca="1">IF(M47="住宅",0,IF(L48&gt;J51,L60,J60))</f>
        <v>#DIV/0!</v>
      </c>
      <c r="O46" s="1872" t="s">
        <v>1517</v>
      </c>
      <c r="P46" s="1873" t="s">
        <v>1518</v>
      </c>
      <c r="Q46" s="1874" t="s">
        <v>1519</v>
      </c>
      <c r="R46" s="1874" t="s">
        <v>1520</v>
      </c>
    </row>
    <row r="47" spans="1:18" s="1837" customFormat="1" ht="13.5" thickBot="1">
      <c r="A47" s="1161" t="s">
        <v>1391</v>
      </c>
      <c r="B47" s="1193" t="s">
        <v>1392</v>
      </c>
      <c r="C47" s="1193" t="s">
        <v>1393</v>
      </c>
      <c r="D47" s="1193" t="s">
        <v>1394</v>
      </c>
      <c r="E47" s="1275" t="s">
        <v>1395</v>
      </c>
      <c r="F47" s="1276"/>
      <c r="G47" s="790"/>
      <c r="I47" s="1875" t="s">
        <v>1521</v>
      </c>
      <c r="J47" s="1876"/>
      <c r="K47" s="1877" t="s">
        <v>1522</v>
      </c>
      <c r="L47" s="1878">
        <f ca="1">INDIRECT("'数据-取费表'!d"&amp;$G$1)</f>
        <v>0</v>
      </c>
      <c r="M47" s="1833" t="str">
        <f>IF(ISNUMBER(FIND("住宅",C1)),"住宅","非住宅")</f>
        <v>非住宅</v>
      </c>
      <c r="O47" s="1879" t="s">
        <v>1037</v>
      </c>
      <c r="P47" s="1880" t="s">
        <v>1523</v>
      </c>
      <c r="Q47" s="1881" t="e">
        <f ca="1">C40+J29</f>
        <v>#DIV/0!</v>
      </c>
      <c r="R47" s="1881" t="s">
        <v>1524</v>
      </c>
    </row>
    <row r="48" spans="1:18" s="1837" customFormat="1" ht="28.5" thickBot="1">
      <c r="A48" s="1356" t="s">
        <v>1132</v>
      </c>
      <c r="B48" s="345" t="s">
        <v>1396</v>
      </c>
      <c r="C48" s="1812">
        <f ca="1">C49+C53+C55</f>
        <v>0</v>
      </c>
      <c r="D48" s="1358"/>
      <c r="E48" s="1359"/>
      <c r="F48" s="1177"/>
      <c r="G48" s="790"/>
      <c r="H48" s="791"/>
      <c r="I48" s="1882" t="s">
        <v>1525</v>
      </c>
      <c r="J48" s="1883"/>
      <c r="K48" s="1884" t="s">
        <v>1526</v>
      </c>
      <c r="L48" s="1885">
        <f ca="1">INDIRECT("'数据-取费表'!f"&amp;$G$1)</f>
        <v>0</v>
      </c>
      <c r="O48" s="1879" t="s">
        <v>1038</v>
      </c>
      <c r="P48" s="1880" t="s">
        <v>1527</v>
      </c>
      <c r="Q48" s="1881" t="e">
        <f ca="1">J60</f>
        <v>#DIV/0!</v>
      </c>
      <c r="R48" s="1881" t="s">
        <v>1528</v>
      </c>
    </row>
    <row r="49" spans="1:18" s="1837" customFormat="1" ht="13.5" thickBot="1">
      <c r="A49" s="1190" t="s">
        <v>1133</v>
      </c>
      <c r="B49" s="1824" t="s">
        <v>1485</v>
      </c>
      <c r="C49" s="1360">
        <f ca="1">ROUND(F49*F51*F50*(1-F52),0)</f>
        <v>0</v>
      </c>
      <c r="D49" s="1272" t="s">
        <v>1399</v>
      </c>
      <c r="E49" s="1825" t="s">
        <v>1486</v>
      </c>
      <c r="F49" s="1277"/>
      <c r="G49" s="1886"/>
      <c r="H49" s="791"/>
      <c r="I49" s="1882" t="s">
        <v>1529</v>
      </c>
      <c r="J49" s="1887"/>
      <c r="K49" s="1884" t="s">
        <v>1530</v>
      </c>
      <c r="L49" s="1888"/>
      <c r="O49" s="1889" t="s">
        <v>1039</v>
      </c>
      <c r="P49" s="1880" t="s">
        <v>1531</v>
      </c>
      <c r="Q49" s="1881">
        <f ca="1">C29</f>
        <v>0</v>
      </c>
      <c r="R49" s="1881" t="s">
        <v>1524</v>
      </c>
    </row>
    <row r="50" spans="1:18" s="1837" customFormat="1" ht="13.5" thickBot="1">
      <c r="A50" s="1191"/>
      <c r="B50" s="1194"/>
      <c r="C50" s="1195"/>
      <c r="D50" s="1168"/>
      <c r="E50" s="1273" t="s">
        <v>1401</v>
      </c>
      <c r="F50" s="1274">
        <f ca="1">F7</f>
        <v>0</v>
      </c>
      <c r="H50" s="791"/>
      <c r="I50" s="1882" t="s">
        <v>1532</v>
      </c>
      <c r="J50" s="1890">
        <f>SUMPRODUCT((I63:I65=J47)*(J62:L62=J48)*(J63:L65))</f>
        <v>0</v>
      </c>
      <c r="K50" s="1884" t="s">
        <v>1533</v>
      </c>
      <c r="L50" s="1888"/>
      <c r="M50" s="1891"/>
      <c r="O50" s="1889" t="s">
        <v>1040</v>
      </c>
      <c r="P50" s="1880" t="s">
        <v>1534</v>
      </c>
      <c r="Q50" s="1892" t="e">
        <f ca="1">J58</f>
        <v>#DIV/0!</v>
      </c>
      <c r="R50" s="1881"/>
    </row>
    <row r="51" spans="1:18" s="1837" customFormat="1" ht="13.5" thickBot="1">
      <c r="A51" s="1192"/>
      <c r="B51" s="1194"/>
      <c r="C51" s="1195"/>
      <c r="D51" s="1168"/>
      <c r="E51" s="1196" t="s">
        <v>1402</v>
      </c>
      <c r="F51" s="348">
        <f ca="1">F8</f>
        <v>0</v>
      </c>
      <c r="I51" s="1893" t="s">
        <v>1535</v>
      </c>
      <c r="J51" s="1894">
        <f>IF(J49="",J50,J49+J50-YEAR('数据-取费表'!B2))</f>
        <v>0</v>
      </c>
      <c r="K51" s="1895" t="s">
        <v>1536</v>
      </c>
      <c r="L51" s="1896">
        <f ca="1">ROUND(-PV(INDIRECT("'数据-取费表'!h"&amp;$G$1),L48,(C39-C13*C76),0),0)</f>
        <v>0</v>
      </c>
      <c r="M51" s="1897"/>
      <c r="O51" s="1889" t="s">
        <v>1041</v>
      </c>
      <c r="P51" s="1880" t="s">
        <v>1537</v>
      </c>
      <c r="Q51" s="1892">
        <f>J52</f>
        <v>0</v>
      </c>
      <c r="R51" s="1881"/>
    </row>
    <row r="52" spans="1:18" s="1837" customFormat="1" ht="13.5" thickBot="1">
      <c r="A52" s="1192"/>
      <c r="B52" s="1194"/>
      <c r="C52" s="1195"/>
      <c r="D52" s="1168"/>
      <c r="E52" s="1196" t="s">
        <v>1403</v>
      </c>
      <c r="F52" s="1271"/>
      <c r="I52" s="1898" t="s">
        <v>1538</v>
      </c>
      <c r="J52" s="1899"/>
      <c r="K52" s="1898" t="s">
        <v>1539</v>
      </c>
      <c r="L52" s="1899"/>
      <c r="O52" s="1889" t="s">
        <v>1042</v>
      </c>
      <c r="P52" s="1880" t="s">
        <v>1540</v>
      </c>
      <c r="Q52" s="1881">
        <f ca="1">J53</f>
        <v>-2</v>
      </c>
      <c r="R52" s="1881" t="s">
        <v>1541</v>
      </c>
    </row>
    <row r="53" spans="1:18" s="1837" customFormat="1" ht="30.75" customHeight="1" thickBot="1">
      <c r="A53" s="1357" t="s">
        <v>1134</v>
      </c>
      <c r="B53" s="369" t="s">
        <v>1404</v>
      </c>
      <c r="C53" s="361">
        <f ca="1">ROUND(IF(F53="押一",C49/12*F11,IF(F53="押二",C49/12*2*F11,IF(F53="押三",C49/12*3*F11,C54*F11))),0)</f>
        <v>0</v>
      </c>
      <c r="D53" s="1819" t="s">
        <v>3035</v>
      </c>
      <c r="E53" s="358" t="s">
        <v>1405</v>
      </c>
      <c r="F53" s="1362"/>
      <c r="I53" s="1900" t="s">
        <v>1542</v>
      </c>
      <c r="J53" s="2941">
        <f ca="1">IF(M47="住宅",IF(D1="——",MAX(J51,L48),MAX(J51,L48-'数据-取费表'!B24)),IF(D1="——",MIN(J51,L48),MIN(J51,L48-'数据-取费表'!B24)))</f>
        <v>-2</v>
      </c>
      <c r="K53" s="3335" t="s">
        <v>1543</v>
      </c>
      <c r="L53" s="3336"/>
      <c r="O53" s="1879" t="s">
        <v>1043</v>
      </c>
      <c r="P53" s="1880" t="s">
        <v>1544</v>
      </c>
      <c r="Q53" s="1881" t="e">
        <f ca="1">Q47+Q48</f>
        <v>#DIV/0!</v>
      </c>
      <c r="R53" s="1881" t="s">
        <v>1044</v>
      </c>
    </row>
    <row r="54" spans="1:18" s="1837" customFormat="1" ht="13.5" thickBot="1">
      <c r="A54" s="1190"/>
      <c r="B54" s="1935" t="s">
        <v>1598</v>
      </c>
      <c r="C54" s="1174"/>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1545</v>
      </c>
      <c r="P54" s="1834"/>
      <c r="Q54" s="1834"/>
      <c r="R54" s="1834"/>
    </row>
    <row r="55" spans="1:18" s="1837" customFormat="1" ht="13.5" thickBot="1">
      <c r="A55" s="1329" t="s">
        <v>1072</v>
      </c>
      <c r="B55" s="1822" t="s">
        <v>1408</v>
      </c>
      <c r="C55" s="1330"/>
      <c r="D55" s="1819"/>
      <c r="E55" s="1827"/>
      <c r="F55" s="1901"/>
      <c r="I55" s="1904" t="s">
        <v>1546</v>
      </c>
      <c r="J55" s="1905" t="e">
        <f ca="1">ROUND(IF(J47="钢混",J57/J50,1-(1-2%)*(J50-J57)/J50),3)</f>
        <v>#DIV/0!</v>
      </c>
      <c r="K55" s="1906" t="s">
        <v>1547</v>
      </c>
      <c r="L55" s="1907"/>
      <c r="O55" s="1872" t="s">
        <v>1517</v>
      </c>
      <c r="P55" s="1873" t="s">
        <v>1518</v>
      </c>
      <c r="Q55" s="1874" t="s">
        <v>1519</v>
      </c>
      <c r="R55" s="1874" t="s">
        <v>1520</v>
      </c>
    </row>
    <row r="56" spans="1:18" s="1837" customFormat="1" ht="36" customHeight="1" thickTop="1" thickBot="1">
      <c r="A56" s="1172">
        <v>2</v>
      </c>
      <c r="B56" s="1173" t="s">
        <v>1409</v>
      </c>
      <c r="C56" s="276">
        <f ca="1">C13</f>
        <v>0</v>
      </c>
      <c r="D56" s="1908"/>
      <c r="E56" s="1909"/>
      <c r="F56" s="1901"/>
      <c r="I56" s="1910" t="s">
        <v>1549</v>
      </c>
      <c r="J56" s="1911"/>
      <c r="K56" s="1882" t="s">
        <v>1550</v>
      </c>
      <c r="L56" s="1885">
        <f ca="1">IF(L48&lt;J51,"——",L48-J51)</f>
        <v>0</v>
      </c>
      <c r="O56" s="1879" t="s">
        <v>1037</v>
      </c>
      <c r="P56" s="1880" t="s">
        <v>1523</v>
      </c>
      <c r="Q56" s="1881" t="e">
        <f ca="1">C40+J29</f>
        <v>#DIV/0!</v>
      </c>
      <c r="R56" s="1881" t="s">
        <v>1524</v>
      </c>
    </row>
    <row r="57" spans="1:18" s="1837" customFormat="1" ht="24.75" thickBot="1">
      <c r="A57" s="1912"/>
      <c r="B57" s="1165" t="s">
        <v>1473</v>
      </c>
      <c r="C57" s="282">
        <f ca="1">C29</f>
        <v>0</v>
      </c>
      <c r="D57" s="1913"/>
      <c r="E57" s="1914"/>
      <c r="F57" s="1915"/>
      <c r="I57" s="1916" t="s">
        <v>1551</v>
      </c>
      <c r="J57" s="1917">
        <f ca="1">IF(OR(M47="住宅",J51&lt;L48,J56="是"),"——",J51-L48)</f>
        <v>0</v>
      </c>
      <c r="K57" s="1882" t="s">
        <v>1600</v>
      </c>
      <c r="L57" s="1885">
        <f ca="1">IF(L48&lt;J51,"——",IF(L55="比较法",L49,IF(L55="基准地价",L50,L51)))</f>
        <v>0</v>
      </c>
      <c r="O57" s="1879" t="s">
        <v>1038</v>
      </c>
      <c r="P57" s="1880" t="s">
        <v>1601</v>
      </c>
      <c r="Q57" s="1881" t="e">
        <f ca="1">L60</f>
        <v>#DIV/0!</v>
      </c>
      <c r="R57" s="1881" t="s">
        <v>1602</v>
      </c>
    </row>
    <row r="58" spans="1:18" s="1837" customFormat="1" ht="24.75" thickBot="1">
      <c r="A58" s="360" t="s">
        <v>1027</v>
      </c>
      <c r="B58" s="1173" t="s">
        <v>1419</v>
      </c>
      <c r="C58" s="361">
        <f ca="1">ROUND(C59+C64+C65+C66,0)</f>
        <v>0</v>
      </c>
      <c r="D58" s="1175" t="s">
        <v>1420</v>
      </c>
      <c r="E58" s="1176"/>
      <c r="F58" s="1177"/>
      <c r="I58" s="1916" t="s">
        <v>1555</v>
      </c>
      <c r="J58" s="1918" t="e">
        <f ca="1">IF(J55&lt;0.4,0.4,J55)</f>
        <v>#DIV/0!</v>
      </c>
      <c r="K58" s="1895" t="s">
        <v>1603</v>
      </c>
      <c r="L58" s="1885" t="e">
        <f ca="1">ROUND(POWER(1+L52,L47-L48)*(POWER(1+L52,L48)-1)/(POWER(1+L52,L47)-1),4)</f>
        <v>#DIV/0!</v>
      </c>
      <c r="O58" s="1889" t="s">
        <v>1039</v>
      </c>
      <c r="P58" s="1880" t="s">
        <v>1557</v>
      </c>
      <c r="Q58" s="1881">
        <f>IF(L55="比较法",L49,IF(L55="基准地价",L50,0))</f>
        <v>0</v>
      </c>
      <c r="R58" s="1881" t="s">
        <v>1524</v>
      </c>
    </row>
    <row r="59" spans="1:18" s="1837" customFormat="1" ht="24.75" thickBot="1">
      <c r="A59" s="1197" t="s">
        <v>1032</v>
      </c>
      <c r="B59" s="1165" t="s">
        <v>1424</v>
      </c>
      <c r="C59" s="24">
        <f ca="1">ROUND(IF(项目基本情况!B11="自然人",C48*F59,C60+C61+C62),0)</f>
        <v>0</v>
      </c>
      <c r="D59" s="1178" t="s">
        <v>1425</v>
      </c>
      <c r="E59" s="1179" t="s">
        <v>1426</v>
      </c>
      <c r="F59" s="368" t="str">
        <f ca="1">IF(项目基本情况!B11="企业","",IF(INDIRECT("'数据-取费表'!c"&amp;$G$1)="住宅",5%,IF(F49*F50*F51/12/(1+'数据-取费表'!C42)&gt;20000,12%,7%)))</f>
        <v/>
      </c>
      <c r="I59" s="1916" t="s">
        <v>1558</v>
      </c>
      <c r="J59" s="1917"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1559</v>
      </c>
      <c r="Q59" s="1892">
        <f>L52</f>
        <v>0</v>
      </c>
      <c r="R59" s="1881"/>
    </row>
    <row r="60" spans="1:18" s="1837" customFormat="1" ht="16.5" thickBot="1">
      <c r="A60" s="1197" t="s">
        <v>1031</v>
      </c>
      <c r="B60" s="1165" t="s">
        <v>1428</v>
      </c>
      <c r="C60" s="24">
        <f ca="1">IF(项目基本情况!B11="自然人","——",ROUND(C48*F60/(1+'数据-取费表'!C42),0))</f>
        <v>0</v>
      </c>
      <c r="D60" s="1179" t="s">
        <v>1429</v>
      </c>
      <c r="E60" s="1165" t="s">
        <v>1417</v>
      </c>
      <c r="F60" s="377">
        <f t="shared" ref="F60:F66" si="0">F32</f>
        <v>5.6000000000000001E-2</v>
      </c>
      <c r="I60" s="1919" t="s">
        <v>1560</v>
      </c>
      <c r="J60" s="1920" t="e">
        <f ca="1">IF(OR(M47="住宅",J51&lt;L48,J56="是"),"0",ROUND(J59/(1+J52)^J53,0))</f>
        <v>#DIV/0!</v>
      </c>
      <c r="K60" s="1921" t="s">
        <v>1561</v>
      </c>
      <c r="L60" s="1920" t="e">
        <f ca="1">IF(OR(M47="住宅",L48&lt;J51),0,ROUND(L57*(L58/L59-1),0))</f>
        <v>#DIV/0!</v>
      </c>
      <c r="O60" s="1889" t="s">
        <v>1041</v>
      </c>
      <c r="P60" s="1880" t="s">
        <v>1562</v>
      </c>
      <c r="Q60" s="1881" t="e">
        <f ca="1">L58</f>
        <v>#DIV/0!</v>
      </c>
      <c r="R60" s="1881" t="s">
        <v>1563</v>
      </c>
    </row>
    <row r="61" spans="1:18" s="1837" customFormat="1" ht="13.5" thickBot="1">
      <c r="A61" s="1197" t="s">
        <v>1487</v>
      </c>
      <c r="B61" s="1165" t="s">
        <v>1488</v>
      </c>
      <c r="C61" s="24">
        <f ca="1">IF(项目基本情况!B11="自然人","——",IF(D61="按租金收入计税",ROUND(C48*F61,0),IF(D61="按房产原值计税",ROUND(C57*F61*0.7,0),INDIRECT("'数据-取费表'!Aj"&amp;$G$1))))</f>
        <v>0</v>
      </c>
      <c r="D61" s="1823" t="s">
        <v>1433</v>
      </c>
      <c r="E61" s="1165" t="s">
        <v>1489</v>
      </c>
      <c r="F61" s="367">
        <f t="shared" si="0"/>
        <v>1.2E-2</v>
      </c>
      <c r="I61" s="1922"/>
      <c r="J61" s="1922"/>
      <c r="K61" s="1922"/>
      <c r="L61" s="1922"/>
      <c r="O61" s="1889" t="s">
        <v>1042</v>
      </c>
      <c r="P61" s="1880" t="str">
        <f>K59</f>
        <v>建设期及建筑物耐用年限下的土地年期修正系数Kn</v>
      </c>
      <c r="Q61" s="1881" t="e">
        <f ca="1">L59</f>
        <v>#DIV/0!</v>
      </c>
      <c r="R61" s="1881" t="s">
        <v>1564</v>
      </c>
    </row>
    <row r="62" spans="1:18" s="1837" customFormat="1" ht="13.5" thickBot="1">
      <c r="A62" s="1197" t="s">
        <v>1490</v>
      </c>
      <c r="B62" s="1164" t="s">
        <v>1491</v>
      </c>
      <c r="C62" s="25">
        <f ca="1">IF(项目基本情况!B11="自然人","——",ROUND(F62*F63,0))</f>
        <v>0</v>
      </c>
      <c r="D62" s="1180" t="s">
        <v>1492</v>
      </c>
      <c r="E62" s="1165" t="s">
        <v>1493</v>
      </c>
      <c r="F62" s="371">
        <f t="shared" si="0"/>
        <v>20</v>
      </c>
      <c r="I62" s="1923" t="s">
        <v>1565</v>
      </c>
      <c r="J62" s="1924" t="s">
        <v>1566</v>
      </c>
      <c r="K62" s="1924" t="s">
        <v>1567</v>
      </c>
      <c r="L62" s="1924" t="s">
        <v>1568</v>
      </c>
      <c r="M62" s="1925" t="s">
        <v>1569</v>
      </c>
      <c r="O62" s="1879" t="s">
        <v>1043</v>
      </c>
      <c r="P62" s="1880" t="s">
        <v>1570</v>
      </c>
      <c r="Q62" s="1881" t="e">
        <f ca="1">Q56+Q57</f>
        <v>#DIV/0!</v>
      </c>
      <c r="R62" s="1881" t="s">
        <v>1044</v>
      </c>
    </row>
    <row r="63" spans="1:18" s="1837" customFormat="1" ht="13.5" thickBot="1">
      <c r="A63" s="372"/>
      <c r="B63" s="1171"/>
      <c r="C63" s="29"/>
      <c r="D63" s="1181"/>
      <c r="E63" s="1165" t="s">
        <v>1494</v>
      </c>
      <c r="F63" s="348">
        <f t="shared" ca="1" si="0"/>
        <v>0</v>
      </c>
      <c r="I63" s="1923" t="s">
        <v>1571</v>
      </c>
      <c r="J63" s="1924">
        <v>70</v>
      </c>
      <c r="K63" s="1924">
        <v>50</v>
      </c>
      <c r="L63" s="1924">
        <v>80</v>
      </c>
      <c r="M63" s="1926">
        <v>0.02</v>
      </c>
      <c r="O63" s="1864" t="s">
        <v>1572</v>
      </c>
      <c r="P63" s="1834"/>
      <c r="Q63" s="1834"/>
      <c r="R63" s="1834"/>
    </row>
    <row r="64" spans="1:18" s="1837" customFormat="1" ht="13.5" thickBot="1">
      <c r="A64" s="1197" t="s">
        <v>1495</v>
      </c>
      <c r="B64" s="1165" t="s">
        <v>1496</v>
      </c>
      <c r="C64" s="24">
        <f ca="1">ROUND(C57*F64,0)</f>
        <v>0</v>
      </c>
      <c r="D64" s="1179" t="s">
        <v>1497</v>
      </c>
      <c r="E64" s="1165" t="s">
        <v>1489</v>
      </c>
      <c r="F64" s="374">
        <f t="shared" ca="1" si="0"/>
        <v>0</v>
      </c>
      <c r="I64" s="1923" t="s">
        <v>1573</v>
      </c>
      <c r="J64" s="1924">
        <v>50</v>
      </c>
      <c r="K64" s="1924">
        <v>35</v>
      </c>
      <c r="L64" s="1924">
        <v>60</v>
      </c>
      <c r="M64" s="1925">
        <v>0</v>
      </c>
      <c r="O64" s="1872" t="s">
        <v>1517</v>
      </c>
      <c r="P64" s="1873" t="s">
        <v>1518</v>
      </c>
      <c r="Q64" s="1874" t="s">
        <v>1519</v>
      </c>
      <c r="R64" s="1874" t="s">
        <v>1520</v>
      </c>
    </row>
    <row r="65" spans="1:18" s="1837" customFormat="1" ht="13.5" thickBot="1">
      <c r="A65" s="1197" t="s">
        <v>1498</v>
      </c>
      <c r="B65" s="1165" t="s">
        <v>1448</v>
      </c>
      <c r="C65" s="24">
        <f ca="1">ROUND(C56*F65,0)</f>
        <v>0</v>
      </c>
      <c r="D65" s="1179" t="s">
        <v>1449</v>
      </c>
      <c r="E65" s="1165" t="s">
        <v>1450</v>
      </c>
      <c r="F65" s="376">
        <f t="shared" ca="1" si="0"/>
        <v>0</v>
      </c>
      <c r="I65" s="1923" t="s">
        <v>1574</v>
      </c>
      <c r="J65" s="1924">
        <v>40</v>
      </c>
      <c r="K65" s="1924">
        <v>30</v>
      </c>
      <c r="L65" s="1924">
        <v>50</v>
      </c>
      <c r="M65" s="1926">
        <v>0.02</v>
      </c>
      <c r="O65" s="1879" t="s">
        <v>1037</v>
      </c>
      <c r="P65" s="1880" t="s">
        <v>1575</v>
      </c>
      <c r="Q65" s="1881" t="e">
        <f ca="1">C40+J29</f>
        <v>#DIV/0!</v>
      </c>
      <c r="R65" s="1881" t="s">
        <v>1524</v>
      </c>
    </row>
    <row r="66" spans="1:18" s="1837" customFormat="1" ht="16.5" thickBot="1">
      <c r="A66" s="1197" t="s">
        <v>1499</v>
      </c>
      <c r="B66" s="1165" t="s">
        <v>1434</v>
      </c>
      <c r="C66" s="24">
        <f ca="1">ROUND(C48*F66,0)</f>
        <v>0</v>
      </c>
      <c r="D66" s="1179" t="s">
        <v>1500</v>
      </c>
      <c r="E66" s="1165" t="s">
        <v>1417</v>
      </c>
      <c r="F66" s="357">
        <f t="shared" ca="1" si="0"/>
        <v>0</v>
      </c>
      <c r="O66" s="1879" t="s">
        <v>1038</v>
      </c>
      <c r="P66" s="1880" t="s">
        <v>1553</v>
      </c>
      <c r="Q66" s="1881" t="e">
        <f ca="1">L60</f>
        <v>#DIV/0!</v>
      </c>
      <c r="R66" s="1881" t="s">
        <v>1576</v>
      </c>
    </row>
    <row r="67" spans="1:18" s="1837" customFormat="1" ht="16.5" thickBot="1">
      <c r="A67" s="1172" t="s">
        <v>1028</v>
      </c>
      <c r="B67" s="1182" t="s">
        <v>1458</v>
      </c>
      <c r="C67" s="361">
        <f ca="1">C48-C58</f>
        <v>0</v>
      </c>
      <c r="D67" s="1178" t="s">
        <v>1459</v>
      </c>
      <c r="E67" s="1183"/>
      <c r="F67" s="1184"/>
      <c r="O67" s="1889" t="s">
        <v>1039</v>
      </c>
      <c r="P67" s="1880" t="s">
        <v>1557</v>
      </c>
      <c r="Q67" s="1927">
        <f ca="1">L51</f>
        <v>0</v>
      </c>
      <c r="R67" s="1881" t="s">
        <v>1577</v>
      </c>
    </row>
    <row r="68" spans="1:18" s="1837" customFormat="1" ht="16.5" thickBot="1">
      <c r="A68" s="1162" t="s">
        <v>1029</v>
      </c>
      <c r="B68" s="1163" t="s">
        <v>1480</v>
      </c>
      <c r="C68" s="346" t="e">
        <f ca="1">ROUND(C67*(1-((1+F70)/(1+F68))^F69)/(F68-F70),0)</f>
        <v>#DIV/0!</v>
      </c>
      <c r="D68" s="1180" t="s">
        <v>1464</v>
      </c>
      <c r="E68" s="1165" t="s">
        <v>1465</v>
      </c>
      <c r="F68" s="357">
        <f ca="1">F40</f>
        <v>0</v>
      </c>
      <c r="O68" s="1889" t="s">
        <v>1040</v>
      </c>
      <c r="P68" s="1928" t="s">
        <v>1578</v>
      </c>
      <c r="Q68" s="1881">
        <f ca="1">ROUND(Q69-Q70*Q71,0)</f>
        <v>0</v>
      </c>
      <c r="R68" s="1881" t="s">
        <v>1048</v>
      </c>
    </row>
    <row r="69" spans="1:18" s="1837" customFormat="1" ht="13.5" thickBot="1">
      <c r="A69" s="1166"/>
      <c r="B69" s="1167"/>
      <c r="C69" s="351"/>
      <c r="D69" s="1185" t="s">
        <v>1468</v>
      </c>
      <c r="E69" s="1165" t="s">
        <v>1469</v>
      </c>
      <c r="F69" s="379">
        <f ca="1">F41</f>
        <v>0</v>
      </c>
      <c r="O69" s="1889" t="s">
        <v>1045</v>
      </c>
      <c r="P69" s="1928" t="s">
        <v>1579</v>
      </c>
      <c r="Q69" s="1881">
        <f ca="1">C39</f>
        <v>0</v>
      </c>
      <c r="R69" s="1881" t="s">
        <v>1524</v>
      </c>
    </row>
    <row r="70" spans="1:18" s="1837" customFormat="1" ht="13.5" thickBot="1">
      <c r="A70" s="1169"/>
      <c r="B70" s="1170"/>
      <c r="C70" s="355"/>
      <c r="D70" s="1181"/>
      <c r="E70" s="1165" t="s">
        <v>1472</v>
      </c>
      <c r="F70" s="1271">
        <f ca="1">F42</f>
        <v>0</v>
      </c>
      <c r="O70" s="1889" t="s">
        <v>1046</v>
      </c>
      <c r="P70" s="1928" t="s">
        <v>1580</v>
      </c>
      <c r="Q70" s="1881">
        <f ca="1">C13</f>
        <v>0</v>
      </c>
      <c r="R70" s="1881" t="s">
        <v>1524</v>
      </c>
    </row>
    <row r="71" spans="1:18" s="1837" customFormat="1" ht="13.5" thickBot="1">
      <c r="A71" s="1186" t="s">
        <v>1030</v>
      </c>
      <c r="B71" s="1187" t="s">
        <v>1482</v>
      </c>
      <c r="C71" s="382" t="e">
        <f ca="1">ROUND(C68/F71,0)</f>
        <v>#DIV/0!</v>
      </c>
      <c r="D71" s="1188" t="s">
        <v>1483</v>
      </c>
      <c r="E71" s="1189" t="s">
        <v>1484</v>
      </c>
      <c r="F71" s="385">
        <f ca="1">F43</f>
        <v>0</v>
      </c>
      <c r="O71" s="1889" t="s">
        <v>1047</v>
      </c>
      <c r="P71" s="1928" t="s">
        <v>1581</v>
      </c>
      <c r="Q71" s="1892">
        <f ca="1">C76</f>
        <v>0</v>
      </c>
      <c r="R71" s="1881"/>
    </row>
    <row r="72" spans="1:18" s="1837" customFormat="1" ht="13.5" thickBot="1">
      <c r="B72" s="794"/>
      <c r="C72" s="794"/>
      <c r="O72" s="1889" t="s">
        <v>1041</v>
      </c>
      <c r="P72" s="1880" t="s">
        <v>1559</v>
      </c>
      <c r="Q72" s="1892">
        <f>L52</f>
        <v>0</v>
      </c>
      <c r="R72" s="1881"/>
    </row>
    <row r="73" spans="1:18" ht="16.5" thickBot="1">
      <c r="A73" s="1837"/>
      <c r="B73" s="794"/>
      <c r="C73" s="794"/>
      <c r="D73" s="1837"/>
      <c r="E73" s="1837"/>
      <c r="F73" s="1837"/>
      <c r="O73" s="1889" t="s">
        <v>1042</v>
      </c>
      <c r="P73" s="1880" t="s">
        <v>1562</v>
      </c>
      <c r="Q73" s="1881" t="e">
        <f ca="1">L58</f>
        <v>#DIV/0!</v>
      </c>
      <c r="R73" s="1881" t="s">
        <v>1563</v>
      </c>
    </row>
    <row r="74" spans="1:18" ht="13.5" thickBot="1">
      <c r="A74" s="1837"/>
      <c r="B74" s="317" t="s">
        <v>1582</v>
      </c>
      <c r="C74" s="1930"/>
      <c r="D74" s="1837"/>
      <c r="E74" s="1837"/>
      <c r="F74" s="1837"/>
      <c r="O74" s="1889" t="s">
        <v>1049</v>
      </c>
      <c r="P74" s="1880" t="str">
        <f>K59</f>
        <v>建设期及建筑物耐用年限下的土地年期修正系数Kn</v>
      </c>
      <c r="Q74" s="1881" t="e">
        <f ca="1">L59</f>
        <v>#DIV/0!</v>
      </c>
      <c r="R74" s="1881" t="s">
        <v>1564</v>
      </c>
    </row>
    <row r="75" spans="1:18" ht="13.5" thickBot="1">
      <c r="A75" s="1837"/>
      <c r="B75" s="386" t="s">
        <v>1501</v>
      </c>
      <c r="C75" s="387">
        <f ca="1">ROUND(C13*C76,0)</f>
        <v>0</v>
      </c>
      <c r="D75" s="1837"/>
      <c r="E75" s="1837"/>
      <c r="F75" s="1837"/>
      <c r="K75" s="1863"/>
      <c r="L75" s="1837"/>
      <c r="O75" s="1879" t="s">
        <v>1043</v>
      </c>
      <c r="P75" s="1880" t="s">
        <v>1544</v>
      </c>
      <c r="Q75" s="1881" t="e">
        <f ca="1">Q65+Q66</f>
        <v>#DIV/0!</v>
      </c>
      <c r="R75" s="1881" t="s">
        <v>1044</v>
      </c>
    </row>
    <row r="76" spans="1:18">
      <c r="B76" s="388" t="s">
        <v>1502</v>
      </c>
      <c r="C76" s="389">
        <f ca="1">INDIRECT("'数据-取费表'!j"&amp;$G$1)</f>
        <v>0</v>
      </c>
      <c r="I76" s="1837"/>
      <c r="J76" s="1837"/>
      <c r="K76" s="1863"/>
      <c r="L76" s="1837"/>
    </row>
    <row r="77" spans="1:18">
      <c r="B77" s="390" t="s">
        <v>1503</v>
      </c>
      <c r="C77" s="391"/>
      <c r="I77" s="1837"/>
      <c r="J77" s="1837"/>
      <c r="K77" s="1863"/>
      <c r="L77" s="1837"/>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3" priority="4">
      <formula>$L$48&gt;$J$51</formula>
    </cfRule>
  </conditionalFormatting>
  <conditionalFormatting sqref="I55 I60">
    <cfRule type="expression" dxfId="82" priority="5">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4" t="s">
        <v>2518</v>
      </c>
      <c r="B1" s="2555"/>
      <c r="C1" s="2555"/>
      <c r="D1" s="2555"/>
      <c r="E1" s="2556"/>
    </row>
    <row r="2" spans="1:6" ht="15.75">
      <c r="A2" s="2557" t="s">
        <v>2322</v>
      </c>
      <c r="B2" s="2558">
        <f ca="1">SUMIF(B6:B13,"&lt;&gt;#ref!",B6:B13)</f>
        <v>366020</v>
      </c>
      <c r="C2" s="2559" t="s">
        <v>2511</v>
      </c>
      <c r="D2" s="2560" t="s">
        <v>2512</v>
      </c>
      <c r="E2" s="2561">
        <f>SUM(E6:E13)</f>
        <v>199150.75</v>
      </c>
    </row>
    <row r="3" spans="1:6" ht="15.75">
      <c r="A3" s="2557" t="s">
        <v>1390</v>
      </c>
      <c r="B3" s="2558">
        <f ca="1">ROUND(B2*10000/E2,0)</f>
        <v>18379</v>
      </c>
      <c r="C3" s="2559" t="s">
        <v>2519</v>
      </c>
      <c r="D3" s="2562"/>
      <c r="E3" s="2563"/>
    </row>
    <row r="4" spans="1:6" ht="15.75">
      <c r="A4" s="2564"/>
      <c r="B4" s="2562"/>
      <c r="C4" s="2562"/>
      <c r="D4" s="2562"/>
      <c r="E4" s="2563"/>
    </row>
    <row r="5" spans="1:6" ht="15">
      <c r="A5" s="2565" t="s">
        <v>2513</v>
      </c>
      <c r="B5" s="3337" t="s">
        <v>2514</v>
      </c>
      <c r="C5" s="3337"/>
      <c r="D5" s="2566"/>
      <c r="E5" s="2567" t="s">
        <v>2515</v>
      </c>
      <c r="F5" s="2568" t="s">
        <v>2516</v>
      </c>
    </row>
    <row r="6" spans="1:6">
      <c r="A6" s="2569">
        <f>'数据-取费表'!AN6</f>
        <v>0</v>
      </c>
      <c r="B6" s="2568" t="e">
        <f ca="1">IF(F6="是",'数据-取费表'!AO6,0)</f>
        <v>#REF!</v>
      </c>
      <c r="C6" s="2559" t="s">
        <v>2511</v>
      </c>
      <c r="D6" s="2562"/>
      <c r="E6" s="2570">
        <f>IF(OR(A6=0,F6="否"),0,'数据-取费表'!K6+'数据-取费表'!S6)</f>
        <v>0</v>
      </c>
      <c r="F6" s="2571" t="s">
        <v>2517</v>
      </c>
    </row>
    <row r="7" spans="1:6">
      <c r="A7" s="2569">
        <f>'数据-取费表'!AN7</f>
        <v>0</v>
      </c>
      <c r="B7" s="2568" t="e">
        <f ca="1">IF(F7="是",'数据-取费表'!AO7,0)</f>
        <v>#REF!</v>
      </c>
      <c r="C7" s="2559" t="s">
        <v>2511</v>
      </c>
      <c r="D7" s="2562"/>
      <c r="E7" s="2570">
        <f>IF(OR(A7=0,F7="否"),0,'数据-取费表'!K7+'数据-取费表'!S7)</f>
        <v>0</v>
      </c>
      <c r="F7" s="2571" t="s">
        <v>2517</v>
      </c>
    </row>
    <row r="8" spans="1:6">
      <c r="A8" s="2569" t="str">
        <f>'数据-取费表'!AN8</f>
        <v>收益法（商业）</v>
      </c>
      <c r="B8" s="2568">
        <f ca="1">IF(F8="是",'数据-取费表'!AO8,0)</f>
        <v>324049</v>
      </c>
      <c r="C8" s="2559" t="s">
        <v>2511</v>
      </c>
      <c r="D8" s="2562"/>
      <c r="E8" s="2570">
        <f>IF(OR(A8=0,F8="否"),0,'数据-取费表'!K8+'数据-取费表'!S8)</f>
        <v>79951.360000000001</v>
      </c>
      <c r="F8" s="2571" t="s">
        <v>2517</v>
      </c>
    </row>
    <row r="9" spans="1:6">
      <c r="A9" s="2569" t="str">
        <f>'数据-取费表'!AN9</f>
        <v>收益法（地下车库）</v>
      </c>
      <c r="B9" s="2568">
        <f ca="1">IF(F9="是",'数据-取费表'!AO9,0)</f>
        <v>41971</v>
      </c>
      <c r="C9" s="2559" t="s">
        <v>2511</v>
      </c>
      <c r="D9" s="2562"/>
      <c r="E9" s="2570">
        <f>IF(OR(A9=0,F9="否"),0,'数据-取费表'!K9+'数据-取费表'!S9)</f>
        <v>119199.39</v>
      </c>
      <c r="F9" s="2571" t="s">
        <v>2517</v>
      </c>
    </row>
    <row r="10" spans="1:6">
      <c r="A10" s="2569">
        <f>'数据-取费表'!AN10</f>
        <v>0</v>
      </c>
      <c r="B10" s="2568" t="e">
        <f ca="1">IF(F10="是",'数据-取费表'!AO10,0)</f>
        <v>#REF!</v>
      </c>
      <c r="C10" s="2559" t="s">
        <v>2511</v>
      </c>
      <c r="D10" s="2562"/>
      <c r="E10" s="2570">
        <f>IF(OR(A10=0,F10="否"),0,'数据-取费表'!K10+'数据-取费表'!S10)</f>
        <v>0</v>
      </c>
      <c r="F10" s="2571" t="s">
        <v>2517</v>
      </c>
    </row>
    <row r="11" spans="1:6">
      <c r="A11" s="2569">
        <f>'数据-取费表'!AN11</f>
        <v>0</v>
      </c>
      <c r="B11" s="2568" t="e">
        <f ca="1">IF(F11="是",'数据-取费表'!AO11,0)</f>
        <v>#REF!</v>
      </c>
      <c r="C11" s="2559" t="s">
        <v>2511</v>
      </c>
      <c r="D11" s="2562"/>
      <c r="E11" s="2570">
        <f>IF(OR(A11=0,F11="否"),0,'数据-取费表'!K11+'数据-取费表'!S11)</f>
        <v>0</v>
      </c>
      <c r="F11" s="2571" t="s">
        <v>2517</v>
      </c>
    </row>
    <row r="12" spans="1:6">
      <c r="A12" s="2569">
        <f>'数据-取费表'!AN12</f>
        <v>0</v>
      </c>
      <c r="B12" s="2568" t="e">
        <f ca="1">IF(F12="是",'数据-取费表'!AO12,0)</f>
        <v>#REF!</v>
      </c>
      <c r="C12" s="2559" t="s">
        <v>2511</v>
      </c>
      <c r="D12" s="2562"/>
      <c r="E12" s="2570">
        <f>IF(OR(A12=0,F12="否"),0,'数据-取费表'!K12+'数据-取费表'!S12)</f>
        <v>0</v>
      </c>
      <c r="F12" s="2571" t="s">
        <v>2517</v>
      </c>
    </row>
    <row r="13" spans="1:6" ht="15" thickBot="1">
      <c r="A13" s="2572">
        <f>'数据-取费表'!AN13</f>
        <v>0</v>
      </c>
      <c r="B13" s="2568" t="e">
        <f ca="1">IF(F13="是",'数据-取费表'!AO13,0)</f>
        <v>#REF!</v>
      </c>
      <c r="C13" s="2573" t="s">
        <v>2511</v>
      </c>
      <c r="D13" s="2574"/>
      <c r="E13" s="2570">
        <f>IF(OR(A13=0,F13="否"),0,'数据-取费表'!K13+'数据-取费表'!S13)</f>
        <v>0</v>
      </c>
      <c r="F13" s="2571"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19" sqref="F19"/>
    </sheetView>
  </sheetViews>
  <sheetFormatPr defaultRowHeight="13.5"/>
  <cols>
    <col min="1" max="1" width="10.5" customWidth="1"/>
    <col min="2" max="2" width="12.875" customWidth="1"/>
    <col min="3" max="3" width="8.75" customWidth="1"/>
  </cols>
  <sheetData>
    <row r="1" spans="1:9" ht="14.25">
      <c r="A1" s="3338" t="s">
        <v>1073</v>
      </c>
      <c r="B1" s="3339"/>
      <c r="C1" s="3340"/>
      <c r="D1" s="3341">
        <f>SUM(I10,I15,I20,I21,I23)</f>
        <v>0</v>
      </c>
      <c r="E1" s="3341"/>
      <c r="F1" s="3341"/>
      <c r="G1" s="3341"/>
      <c r="H1" s="3341"/>
      <c r="I1" s="3342"/>
    </row>
    <row r="2" spans="1:9">
      <c r="A2" s="3343" t="s">
        <v>1074</v>
      </c>
      <c r="B2" s="3344" t="s">
        <v>1075</v>
      </c>
      <c r="C2" s="3344"/>
      <c r="D2" s="1297" t="s">
        <v>1076</v>
      </c>
      <c r="E2" s="1297" t="s">
        <v>1077</v>
      </c>
      <c r="F2" s="1297" t="s">
        <v>1078</v>
      </c>
      <c r="G2" s="1297" t="s">
        <v>1079</v>
      </c>
      <c r="H2" s="1297" t="s">
        <v>1080</v>
      </c>
      <c r="I2" s="1298" t="s">
        <v>1081</v>
      </c>
    </row>
    <row r="3" spans="1:9">
      <c r="A3" s="3343"/>
      <c r="B3" s="3344" t="s">
        <v>1082</v>
      </c>
      <c r="C3" s="3344"/>
      <c r="D3" s="1299"/>
      <c r="E3" s="1297"/>
      <c r="F3" s="1300"/>
      <c r="G3" s="1300"/>
      <c r="H3" s="1301"/>
      <c r="I3" s="1302">
        <f>ROUND(D3*E3*F3*G3*H3/10000,0)</f>
        <v>0</v>
      </c>
    </row>
    <row r="4" spans="1:9">
      <c r="A4" s="3343"/>
      <c r="B4" s="3344" t="s">
        <v>1083</v>
      </c>
      <c r="C4" s="3344"/>
      <c r="D4" s="1299"/>
      <c r="E4" s="1297"/>
      <c r="F4" s="1300"/>
      <c r="G4" s="1300"/>
      <c r="H4" s="1301"/>
      <c r="I4" s="1302">
        <f t="shared" ref="I4:I9" si="0">ROUND(D4*E4*F4*G4*H4/10000,0)</f>
        <v>0</v>
      </c>
    </row>
    <row r="5" spans="1:9">
      <c r="A5" s="3343"/>
      <c r="B5" s="3344" t="s">
        <v>1084</v>
      </c>
      <c r="C5" s="3344"/>
      <c r="D5" s="1299"/>
      <c r="E5" s="1297"/>
      <c r="F5" s="1300"/>
      <c r="G5" s="1300"/>
      <c r="H5" s="1301"/>
      <c r="I5" s="1302">
        <f t="shared" si="0"/>
        <v>0</v>
      </c>
    </row>
    <row r="6" spans="1:9">
      <c r="A6" s="3343"/>
      <c r="B6" s="3344" t="s">
        <v>1085</v>
      </c>
      <c r="C6" s="3344"/>
      <c r="D6" s="1299"/>
      <c r="E6" s="1297"/>
      <c r="F6" s="1300"/>
      <c r="G6" s="1300"/>
      <c r="H6" s="1301"/>
      <c r="I6" s="1302">
        <f t="shared" si="0"/>
        <v>0</v>
      </c>
    </row>
    <row r="7" spans="1:9">
      <c r="A7" s="3343"/>
      <c r="B7" s="3344" t="s">
        <v>1086</v>
      </c>
      <c r="C7" s="3344"/>
      <c r="D7" s="1299"/>
      <c r="E7" s="1297"/>
      <c r="F7" s="1300"/>
      <c r="G7" s="1300"/>
      <c r="H7" s="1301"/>
      <c r="I7" s="1302">
        <f t="shared" si="0"/>
        <v>0</v>
      </c>
    </row>
    <row r="8" spans="1:9">
      <c r="A8" s="3343"/>
      <c r="B8" s="3344" t="s">
        <v>1087</v>
      </c>
      <c r="C8" s="3344"/>
      <c r="D8" s="1299"/>
      <c r="E8" s="1297"/>
      <c r="F8" s="1300"/>
      <c r="G8" s="1300"/>
      <c r="H8" s="1301"/>
      <c r="I8" s="1302">
        <f t="shared" si="0"/>
        <v>0</v>
      </c>
    </row>
    <row r="9" spans="1:9">
      <c r="A9" s="3343"/>
      <c r="B9" s="3344" t="s">
        <v>1088</v>
      </c>
      <c r="C9" s="3344"/>
      <c r="D9" s="1299"/>
      <c r="E9" s="1297"/>
      <c r="F9" s="1300"/>
      <c r="G9" s="1300"/>
      <c r="H9" s="1301"/>
      <c r="I9" s="1302">
        <f t="shared" si="0"/>
        <v>0</v>
      </c>
    </row>
    <row r="10" spans="1:9">
      <c r="A10" s="3343"/>
      <c r="B10" s="3345" t="s">
        <v>1089</v>
      </c>
      <c r="C10" s="3345"/>
      <c r="D10" s="1303"/>
      <c r="E10" s="1303" t="e">
        <f>ROUND(D1*10000/D10/H9,0)</f>
        <v>#DIV/0!</v>
      </c>
      <c r="F10" s="1304"/>
      <c r="G10" s="1304"/>
      <c r="H10" s="1305"/>
      <c r="I10" s="1306">
        <f>SUM(I3:I9)</f>
        <v>0</v>
      </c>
    </row>
    <row r="11" spans="1:9" ht="14.25">
      <c r="A11" s="3343" t="s">
        <v>1090</v>
      </c>
      <c r="B11" s="3344" t="s">
        <v>1091</v>
      </c>
      <c r="C11" s="3344"/>
      <c r="D11" s="1299" t="s">
        <v>1092</v>
      </c>
      <c r="E11" s="1299" t="s">
        <v>1093</v>
      </c>
      <c r="F11" s="1300" t="s">
        <v>1094</v>
      </c>
      <c r="G11" s="1300" t="s">
        <v>1080</v>
      </c>
      <c r="H11" s="1307" t="s">
        <v>1095</v>
      </c>
      <c r="I11" s="1298" t="s">
        <v>1081</v>
      </c>
    </row>
    <row r="12" spans="1:9">
      <c r="A12" s="3343"/>
      <c r="B12" s="3344" t="s">
        <v>1096</v>
      </c>
      <c r="C12" s="3344"/>
      <c r="D12" s="1299"/>
      <c r="E12" s="1299"/>
      <c r="F12" s="1300"/>
      <c r="G12" s="1301"/>
      <c r="H12" s="1308"/>
      <c r="I12" s="1298">
        <f>ROUND(D12*E12*F12*G12/10000,0)</f>
        <v>0</v>
      </c>
    </row>
    <row r="13" spans="1:9">
      <c r="A13" s="3343"/>
      <c r="B13" s="3344" t="s">
        <v>1097</v>
      </c>
      <c r="C13" s="3344"/>
      <c r="D13" s="1299"/>
      <c r="E13" s="1299"/>
      <c r="F13" s="1300"/>
      <c r="G13" s="1301"/>
      <c r="H13" s="1308"/>
      <c r="I13" s="1298">
        <f>ROUND(D13*E13*F13*G13/10000,0)</f>
        <v>0</v>
      </c>
    </row>
    <row r="14" spans="1:9">
      <c r="A14" s="3343"/>
      <c r="B14" s="3344" t="s">
        <v>1098</v>
      </c>
      <c r="C14" s="3344"/>
      <c r="D14" s="1299"/>
      <c r="E14" s="1299"/>
      <c r="F14" s="1300"/>
      <c r="G14" s="1301"/>
      <c r="H14" s="1308"/>
      <c r="I14" s="1298">
        <f>ROUND(D14*E14*F14*G14/10000,0)</f>
        <v>0</v>
      </c>
    </row>
    <row r="15" spans="1:9">
      <c r="A15" s="3343"/>
      <c r="B15" s="3345" t="s">
        <v>1089</v>
      </c>
      <c r="C15" s="3345"/>
      <c r="D15" s="1303"/>
      <c r="E15" s="1303">
        <f>SUM(E12:E14)</f>
        <v>0</v>
      </c>
      <c r="F15" s="1304"/>
      <c r="G15" s="1301"/>
      <c r="H15" s="1308"/>
      <c r="I15" s="1309">
        <f>SUM(I12:I14)</f>
        <v>0</v>
      </c>
    </row>
    <row r="16" spans="1:9" ht="24">
      <c r="A16" s="3343" t="s">
        <v>1099</v>
      </c>
      <c r="B16" s="3344" t="s">
        <v>1100</v>
      </c>
      <c r="C16" s="3344"/>
      <c r="D16" s="1299" t="s">
        <v>1076</v>
      </c>
      <c r="E16" s="1310" t="s">
        <v>1101</v>
      </c>
      <c r="F16" s="1300" t="s">
        <v>1102</v>
      </c>
      <c r="G16" s="1301" t="s">
        <v>1080</v>
      </c>
      <c r="H16" s="1307" t="s">
        <v>1095</v>
      </c>
      <c r="I16" s="1298" t="s">
        <v>1081</v>
      </c>
    </row>
    <row r="17" spans="1:9" ht="14.25">
      <c r="A17" s="3343"/>
      <c r="B17" s="3344" t="s">
        <v>1103</v>
      </c>
      <c r="C17" s="3344"/>
      <c r="D17" s="1299"/>
      <c r="E17" s="1299"/>
      <c r="F17" s="1300"/>
      <c r="G17" s="1301"/>
      <c r="H17" s="1311"/>
      <c r="I17" s="1312">
        <f>ROUND(D17*E17*F17*G17/10000,0)</f>
        <v>0</v>
      </c>
    </row>
    <row r="18" spans="1:9" ht="14.25">
      <c r="A18" s="3343"/>
      <c r="B18" s="3344" t="s">
        <v>1104</v>
      </c>
      <c r="C18" s="3344"/>
      <c r="D18" s="1299"/>
      <c r="E18" s="1299"/>
      <c r="F18" s="1300"/>
      <c r="G18" s="1301"/>
      <c r="H18" s="1311"/>
      <c r="I18" s="1312">
        <f>ROUND(D18*E18*F18*G18/10000,0)</f>
        <v>0</v>
      </c>
    </row>
    <row r="19" spans="1:9" ht="14.25">
      <c r="A19" s="3343"/>
      <c r="B19" s="3344" t="s">
        <v>1105</v>
      </c>
      <c r="C19" s="3344"/>
      <c r="D19" s="1299"/>
      <c r="E19" s="1299"/>
      <c r="F19" s="1300"/>
      <c r="G19" s="1301"/>
      <c r="H19" s="1311"/>
      <c r="I19" s="1312">
        <f>ROUND(D19*E19*F19*G19/10000,0)</f>
        <v>0</v>
      </c>
    </row>
    <row r="20" spans="1:9">
      <c r="A20" s="3343"/>
      <c r="B20" s="3345" t="s">
        <v>1089</v>
      </c>
      <c r="C20" s="3345"/>
      <c r="D20" s="1303">
        <f>SUM(D17:D19)</f>
        <v>0</v>
      </c>
      <c r="E20" s="1303"/>
      <c r="F20" s="1304"/>
      <c r="G20" s="1301"/>
      <c r="H20" s="1308"/>
      <c r="I20" s="1309">
        <f>SUM(I17:I19)</f>
        <v>0</v>
      </c>
    </row>
    <row r="21" spans="1:9">
      <c r="A21" s="3343" t="s">
        <v>1106</v>
      </c>
      <c r="B21" s="3347"/>
      <c r="C21" s="3347"/>
      <c r="D21" s="3347"/>
      <c r="E21" s="3347"/>
      <c r="F21" s="3347"/>
      <c r="G21" s="3347"/>
      <c r="H21" s="1760">
        <v>0.1</v>
      </c>
      <c r="I21" s="1306">
        <f>ROUND(I10*H21,0)</f>
        <v>0</v>
      </c>
    </row>
    <row r="22" spans="1:9" ht="14.25">
      <c r="A22" s="3348" t="s">
        <v>1107</v>
      </c>
      <c r="B22" s="3349"/>
      <c r="C22" s="3350"/>
      <c r="D22" s="1313" t="s">
        <v>1108</v>
      </c>
      <c r="E22" s="1313" t="s">
        <v>1109</v>
      </c>
      <c r="F22" s="1314" t="s">
        <v>1110</v>
      </c>
      <c r="G22" s="1314" t="s">
        <v>1111</v>
      </c>
      <c r="H22" s="1307" t="s">
        <v>1112</v>
      </c>
      <c r="I22" s="1298" t="s">
        <v>1113</v>
      </c>
    </row>
    <row r="23" spans="1:9" ht="14.25" thickBot="1">
      <c r="A23" s="3351"/>
      <c r="B23" s="3352"/>
      <c r="C23" s="3353"/>
      <c r="D23" s="1315"/>
      <c r="E23" s="1315"/>
      <c r="F23" s="1315"/>
      <c r="G23" s="1316"/>
      <c r="H23" s="1317"/>
      <c r="I23" s="1318">
        <f>ROUND(E23*D23*F23*(1-G23)/10000,0)</f>
        <v>0</v>
      </c>
    </row>
    <row r="26" spans="1:9">
      <c r="A26" s="1319" t="s">
        <v>1114</v>
      </c>
      <c r="B26" s="1319"/>
      <c r="C26" s="1319"/>
      <c r="D26" s="1319"/>
      <c r="E26" s="3354">
        <f>C27-C30-C31-C32</f>
        <v>0</v>
      </c>
      <c r="F26" s="3354"/>
      <c r="G26" s="3354"/>
      <c r="H26" s="1732" t="s">
        <v>1336</v>
      </c>
    </row>
    <row r="27" spans="1:9">
      <c r="A27" s="1320">
        <v>1</v>
      </c>
      <c r="B27" s="1321" t="s">
        <v>1115</v>
      </c>
      <c r="C27" s="1321">
        <f>C28+C29</f>
        <v>0</v>
      </c>
      <c r="D27" s="1321"/>
      <c r="E27" s="3355"/>
      <c r="F27" s="3355"/>
      <c r="G27" s="3355"/>
    </row>
    <row r="28" spans="1:9">
      <c r="A28" s="1322" t="s">
        <v>1116</v>
      </c>
      <c r="B28" s="1321" t="s">
        <v>1117</v>
      </c>
      <c r="C28" s="1321"/>
      <c r="D28" s="1321"/>
      <c r="E28" s="3355"/>
      <c r="F28" s="3355"/>
      <c r="G28" s="3355"/>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346"/>
      <c r="F32" s="3346"/>
      <c r="G32" s="3346"/>
    </row>
    <row r="33" spans="1:7" hidden="1">
      <c r="A33" s="3356" t="s">
        <v>1126</v>
      </c>
      <c r="B33" s="3357"/>
      <c r="C33" s="3357"/>
      <c r="D33" s="3358"/>
      <c r="E33" s="3354"/>
      <c r="F33" s="3354"/>
      <c r="G33" s="3354"/>
    </row>
    <row r="34" spans="1:7" hidden="1">
      <c r="A34" s="1324">
        <v>1</v>
      </c>
      <c r="B34" s="1321" t="s">
        <v>1127</v>
      </c>
      <c r="C34" s="1321"/>
      <c r="D34" s="1321"/>
      <c r="E34" s="3355"/>
      <c r="F34" s="3355"/>
      <c r="G34" s="3355"/>
    </row>
    <row r="35" spans="1:7" hidden="1">
      <c r="A35" s="1324">
        <v>2</v>
      </c>
      <c r="B35" s="1321" t="s">
        <v>1128</v>
      </c>
      <c r="C35" s="1321"/>
      <c r="D35" s="1321"/>
      <c r="E35" s="3355"/>
      <c r="F35" s="3355"/>
      <c r="G35" s="3355"/>
    </row>
    <row r="36" spans="1:7" hidden="1">
      <c r="A36" s="1324">
        <v>3</v>
      </c>
      <c r="B36" s="1321" t="s">
        <v>1129</v>
      </c>
      <c r="C36" s="1321"/>
      <c r="D36" s="1321"/>
      <c r="E36" s="3355"/>
      <c r="F36" s="3355"/>
      <c r="G36" s="3355"/>
    </row>
    <row r="37" spans="1:7" hidden="1">
      <c r="A37" s="1324">
        <v>4</v>
      </c>
      <c r="B37" s="1321" t="s">
        <v>1130</v>
      </c>
      <c r="C37" s="1321"/>
      <c r="D37" s="1321"/>
      <c r="E37" s="3355"/>
      <c r="F37" s="3355"/>
      <c r="G37" s="3355"/>
    </row>
    <row r="38" spans="1:7" hidden="1">
      <c r="A38" s="3356" t="s">
        <v>1131</v>
      </c>
      <c r="B38" s="3357"/>
      <c r="C38" s="3357"/>
      <c r="D38" s="3358"/>
      <c r="E38" s="3354"/>
      <c r="F38" s="3354"/>
      <c r="G38" s="33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I23" sqref="I2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2520</v>
      </c>
      <c r="B1" s="2660" t="s">
        <v>2678</v>
      </c>
      <c r="C1" s="1615" t="s">
        <v>2522</v>
      </c>
      <c r="D1" s="1616"/>
      <c r="E1" s="1625"/>
      <c r="F1" s="2577"/>
      <c r="G1" s="1626" t="s">
        <v>2635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2322</v>
      </c>
      <c r="B2" s="1414" t="e">
        <f ca="1">IF(C2="——",ROUND(C50*D3/10000,0),ROUND(C50*D3/10000,0)-D2)</f>
        <v>#DIV/0!</v>
      </c>
      <c r="C2" s="2579"/>
      <c r="D2" s="1361" t="e">
        <f ca="1">SUMIF(INDIRECT("'"&amp;F2&amp;"'"&amp;"!A:A"),"承租人权益价值",INDIRECT("'"&amp;F2&amp;"'"&amp;"!c:c"))</f>
        <v>#REF!</v>
      </c>
      <c r="E2" s="2580" t="s">
        <v>2323</v>
      </c>
      <c r="F2" s="2581"/>
      <c r="G2" s="1121"/>
      <c r="H2" s="1121"/>
      <c r="I2" s="1121"/>
      <c r="J2" s="1121"/>
      <c r="K2" s="1121"/>
      <c r="L2" s="1124"/>
      <c r="M2" s="1125"/>
      <c r="N2" s="1125"/>
      <c r="O2" s="1125"/>
      <c r="P2" s="766"/>
      <c r="Q2" s="766"/>
      <c r="R2" s="766"/>
      <c r="S2" s="766"/>
      <c r="T2" s="766"/>
      <c r="U2" s="766"/>
      <c r="V2" s="766"/>
      <c r="W2" s="766"/>
      <c r="X2" s="766"/>
      <c r="Y2" s="766"/>
      <c r="Z2" s="766"/>
      <c r="AA2" s="766"/>
      <c r="AB2" s="766"/>
      <c r="AC2" s="767"/>
    </row>
    <row r="3" spans="1:29" s="398" customFormat="1" ht="28.5" customHeight="1" thickBot="1">
      <c r="A3" s="247" t="s">
        <v>2324</v>
      </c>
      <c r="B3" s="609" t="e">
        <f ca="1">IF(C2="——",C50,ROUND(B2*10000/D3,0))</f>
        <v>#DIV/0!</v>
      </c>
      <c r="C3" s="400" t="s">
        <v>2636</v>
      </c>
      <c r="D3" s="399">
        <f>IF(D1="",'数据-汇总表'!E3,SUMIF('数据-汇总表'!$C19:$C33,D1,'数据-汇总表'!$E19:$E33))</f>
        <v>378144.48</v>
      </c>
      <c r="E3" s="2654"/>
      <c r="F3" s="1122"/>
      <c r="G3" s="1121"/>
      <c r="H3" s="1121"/>
      <c r="I3" s="1121"/>
      <c r="J3" s="1121"/>
      <c r="K3" s="1123"/>
      <c r="L3" s="1124"/>
      <c r="M3" s="1125"/>
      <c r="N3" s="1125"/>
      <c r="O3" s="1125"/>
      <c r="P3" s="766"/>
      <c r="Q3" s="766"/>
      <c r="R3" s="766"/>
      <c r="S3" s="766"/>
      <c r="T3" s="766"/>
      <c r="U3" s="766"/>
      <c r="V3" s="766"/>
      <c r="W3" s="766"/>
      <c r="X3" s="766"/>
      <c r="Y3" s="766"/>
      <c r="Z3" s="766"/>
      <c r="AA3" s="766"/>
      <c r="AB3" s="766"/>
      <c r="AC3" s="767"/>
    </row>
    <row r="4" spans="1:29" ht="15">
      <c r="A4" s="401" t="s">
        <v>2637</v>
      </c>
      <c r="B4" s="402"/>
      <c r="C4" s="3292" t="s">
        <v>2638</v>
      </c>
      <c r="D4" s="3293"/>
      <c r="E4" s="3294" t="s">
        <v>2639</v>
      </c>
      <c r="F4" s="3295"/>
      <c r="G4" s="3292" t="s">
        <v>2640</v>
      </c>
      <c r="H4" s="3293"/>
      <c r="I4" s="3292" t="s">
        <v>2641</v>
      </c>
      <c r="J4" s="3293"/>
      <c r="K4" s="610" t="s">
        <v>2642</v>
      </c>
      <c r="L4" s="1126"/>
      <c r="M4" s="1127"/>
      <c r="N4" s="1127"/>
      <c r="O4" s="1127"/>
      <c r="P4" s="3365" t="s">
        <v>2643</v>
      </c>
      <c r="Q4" s="3366"/>
      <c r="R4" s="3360" t="s">
        <v>2639</v>
      </c>
      <c r="S4" s="3361"/>
      <c r="T4" s="3360" t="s">
        <v>2640</v>
      </c>
      <c r="U4" s="3361"/>
      <c r="V4" s="3369" t="s">
        <v>2641</v>
      </c>
      <c r="W4" s="3369"/>
      <c r="X4" s="2661"/>
      <c r="Y4" s="3360" t="s">
        <v>2643</v>
      </c>
      <c r="Z4" s="3361"/>
      <c r="AA4" s="3359" t="s">
        <v>2639</v>
      </c>
      <c r="AB4" s="3359" t="s">
        <v>2640</v>
      </c>
      <c r="AC4" s="3362" t="s">
        <v>2641</v>
      </c>
    </row>
    <row r="5" spans="1:29" ht="15">
      <c r="A5" s="404"/>
      <c r="B5" s="405"/>
      <c r="C5" s="3285" t="s">
        <v>2534</v>
      </c>
      <c r="D5" s="3286"/>
      <c r="E5" s="3283" t="s">
        <v>2535</v>
      </c>
      <c r="F5" s="3284"/>
      <c r="G5" s="3285" t="s">
        <v>2536</v>
      </c>
      <c r="H5" s="3286"/>
      <c r="I5" s="3285" t="s">
        <v>2537</v>
      </c>
      <c r="J5" s="3286"/>
      <c r="K5" s="610"/>
      <c r="L5" s="1126"/>
      <c r="M5" s="1127"/>
      <c r="N5" s="1127"/>
      <c r="O5" s="1127"/>
      <c r="P5" s="3367"/>
      <c r="Q5" s="3299"/>
      <c r="R5" s="3281"/>
      <c r="S5" s="3282"/>
      <c r="T5" s="3281"/>
      <c r="U5" s="3282"/>
      <c r="V5" s="3304"/>
      <c r="W5" s="3304"/>
      <c r="X5" s="1808"/>
      <c r="Y5" s="3281"/>
      <c r="Z5" s="3282"/>
      <c r="AA5" s="3275"/>
      <c r="AB5" s="3275"/>
      <c r="AC5" s="3363"/>
    </row>
    <row r="6" spans="1:29" ht="15.75" thickBot="1">
      <c r="A6" s="406"/>
      <c r="B6" s="407"/>
      <c r="C6" s="3287" t="s">
        <v>2538</v>
      </c>
      <c r="D6" s="3288"/>
      <c r="E6" s="3289" t="s">
        <v>2538</v>
      </c>
      <c r="F6" s="3290"/>
      <c r="G6" s="3287" t="s">
        <v>2538</v>
      </c>
      <c r="H6" s="3288"/>
      <c r="I6" s="3287" t="s">
        <v>2538</v>
      </c>
      <c r="J6" s="3288"/>
      <c r="K6" s="610" t="s">
        <v>2539</v>
      </c>
      <c r="L6" s="1126"/>
      <c r="M6" s="1127"/>
      <c r="N6" s="1127"/>
      <c r="O6" s="1127"/>
      <c r="P6" s="3368"/>
      <c r="Q6" s="3301"/>
      <c r="R6" s="3281"/>
      <c r="S6" s="3282"/>
      <c r="T6" s="3302"/>
      <c r="U6" s="3303"/>
      <c r="V6" s="3304"/>
      <c r="W6" s="3304"/>
      <c r="X6" s="1808"/>
      <c r="Y6" s="3302"/>
      <c r="Z6" s="3303"/>
      <c r="AA6" s="3276"/>
      <c r="AB6" s="3276"/>
      <c r="AC6" s="3364"/>
    </row>
    <row r="7" spans="1:29" s="117" customFormat="1" ht="15.75" thickBot="1">
      <c r="A7" s="408" t="s">
        <v>2540</v>
      </c>
      <c r="B7" s="409"/>
      <c r="C7" s="410">
        <f>'数据-取费表'!B2</f>
        <v>43796</v>
      </c>
      <c r="D7" s="411">
        <v>100</v>
      </c>
      <c r="E7" s="412"/>
      <c r="F7" s="413">
        <f>SUMIF(59:59,YEAR(E7)&amp;"-"&amp;MONTH(E7),60:60)</f>
        <v>0</v>
      </c>
      <c r="G7" s="412"/>
      <c r="H7" s="411">
        <f>SUMIF(59:59,YEAR(G7)&amp;"-"&amp;MONTH(G7),60:60)</f>
        <v>0</v>
      </c>
      <c r="I7" s="412"/>
      <c r="J7" s="411">
        <f>SUMIF(59:59,YEAR(I7)&amp;"-"&amp;MONTH(I7),60:60)</f>
        <v>0</v>
      </c>
      <c r="K7" s="611"/>
      <c r="L7" s="1128"/>
      <c r="M7" s="1129"/>
      <c r="N7" s="1129"/>
      <c r="O7" s="1129"/>
      <c r="P7" s="3370" t="s">
        <v>2541</v>
      </c>
      <c r="Q7" s="3305"/>
      <c r="R7" s="768" t="s">
        <v>17</v>
      </c>
      <c r="S7" s="769">
        <f t="shared" ref="S7:S15" si="0">F7</f>
        <v>0</v>
      </c>
      <c r="T7" s="768" t="s">
        <v>17</v>
      </c>
      <c r="U7" s="769">
        <f t="shared" ref="U7:U15" si="1">H7</f>
        <v>0</v>
      </c>
      <c r="V7" s="768" t="s">
        <v>17</v>
      </c>
      <c r="W7" s="769">
        <f t="shared" ref="W7:W15" si="2">J7</f>
        <v>0</v>
      </c>
      <c r="X7" s="770"/>
      <c r="Y7" s="3277" t="s">
        <v>2541</v>
      </c>
      <c r="Z7" s="3278"/>
      <c r="AA7" s="771" t="e">
        <f>D7/F7</f>
        <v>#DIV/0!</v>
      </c>
      <c r="AB7" s="771" t="e">
        <f>D7/H7</f>
        <v>#DIV/0!</v>
      </c>
      <c r="AC7" s="2662"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370" t="s">
        <v>2544</v>
      </c>
      <c r="Q8" s="3278"/>
      <c r="R8" s="768" t="s">
        <v>17</v>
      </c>
      <c r="S8" s="769">
        <f t="shared" si="0"/>
        <v>0</v>
      </c>
      <c r="T8" s="768" t="s">
        <v>17</v>
      </c>
      <c r="U8" s="769">
        <f t="shared" si="1"/>
        <v>0</v>
      </c>
      <c r="V8" s="768" t="s">
        <v>17</v>
      </c>
      <c r="W8" s="769">
        <f t="shared" si="2"/>
        <v>0</v>
      </c>
      <c r="X8" s="770"/>
      <c r="Y8" s="3277" t="s">
        <v>2544</v>
      </c>
      <c r="Z8" s="3278"/>
      <c r="AA8" s="771" t="e">
        <f t="shared" ref="AA8:AA47" si="3">D8/F8</f>
        <v>#DIV/0!</v>
      </c>
      <c r="AB8" s="771" t="e">
        <f t="shared" ref="AB8:AB47" si="4">D8/H8</f>
        <v>#DIV/0!</v>
      </c>
      <c r="AC8" s="2662"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315" t="s">
        <v>2547</v>
      </c>
      <c r="Q9" s="1790" t="str">
        <f t="shared" ref="Q9:Q15" si="6">B9</f>
        <v>用途</v>
      </c>
      <c r="R9" s="768" t="s">
        <v>17</v>
      </c>
      <c r="S9" s="769">
        <f t="shared" si="0"/>
        <v>100</v>
      </c>
      <c r="T9" s="768" t="s">
        <v>17</v>
      </c>
      <c r="U9" s="769">
        <f t="shared" si="1"/>
        <v>100</v>
      </c>
      <c r="V9" s="768" t="s">
        <v>17</v>
      </c>
      <c r="W9" s="769">
        <f t="shared" si="2"/>
        <v>100</v>
      </c>
      <c r="X9" s="770"/>
      <c r="Y9" s="3136" t="s">
        <v>2548</v>
      </c>
      <c r="Z9" s="55" t="str">
        <f t="shared" ref="Z9:Z15" si="7">Q9</f>
        <v>用途</v>
      </c>
      <c r="AA9" s="771">
        <f t="shared" si="3"/>
        <v>1</v>
      </c>
      <c r="AB9" s="771">
        <f t="shared" si="4"/>
        <v>1</v>
      </c>
      <c r="AC9" s="2662">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315"/>
      <c r="Q10" s="1790" t="str">
        <f t="shared" si="6"/>
        <v>土地使用年限（年）</v>
      </c>
      <c r="R10" s="768" t="s">
        <v>17</v>
      </c>
      <c r="S10" s="769">
        <f t="shared" si="0"/>
        <v>100</v>
      </c>
      <c r="T10" s="768" t="s">
        <v>17</v>
      </c>
      <c r="U10" s="769">
        <f t="shared" si="1"/>
        <v>100</v>
      </c>
      <c r="V10" s="768" t="s">
        <v>17</v>
      </c>
      <c r="W10" s="769">
        <f t="shared" si="2"/>
        <v>100</v>
      </c>
      <c r="X10" s="770"/>
      <c r="Y10" s="3136"/>
      <c r="Z10" s="55" t="str">
        <f t="shared" si="7"/>
        <v>土地使用年限（年）</v>
      </c>
      <c r="AA10" s="771">
        <f t="shared" si="3"/>
        <v>1</v>
      </c>
      <c r="AB10" s="771">
        <f t="shared" si="4"/>
        <v>1</v>
      </c>
      <c r="AC10" s="2662">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315"/>
      <c r="Q11" s="1790" t="str">
        <f t="shared" si="6"/>
        <v>容积率</v>
      </c>
      <c r="R11" s="768" t="s">
        <v>17</v>
      </c>
      <c r="S11" s="769" t="e">
        <f t="shared" si="0"/>
        <v>#N/A</v>
      </c>
      <c r="T11" s="768" t="s">
        <v>17</v>
      </c>
      <c r="U11" s="769" t="e">
        <f t="shared" si="1"/>
        <v>#N/A</v>
      </c>
      <c r="V11" s="768" t="s">
        <v>17</v>
      </c>
      <c r="W11" s="769" t="e">
        <f t="shared" si="2"/>
        <v>#N/A</v>
      </c>
      <c r="X11" s="770"/>
      <c r="Y11" s="3136"/>
      <c r="Z11" s="55" t="str">
        <f t="shared" si="7"/>
        <v>容积率</v>
      </c>
      <c r="AA11" s="771" t="e">
        <f t="shared" si="3"/>
        <v>#N/A</v>
      </c>
      <c r="AB11" s="771" t="e">
        <f t="shared" si="4"/>
        <v>#N/A</v>
      </c>
      <c r="AC11" s="2662" t="e">
        <f t="shared" si="5"/>
        <v>#N/A</v>
      </c>
    </row>
    <row r="12" spans="1:29" s="117" customFormat="1" ht="15">
      <c r="A12" s="431"/>
      <c r="B12" s="2593">
        <v>111</v>
      </c>
      <c r="C12" s="432"/>
      <c r="D12" s="433">
        <v>100</v>
      </c>
      <c r="E12" s="432"/>
      <c r="F12" s="136">
        <f>SUMIF(71:71,E12,72:72)-SUMIF(71:71,C12,72:72)+100</f>
        <v>100</v>
      </c>
      <c r="G12" s="2663"/>
      <c r="H12" s="136">
        <f>SUMIF(71:71,G12,72:72)-SUMIF(71:71,C12,72:72)+100</f>
        <v>100</v>
      </c>
      <c r="I12" s="432"/>
      <c r="J12" s="136">
        <f>SUMIF(71:71,I12,72:72)-SUMIF(71:71,C12,72:72)+100</f>
        <v>100</v>
      </c>
      <c r="K12" s="613"/>
      <c r="L12" s="1128"/>
      <c r="M12" s="1129"/>
      <c r="N12" s="1129"/>
      <c r="O12" s="1129"/>
      <c r="P12" s="3315"/>
      <c r="Q12" s="1790">
        <f t="shared" si="6"/>
        <v>111</v>
      </c>
      <c r="R12" s="768" t="s">
        <v>17</v>
      </c>
      <c r="S12" s="769">
        <f t="shared" si="0"/>
        <v>100</v>
      </c>
      <c r="T12" s="768" t="s">
        <v>17</v>
      </c>
      <c r="U12" s="769">
        <f t="shared" si="1"/>
        <v>100</v>
      </c>
      <c r="V12" s="768" t="s">
        <v>17</v>
      </c>
      <c r="W12" s="769">
        <f t="shared" si="2"/>
        <v>100</v>
      </c>
      <c r="X12" s="770"/>
      <c r="Y12" s="3136"/>
      <c r="Z12" s="55">
        <f t="shared" si="7"/>
        <v>111</v>
      </c>
      <c r="AA12" s="771">
        <f>D12/F12</f>
        <v>1</v>
      </c>
      <c r="AB12" s="771">
        <f>D12/H12</f>
        <v>1</v>
      </c>
      <c r="AC12" s="2662">
        <f>D12/J12</f>
        <v>1</v>
      </c>
    </row>
    <row r="13" spans="1:29" ht="15">
      <c r="A13" s="428"/>
      <c r="B13" s="2593">
        <v>111</v>
      </c>
      <c r="C13" s="434"/>
      <c r="D13" s="435">
        <v>100</v>
      </c>
      <c r="E13" s="432"/>
      <c r="F13" s="136">
        <f>SUMIF(73:73,E13,74:74)-SUMIF(73:73,C13,74:74)+100</f>
        <v>100</v>
      </c>
      <c r="G13" s="2663"/>
      <c r="H13" s="435">
        <f>SUMIF(73:73,G13,74:74)-SUMIF(73:73,C13,74:74)+100</f>
        <v>100</v>
      </c>
      <c r="I13" s="432"/>
      <c r="J13" s="435">
        <f>SUMIF(73:73,I13,74:74)-SUMIF(73:73,C13,74:74)+100</f>
        <v>100</v>
      </c>
      <c r="K13" s="613"/>
      <c r="L13" s="1136"/>
      <c r="M13" s="1127"/>
      <c r="N13" s="1127"/>
      <c r="O13" s="1127"/>
      <c r="P13" s="3315"/>
      <c r="Q13" s="1790">
        <f t="shared" si="6"/>
        <v>111</v>
      </c>
      <c r="R13" s="768" t="s">
        <v>17</v>
      </c>
      <c r="S13" s="769">
        <f t="shared" si="0"/>
        <v>100</v>
      </c>
      <c r="T13" s="768" t="s">
        <v>17</v>
      </c>
      <c r="U13" s="769">
        <f t="shared" si="1"/>
        <v>100</v>
      </c>
      <c r="V13" s="768" t="s">
        <v>17</v>
      </c>
      <c r="W13" s="769">
        <f t="shared" si="2"/>
        <v>100</v>
      </c>
      <c r="X13" s="770"/>
      <c r="Y13" s="3136"/>
      <c r="Z13" s="55">
        <f t="shared" si="7"/>
        <v>111</v>
      </c>
      <c r="AA13" s="771">
        <f t="shared" si="3"/>
        <v>1</v>
      </c>
      <c r="AB13" s="771">
        <f t="shared" si="4"/>
        <v>1</v>
      </c>
      <c r="AC13" s="2662">
        <f t="shared" si="5"/>
        <v>1</v>
      </c>
    </row>
    <row r="14" spans="1:29" ht="15.75" thickBot="1">
      <c r="A14" s="436"/>
      <c r="B14" s="2595">
        <v>111</v>
      </c>
      <c r="C14" s="437"/>
      <c r="D14" s="438">
        <v>100</v>
      </c>
      <c r="E14" s="627"/>
      <c r="F14" s="438">
        <f>SUMIF(75:75,E14,76:76)-SUMIF(75:75,C14,76:76)+100</f>
        <v>100</v>
      </c>
      <c r="G14" s="2663"/>
      <c r="H14" s="438">
        <f>SUMIF(75:75,G14,76:76)-SUMIF(75:75,C14,76:76)+100</f>
        <v>100</v>
      </c>
      <c r="I14" s="432"/>
      <c r="J14" s="438">
        <f>SUMIF(75:75,I14,76:76)-SUMIF(75:75,C14,76:76)+100</f>
        <v>100</v>
      </c>
      <c r="K14" s="613"/>
      <c r="L14" s="1136"/>
      <c r="M14" s="1127"/>
      <c r="N14" s="1127"/>
      <c r="O14" s="1127"/>
      <c r="P14" s="3315"/>
      <c r="Q14" s="1790">
        <f t="shared" si="6"/>
        <v>111</v>
      </c>
      <c r="R14" s="768" t="s">
        <v>17</v>
      </c>
      <c r="S14" s="769">
        <f t="shared" si="0"/>
        <v>100</v>
      </c>
      <c r="T14" s="768" t="s">
        <v>17</v>
      </c>
      <c r="U14" s="769">
        <f t="shared" si="1"/>
        <v>100</v>
      </c>
      <c r="V14" s="768" t="s">
        <v>17</v>
      </c>
      <c r="W14" s="769">
        <f t="shared" si="2"/>
        <v>100</v>
      </c>
      <c r="X14" s="770"/>
      <c r="Y14" s="3136"/>
      <c r="Z14" s="55">
        <f t="shared" si="7"/>
        <v>111</v>
      </c>
      <c r="AA14" s="771">
        <f t="shared" si="3"/>
        <v>1</v>
      </c>
      <c r="AB14" s="771">
        <f t="shared" si="4"/>
        <v>1</v>
      </c>
      <c r="AC14" s="2662">
        <f t="shared" si="5"/>
        <v>1</v>
      </c>
    </row>
    <row r="15" spans="1:29" ht="71.25">
      <c r="A15" s="440" t="s">
        <v>2551</v>
      </c>
      <c r="B15" s="628" t="s">
        <v>2679</v>
      </c>
      <c r="C15" s="266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330" t="s">
        <v>2552</v>
      </c>
      <c r="Q15" s="1805" t="str">
        <f t="shared" si="6"/>
        <v>办公集聚程度</v>
      </c>
      <c r="R15" s="772" t="s">
        <v>17</v>
      </c>
      <c r="S15" s="773">
        <f t="shared" si="0"/>
        <v>100</v>
      </c>
      <c r="T15" s="772" t="s">
        <v>17</v>
      </c>
      <c r="U15" s="773">
        <f t="shared" si="1"/>
        <v>100</v>
      </c>
      <c r="V15" s="772" t="s">
        <v>17</v>
      </c>
      <c r="W15" s="773">
        <f t="shared" si="2"/>
        <v>100</v>
      </c>
      <c r="X15" s="1808"/>
      <c r="Y15" s="3306" t="s">
        <v>2552</v>
      </c>
      <c r="Z15" s="1809" t="str">
        <f t="shared" si="7"/>
        <v>办公集聚程度</v>
      </c>
      <c r="AA15" s="1806">
        <f t="shared" si="3"/>
        <v>1</v>
      </c>
      <c r="AB15" s="1806">
        <f t="shared" si="4"/>
        <v>1</v>
      </c>
      <c r="AC15" s="2665">
        <f t="shared" si="5"/>
        <v>1</v>
      </c>
    </row>
    <row r="16" spans="1:29" ht="15">
      <c r="A16" s="428"/>
      <c r="B16" s="629"/>
      <c r="C16" s="2604"/>
      <c r="D16" s="448"/>
      <c r="E16" s="447"/>
      <c r="F16" s="448"/>
      <c r="G16" s="2604"/>
      <c r="H16" s="450"/>
      <c r="I16" s="447"/>
      <c r="J16" s="448"/>
      <c r="K16" s="615"/>
      <c r="L16" s="1136"/>
      <c r="M16" s="1127"/>
      <c r="N16" s="1127"/>
      <c r="O16" s="1127"/>
      <c r="P16" s="3331"/>
      <c r="Q16" s="1805"/>
      <c r="R16" s="772"/>
      <c r="S16" s="773"/>
      <c r="T16" s="772"/>
      <c r="U16" s="773"/>
      <c r="V16" s="772"/>
      <c r="W16" s="773"/>
      <c r="X16" s="1808"/>
      <c r="Y16" s="3307"/>
      <c r="Z16" s="1809"/>
      <c r="AA16" s="1806">
        <v>1</v>
      </c>
      <c r="AB16" s="1806">
        <v>1</v>
      </c>
      <c r="AC16" s="2665">
        <v>1</v>
      </c>
    </row>
    <row r="17" spans="1:29" ht="71.25">
      <c r="A17" s="428"/>
      <c r="B17" s="630" t="s">
        <v>2092</v>
      </c>
      <c r="C17" s="266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331"/>
      <c r="Q17" s="1805" t="str">
        <f>B17</f>
        <v>交通便捷度</v>
      </c>
      <c r="R17" s="772" t="s">
        <v>17</v>
      </c>
      <c r="S17" s="773">
        <f>F17</f>
        <v>100</v>
      </c>
      <c r="T17" s="772" t="s">
        <v>17</v>
      </c>
      <c r="U17" s="773">
        <f>H17</f>
        <v>100</v>
      </c>
      <c r="V17" s="772" t="s">
        <v>17</v>
      </c>
      <c r="W17" s="773">
        <f>J17</f>
        <v>100</v>
      </c>
      <c r="X17" s="1808"/>
      <c r="Y17" s="3307"/>
      <c r="Z17" s="1809" t="str">
        <f>Q17</f>
        <v>交通便捷度</v>
      </c>
      <c r="AA17" s="1806">
        <f t="shared" si="3"/>
        <v>1</v>
      </c>
      <c r="AB17" s="1806">
        <f t="shared" si="4"/>
        <v>1</v>
      </c>
      <c r="AC17" s="2665">
        <f t="shared" si="5"/>
        <v>1</v>
      </c>
    </row>
    <row r="18" spans="1:29" ht="15">
      <c r="A18" s="428"/>
      <c r="B18" s="631"/>
      <c r="C18" s="2667"/>
      <c r="D18" s="450"/>
      <c r="E18" s="2602"/>
      <c r="F18" s="450"/>
      <c r="G18" s="2603"/>
      <c r="H18" s="448"/>
      <c r="I18" s="2603"/>
      <c r="J18" s="448"/>
      <c r="K18" s="615"/>
      <c r="L18" s="1136"/>
      <c r="M18" s="1127"/>
      <c r="N18" s="1127"/>
      <c r="O18" s="1127"/>
      <c r="P18" s="3331"/>
      <c r="Q18" s="1805"/>
      <c r="R18" s="772"/>
      <c r="S18" s="773"/>
      <c r="T18" s="772"/>
      <c r="U18" s="773"/>
      <c r="V18" s="772"/>
      <c r="W18" s="773"/>
      <c r="X18" s="1808"/>
      <c r="Y18" s="3307"/>
      <c r="Z18" s="1809"/>
      <c r="AA18" s="1806">
        <v>1</v>
      </c>
      <c r="AB18" s="1806">
        <v>1</v>
      </c>
      <c r="AC18" s="2665">
        <v>1</v>
      </c>
    </row>
    <row r="19" spans="1:29" ht="42.75">
      <c r="A19" s="428"/>
      <c r="B19" s="630" t="s">
        <v>2680</v>
      </c>
      <c r="C19" s="266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331"/>
      <c r="Q19" s="1805" t="str">
        <f>B19</f>
        <v>公共配套设施</v>
      </c>
      <c r="R19" s="772" t="s">
        <v>17</v>
      </c>
      <c r="S19" s="773">
        <f>F19</f>
        <v>100</v>
      </c>
      <c r="T19" s="772" t="s">
        <v>17</v>
      </c>
      <c r="U19" s="773">
        <f>H19</f>
        <v>100</v>
      </c>
      <c r="V19" s="772" t="s">
        <v>17</v>
      </c>
      <c r="W19" s="773">
        <f>J19</f>
        <v>100</v>
      </c>
      <c r="X19" s="1808"/>
      <c r="Y19" s="3307"/>
      <c r="Z19" s="1809" t="str">
        <f>Q19</f>
        <v>公共配套设施</v>
      </c>
      <c r="AA19" s="1806">
        <f t="shared" si="3"/>
        <v>1</v>
      </c>
      <c r="AB19" s="1806">
        <f t="shared" si="4"/>
        <v>1</v>
      </c>
      <c r="AC19" s="2665">
        <f t="shared" si="5"/>
        <v>1</v>
      </c>
    </row>
    <row r="20" spans="1:29" ht="15">
      <c r="A20" s="428"/>
      <c r="B20" s="631"/>
      <c r="C20" s="2604"/>
      <c r="D20" s="448"/>
      <c r="E20" s="2597"/>
      <c r="F20" s="448"/>
      <c r="G20" s="2598"/>
      <c r="H20" s="448"/>
      <c r="I20" s="2598"/>
      <c r="J20" s="448"/>
      <c r="K20" s="615"/>
      <c r="L20" s="1136"/>
      <c r="M20" s="1127"/>
      <c r="N20" s="1127"/>
      <c r="O20" s="1127"/>
      <c r="P20" s="3331"/>
      <c r="Q20" s="1805"/>
      <c r="R20" s="772"/>
      <c r="S20" s="773"/>
      <c r="T20" s="772"/>
      <c r="U20" s="773"/>
      <c r="V20" s="772"/>
      <c r="W20" s="773"/>
      <c r="X20" s="1808"/>
      <c r="Y20" s="3307"/>
      <c r="Z20" s="1809"/>
      <c r="AA20" s="1806">
        <v>1</v>
      </c>
      <c r="AB20" s="1806">
        <v>1</v>
      </c>
      <c r="AC20" s="2665">
        <v>1</v>
      </c>
    </row>
    <row r="21" spans="1:29" ht="28.5">
      <c r="A21" s="428"/>
      <c r="B21" s="632" t="s">
        <v>2681</v>
      </c>
      <c r="C21" s="266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331"/>
      <c r="Q21" s="1805" t="str">
        <f>B21</f>
        <v>基础设施水平</v>
      </c>
      <c r="R21" s="772" t="s">
        <v>17</v>
      </c>
      <c r="S21" s="773">
        <f>F21</f>
        <v>100</v>
      </c>
      <c r="T21" s="772" t="s">
        <v>17</v>
      </c>
      <c r="U21" s="773">
        <f>H21</f>
        <v>100</v>
      </c>
      <c r="V21" s="772" t="s">
        <v>17</v>
      </c>
      <c r="W21" s="773">
        <f>J21</f>
        <v>100</v>
      </c>
      <c r="X21" s="1808"/>
      <c r="Y21" s="3307"/>
      <c r="Z21" s="1809" t="str">
        <f>Q21</f>
        <v>基础设施水平</v>
      </c>
      <c r="AA21" s="1806">
        <f t="shared" ref="AA21" si="8">D21/F21</f>
        <v>1</v>
      </c>
      <c r="AB21" s="1806">
        <f t="shared" ref="AB21" si="9">D21/H21</f>
        <v>1</v>
      </c>
      <c r="AC21" s="2665">
        <f t="shared" ref="AC21" si="10">D21/J21</f>
        <v>1</v>
      </c>
    </row>
    <row r="22" spans="1:29" ht="15">
      <c r="A22" s="428"/>
      <c r="B22" s="632"/>
      <c r="C22" s="2667"/>
      <c r="D22" s="448"/>
      <c r="E22" s="447"/>
      <c r="F22" s="448"/>
      <c r="G22" s="2604"/>
      <c r="H22" s="448"/>
      <c r="I22" s="2604"/>
      <c r="J22" s="448"/>
      <c r="K22" s="1379"/>
      <c r="L22" s="1136"/>
      <c r="M22" s="1127"/>
      <c r="N22" s="1127"/>
      <c r="O22" s="1127"/>
      <c r="P22" s="3331"/>
      <c r="Q22" s="1805"/>
      <c r="R22" s="772"/>
      <c r="S22" s="773"/>
      <c r="T22" s="772"/>
      <c r="U22" s="773"/>
      <c r="V22" s="772"/>
      <c r="W22" s="773"/>
      <c r="X22" s="1808"/>
      <c r="Y22" s="3307"/>
      <c r="Z22" s="1809"/>
      <c r="AA22" s="1806">
        <v>1</v>
      </c>
      <c r="AB22" s="1806">
        <v>1</v>
      </c>
      <c r="AC22" s="2665">
        <v>1</v>
      </c>
    </row>
    <row r="23" spans="1:29" ht="42.75">
      <c r="A23" s="428"/>
      <c r="B23" s="630" t="s">
        <v>2682</v>
      </c>
      <c r="C23" s="266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331"/>
      <c r="Q23" s="1805" t="str">
        <f>B23</f>
        <v>环境质量</v>
      </c>
      <c r="R23" s="772" t="s">
        <v>17</v>
      </c>
      <c r="S23" s="773">
        <f>F23</f>
        <v>100</v>
      </c>
      <c r="T23" s="772" t="s">
        <v>17</v>
      </c>
      <c r="U23" s="773">
        <f>H23</f>
        <v>100</v>
      </c>
      <c r="V23" s="772" t="s">
        <v>17</v>
      </c>
      <c r="W23" s="773">
        <f>J23</f>
        <v>100</v>
      </c>
      <c r="X23" s="1808"/>
      <c r="Y23" s="3307"/>
      <c r="Z23" s="1809" t="str">
        <f>Q23</f>
        <v>环境质量</v>
      </c>
      <c r="AA23" s="1806">
        <f t="shared" si="3"/>
        <v>1</v>
      </c>
      <c r="AB23" s="1806">
        <f t="shared" si="4"/>
        <v>1</v>
      </c>
      <c r="AC23" s="2665">
        <f t="shared" si="5"/>
        <v>1</v>
      </c>
    </row>
    <row r="24" spans="1:29" ht="15">
      <c r="A24" s="428"/>
      <c r="B24" s="632"/>
      <c r="C24" s="2604"/>
      <c r="D24" s="448"/>
      <c r="E24" s="2597"/>
      <c r="F24" s="448"/>
      <c r="G24" s="2598"/>
      <c r="H24" s="448"/>
      <c r="I24" s="2598"/>
      <c r="J24" s="448"/>
      <c r="K24" s="615"/>
      <c r="L24" s="1136"/>
      <c r="M24" s="1127"/>
      <c r="N24" s="1127"/>
      <c r="O24" s="1127"/>
      <c r="P24" s="3331"/>
      <c r="Q24" s="1805"/>
      <c r="R24" s="772"/>
      <c r="S24" s="773"/>
      <c r="T24" s="772"/>
      <c r="U24" s="773"/>
      <c r="V24" s="772"/>
      <c r="W24" s="773"/>
      <c r="X24" s="1808"/>
      <c r="Y24" s="3307"/>
      <c r="Z24" s="1809"/>
      <c r="AA24" s="1806">
        <v>1</v>
      </c>
      <c r="AB24" s="1806">
        <v>1</v>
      </c>
      <c r="AC24" s="2665">
        <v>1</v>
      </c>
    </row>
    <row r="25" spans="1:29" ht="27">
      <c r="A25" s="404"/>
      <c r="B25" s="630" t="s">
        <v>2683</v>
      </c>
      <c r="C25" s="2608"/>
      <c r="D25" s="435">
        <v>100</v>
      </c>
      <c r="E25" s="434"/>
      <c r="F25" s="435">
        <f>SUMIF(87:87,E26,88:88)-SUMIF(87:87,C26,88:88)+100</f>
        <v>100</v>
      </c>
      <c r="G25" s="2608"/>
      <c r="H25" s="435">
        <f>SUMIF(87:87,G26,88:88)-SUMIF(87:87,C26,88:88)+100</f>
        <v>100</v>
      </c>
      <c r="I25" s="434"/>
      <c r="J25" s="435">
        <f>SUMIF(87:87,I26,88:88)-SUMIF(87:87,C26,88:88)+100</f>
        <v>100</v>
      </c>
      <c r="K25" s="614"/>
      <c r="L25" s="1136"/>
      <c r="M25" s="1127"/>
      <c r="N25" s="1127"/>
      <c r="O25" s="1127"/>
      <c r="P25" s="3331"/>
      <c r="Q25" s="1805" t="str">
        <f>B25</f>
        <v>毗邻道路的类型与等级</v>
      </c>
      <c r="R25" s="772" t="s">
        <v>17</v>
      </c>
      <c r="S25" s="773">
        <f>F25</f>
        <v>100</v>
      </c>
      <c r="T25" s="772" t="s">
        <v>17</v>
      </c>
      <c r="U25" s="773">
        <f>H25</f>
        <v>100</v>
      </c>
      <c r="V25" s="772" t="s">
        <v>17</v>
      </c>
      <c r="W25" s="773">
        <f>J25</f>
        <v>100</v>
      </c>
      <c r="X25" s="1808"/>
      <c r="Y25" s="3307"/>
      <c r="Z25" s="1809" t="str">
        <f>Q25</f>
        <v>毗邻道路的类型与等级</v>
      </c>
      <c r="AA25" s="1806">
        <f t="shared" si="3"/>
        <v>1</v>
      </c>
      <c r="AB25" s="1806">
        <f t="shared" si="4"/>
        <v>1</v>
      </c>
      <c r="AC25" s="2665">
        <f t="shared" si="5"/>
        <v>1</v>
      </c>
    </row>
    <row r="26" spans="1:29" ht="15">
      <c r="A26" s="404"/>
      <c r="B26" s="631"/>
      <c r="C26" s="633"/>
      <c r="D26" s="435"/>
      <c r="E26" s="616"/>
      <c r="F26" s="435"/>
      <c r="G26" s="633"/>
      <c r="H26" s="435"/>
      <c r="I26" s="616"/>
      <c r="J26" s="435"/>
      <c r="K26" s="615"/>
      <c r="L26" s="1136"/>
      <c r="M26" s="1127"/>
      <c r="N26" s="1127"/>
      <c r="O26" s="1127"/>
      <c r="P26" s="3331"/>
      <c r="Q26" s="1805"/>
      <c r="R26" s="772"/>
      <c r="S26" s="773"/>
      <c r="T26" s="772"/>
      <c r="U26" s="773"/>
      <c r="V26" s="772"/>
      <c r="W26" s="773"/>
      <c r="X26" s="1808"/>
      <c r="Y26" s="3307"/>
      <c r="Z26" s="1809"/>
      <c r="AA26" s="1806">
        <v>1</v>
      </c>
      <c r="AB26" s="1806">
        <v>1</v>
      </c>
      <c r="AC26" s="2665">
        <v>1</v>
      </c>
    </row>
    <row r="27" spans="1:29" ht="15">
      <c r="A27" s="428"/>
      <c r="B27" s="631" t="s">
        <v>2651</v>
      </c>
      <c r="C27" s="633"/>
      <c r="D27" s="435">
        <v>100</v>
      </c>
      <c r="E27" s="616"/>
      <c r="F27" s="435">
        <f>SUMIF(89:89,E27,90:90)-SUMIF(89:89,C27,90:90)+100</f>
        <v>100</v>
      </c>
      <c r="G27" s="633"/>
      <c r="H27" s="435">
        <f>SUMIF(89:89,G27,90:90)-SUMIF(89:89,C27,90:90)+100</f>
        <v>100</v>
      </c>
      <c r="I27" s="616"/>
      <c r="J27" s="435">
        <f>SUMIF(89:89,I27,90:90)-SUMIF(89:89,C27,90:90)+100</f>
        <v>100</v>
      </c>
      <c r="K27" s="612"/>
      <c r="L27" s="1136"/>
      <c r="M27" s="1127"/>
      <c r="N27" s="1127"/>
      <c r="O27" s="1127"/>
      <c r="P27" s="3331"/>
      <c r="Q27" s="1805" t="str">
        <f t="shared" ref="Q27:Q47" si="11">B27</f>
        <v>楼层</v>
      </c>
      <c r="R27" s="772" t="s">
        <v>17</v>
      </c>
      <c r="S27" s="773">
        <f>F27</f>
        <v>100</v>
      </c>
      <c r="T27" s="772" t="s">
        <v>17</v>
      </c>
      <c r="U27" s="773">
        <f>H27</f>
        <v>100</v>
      </c>
      <c r="V27" s="772" t="s">
        <v>17</v>
      </c>
      <c r="W27" s="773">
        <f>J27</f>
        <v>100</v>
      </c>
      <c r="X27" s="1808"/>
      <c r="Y27" s="3307"/>
      <c r="Z27" s="1809" t="str">
        <f>Q27</f>
        <v>楼层</v>
      </c>
      <c r="AA27" s="1806">
        <f t="shared" si="3"/>
        <v>1</v>
      </c>
      <c r="AB27" s="1806">
        <f t="shared" si="4"/>
        <v>1</v>
      </c>
      <c r="AC27" s="2665">
        <f t="shared" si="5"/>
        <v>1</v>
      </c>
    </row>
    <row r="28" spans="1:29" s="117" customFormat="1" ht="15">
      <c r="A28" s="431"/>
      <c r="B28" s="630" t="s">
        <v>2684</v>
      </c>
      <c r="C28" s="2668"/>
      <c r="D28" s="462">
        <v>100</v>
      </c>
      <c r="E28" s="2656"/>
      <c r="F28" s="462">
        <f>SUMIF(91:91,E28,92:92)-SUMIF(91:91,C28,92:92)+100</f>
        <v>100</v>
      </c>
      <c r="G28" s="2668"/>
      <c r="H28" s="462">
        <f>SUMIF(91:91,G28,92:92)-SUMIF(91:91,C28,92:92)+100</f>
        <v>100</v>
      </c>
      <c r="I28" s="2656"/>
      <c r="J28" s="462">
        <f>SUMIF(91:91,I28,92:92)-SUMIF(91:91,C28,92:92)+100</f>
        <v>100</v>
      </c>
      <c r="K28" s="612"/>
      <c r="L28" s="1128"/>
      <c r="M28" s="1129"/>
      <c r="N28" s="1129"/>
      <c r="O28" s="1129"/>
      <c r="P28" s="3331"/>
      <c r="Q28" s="1790" t="str">
        <f t="shared" si="11"/>
        <v>朝向</v>
      </c>
      <c r="R28" s="768" t="s">
        <v>17</v>
      </c>
      <c r="S28" s="769">
        <f>F28</f>
        <v>100</v>
      </c>
      <c r="T28" s="768" t="s">
        <v>17</v>
      </c>
      <c r="U28" s="769">
        <f>H28</f>
        <v>100</v>
      </c>
      <c r="V28" s="768" t="s">
        <v>17</v>
      </c>
      <c r="W28" s="769">
        <f>J28</f>
        <v>100</v>
      </c>
      <c r="X28" s="770"/>
      <c r="Y28" s="3307"/>
      <c r="Z28" s="55" t="str">
        <f>Q28</f>
        <v>朝向</v>
      </c>
      <c r="AA28" s="1806">
        <f>D28/F28</f>
        <v>1</v>
      </c>
      <c r="AB28" s="1806">
        <f>D28/H28</f>
        <v>1</v>
      </c>
      <c r="AC28" s="2665">
        <f>D28/J28</f>
        <v>1</v>
      </c>
    </row>
    <row r="29" spans="1:29" ht="15">
      <c r="A29" s="428"/>
      <c r="B29" s="2669">
        <v>111</v>
      </c>
      <c r="C29" s="2608"/>
      <c r="D29" s="435">
        <v>100</v>
      </c>
      <c r="E29" s="432"/>
      <c r="F29" s="435">
        <f>SUMIF(93:93,E29,94:94)-SUMIF(93:93,C29,94:94)+100</f>
        <v>100</v>
      </c>
      <c r="G29" s="2663"/>
      <c r="H29" s="435">
        <f>SUMIF(93:93,G29,94:94)-SUMIF(93:93,C29,94:94)+100</f>
        <v>100</v>
      </c>
      <c r="I29" s="432"/>
      <c r="J29" s="435">
        <f>SUMIF(93:93,I29,94:94)-SUMIF(93:93,C29,94:94)+100</f>
        <v>100</v>
      </c>
      <c r="K29" s="613"/>
      <c r="L29" s="1136"/>
      <c r="M29" s="1127"/>
      <c r="N29" s="1127"/>
      <c r="O29" s="1127"/>
      <c r="P29" s="3331"/>
      <c r="Q29" s="1805">
        <f t="shared" si="11"/>
        <v>111</v>
      </c>
      <c r="R29" s="772" t="s">
        <v>17</v>
      </c>
      <c r="S29" s="773">
        <f t="shared" ref="S29:S47" si="12">F29</f>
        <v>100</v>
      </c>
      <c r="T29" s="772" t="s">
        <v>17</v>
      </c>
      <c r="U29" s="773">
        <f t="shared" ref="U29:U47" si="13">H29</f>
        <v>100</v>
      </c>
      <c r="V29" s="772" t="s">
        <v>17</v>
      </c>
      <c r="W29" s="773">
        <f t="shared" ref="W29:W47" si="14">J29</f>
        <v>100</v>
      </c>
      <c r="X29" s="1808"/>
      <c r="Y29" s="3307"/>
      <c r="Z29" s="1809">
        <f t="shared" ref="Z29:Z47" si="15">Q29</f>
        <v>111</v>
      </c>
      <c r="AA29" s="1806">
        <f t="shared" si="3"/>
        <v>1</v>
      </c>
      <c r="AB29" s="1806">
        <f t="shared" si="4"/>
        <v>1</v>
      </c>
      <c r="AC29" s="2665">
        <f t="shared" si="5"/>
        <v>1</v>
      </c>
    </row>
    <row r="30" spans="1:29" ht="15">
      <c r="A30" s="428"/>
      <c r="B30" s="2669">
        <v>111</v>
      </c>
      <c r="C30" s="2608"/>
      <c r="D30" s="435">
        <v>100</v>
      </c>
      <c r="E30" s="432"/>
      <c r="F30" s="435">
        <f>SUMIF(95:95,E30,96:96)-SUMIF(95:95,C30,96:96)+100</f>
        <v>100</v>
      </c>
      <c r="G30" s="2663"/>
      <c r="H30" s="435">
        <f>SUMIF(95:95,G30,96:96)-SUMIF(95:95,C30,96:96)+100</f>
        <v>100</v>
      </c>
      <c r="I30" s="432"/>
      <c r="J30" s="435">
        <f>SUMIF(95:95,I30,96:96)-SUMIF(95:95,C30,96:96)+100</f>
        <v>100</v>
      </c>
      <c r="K30" s="613"/>
      <c r="L30" s="1136"/>
      <c r="M30" s="1127"/>
      <c r="N30" s="1127"/>
      <c r="O30" s="1127"/>
      <c r="P30" s="3331"/>
      <c r="Q30" s="1805">
        <f t="shared" si="11"/>
        <v>111</v>
      </c>
      <c r="R30" s="772" t="s">
        <v>17</v>
      </c>
      <c r="S30" s="773">
        <f t="shared" si="12"/>
        <v>100</v>
      </c>
      <c r="T30" s="772" t="s">
        <v>17</v>
      </c>
      <c r="U30" s="773">
        <f t="shared" si="13"/>
        <v>100</v>
      </c>
      <c r="V30" s="772" t="s">
        <v>17</v>
      </c>
      <c r="W30" s="773">
        <f t="shared" si="14"/>
        <v>100</v>
      </c>
      <c r="X30" s="1808"/>
      <c r="Y30" s="3307"/>
      <c r="Z30" s="1809">
        <f t="shared" si="15"/>
        <v>111</v>
      </c>
      <c r="AA30" s="1806">
        <f t="shared" si="3"/>
        <v>1</v>
      </c>
      <c r="AB30" s="1806">
        <f t="shared" si="4"/>
        <v>1</v>
      </c>
      <c r="AC30" s="2665">
        <f t="shared" si="5"/>
        <v>1</v>
      </c>
    </row>
    <row r="31" spans="1:29" ht="15">
      <c r="A31" s="428"/>
      <c r="B31" s="2669">
        <v>111</v>
      </c>
      <c r="C31" s="2608"/>
      <c r="D31" s="435">
        <v>100</v>
      </c>
      <c r="E31" s="432"/>
      <c r="F31" s="435">
        <f>SUMIF(97:97,E31,98:98)-SUMIF(97:97,C31,98:98)+100</f>
        <v>100</v>
      </c>
      <c r="G31" s="2663"/>
      <c r="H31" s="435">
        <f>SUMIF(97:97,G31,98:98)-SUMIF(97:97,C31,98:98)+100</f>
        <v>100</v>
      </c>
      <c r="I31" s="432"/>
      <c r="J31" s="435">
        <f>SUMIF(97:97,I31,98:98)-SUMIF(97:97,C31,98:98)+100</f>
        <v>100</v>
      </c>
      <c r="K31" s="613"/>
      <c r="L31" s="1136"/>
      <c r="M31" s="1127"/>
      <c r="N31" s="1127"/>
      <c r="O31" s="1127"/>
      <c r="P31" s="3331"/>
      <c r="Q31" s="1805">
        <f t="shared" si="11"/>
        <v>111</v>
      </c>
      <c r="R31" s="772" t="s">
        <v>17</v>
      </c>
      <c r="S31" s="773">
        <f t="shared" si="12"/>
        <v>100</v>
      </c>
      <c r="T31" s="772" t="s">
        <v>17</v>
      </c>
      <c r="U31" s="773">
        <f t="shared" si="13"/>
        <v>100</v>
      </c>
      <c r="V31" s="772" t="s">
        <v>17</v>
      </c>
      <c r="W31" s="773">
        <f t="shared" si="14"/>
        <v>100</v>
      </c>
      <c r="X31" s="1808"/>
      <c r="Y31" s="3307"/>
      <c r="Z31" s="1809">
        <f t="shared" si="15"/>
        <v>111</v>
      </c>
      <c r="AA31" s="1806">
        <f t="shared" si="3"/>
        <v>1</v>
      </c>
      <c r="AB31" s="1806">
        <f t="shared" si="4"/>
        <v>1</v>
      </c>
      <c r="AC31" s="2665">
        <f t="shared" si="5"/>
        <v>1</v>
      </c>
    </row>
    <row r="32" spans="1:29" ht="15.75" thickBot="1">
      <c r="A32" s="436"/>
      <c r="B32" s="634">
        <v>111</v>
      </c>
      <c r="C32" s="2609"/>
      <c r="D32" s="438">
        <v>100</v>
      </c>
      <c r="E32" s="627"/>
      <c r="F32" s="438">
        <f>SUMIF(99:99,E32,100:100)-SUMIF(99:99,C32,100:100)+100</f>
        <v>100</v>
      </c>
      <c r="G32" s="2663"/>
      <c r="H32" s="438">
        <f>SUMIF(99:99,G32,100:100)-SUMIF(99:99,C32,100:100)+100</f>
        <v>100</v>
      </c>
      <c r="I32" s="432"/>
      <c r="J32" s="438">
        <f>SUMIF(99:99,I32,100:100)-SUMIF(99:99,C32,100:100)+100</f>
        <v>100</v>
      </c>
      <c r="K32" s="613"/>
      <c r="L32" s="1136"/>
      <c r="M32" s="1127"/>
      <c r="N32" s="1127"/>
      <c r="O32" s="1127"/>
      <c r="P32" s="3331"/>
      <c r="Q32" s="1805">
        <f t="shared" si="11"/>
        <v>111</v>
      </c>
      <c r="R32" s="772" t="s">
        <v>17</v>
      </c>
      <c r="S32" s="773">
        <f t="shared" si="12"/>
        <v>100</v>
      </c>
      <c r="T32" s="772" t="s">
        <v>17</v>
      </c>
      <c r="U32" s="773">
        <f t="shared" si="13"/>
        <v>100</v>
      </c>
      <c r="V32" s="772" t="s">
        <v>17</v>
      </c>
      <c r="W32" s="773">
        <f t="shared" si="14"/>
        <v>100</v>
      </c>
      <c r="X32" s="1808"/>
      <c r="Y32" s="3307"/>
      <c r="Z32" s="1809">
        <f t="shared" si="15"/>
        <v>111</v>
      </c>
      <c r="AA32" s="1806">
        <f t="shared" si="3"/>
        <v>1</v>
      </c>
      <c r="AB32" s="1806">
        <f t="shared" si="4"/>
        <v>1</v>
      </c>
      <c r="AC32" s="2665">
        <f t="shared" si="5"/>
        <v>1</v>
      </c>
    </row>
    <row r="33" spans="1:29" ht="15">
      <c r="A33" s="440" t="s">
        <v>2555</v>
      </c>
      <c r="B33" s="71" t="s">
        <v>2685</v>
      </c>
      <c r="C33" s="2670"/>
      <c r="D33" s="467">
        <v>100</v>
      </c>
      <c r="E33" s="2670"/>
      <c r="F33" s="461">
        <f>SUMIF(101:101,E33,102:102)-SUMIF(101:101,C33,102:102)+100</f>
        <v>100</v>
      </c>
      <c r="G33" s="2670"/>
      <c r="H33" s="435">
        <f>SUMIF(101:101,G33,102:102)-SUMIF(101:101,C33,102:102)+100</f>
        <v>100</v>
      </c>
      <c r="I33" s="2670"/>
      <c r="J33" s="467">
        <f>SUMIF(101:101,I33,102:102)-SUMIF(101:101,C33,102:102)+100</f>
        <v>100</v>
      </c>
      <c r="K33" s="612"/>
      <c r="L33" s="1136"/>
      <c r="M33" s="1127"/>
      <c r="N33" s="1127"/>
      <c r="O33" s="1127"/>
      <c r="P33" s="3326" t="s">
        <v>2557</v>
      </c>
      <c r="Q33" s="1805" t="str">
        <f t="shared" si="11"/>
        <v>建筑类型</v>
      </c>
      <c r="R33" s="772" t="s">
        <v>17</v>
      </c>
      <c r="S33" s="773">
        <f t="shared" si="12"/>
        <v>100</v>
      </c>
      <c r="T33" s="772" t="s">
        <v>17</v>
      </c>
      <c r="U33" s="773">
        <f t="shared" si="13"/>
        <v>100</v>
      </c>
      <c r="V33" s="772" t="s">
        <v>17</v>
      </c>
      <c r="W33" s="773">
        <f t="shared" si="14"/>
        <v>100</v>
      </c>
      <c r="X33" s="1808"/>
      <c r="Y33" s="3309" t="s">
        <v>2557</v>
      </c>
      <c r="Z33" s="1809" t="str">
        <f t="shared" si="15"/>
        <v>建筑类型</v>
      </c>
      <c r="AA33" s="1806">
        <f t="shared" si="3"/>
        <v>1</v>
      </c>
      <c r="AB33" s="1806">
        <f t="shared" si="4"/>
        <v>1</v>
      </c>
      <c r="AC33" s="2665">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327"/>
      <c r="Q34" s="774" t="str">
        <f t="shared" si="11"/>
        <v>项目建筑规模</v>
      </c>
      <c r="R34" s="775" t="s">
        <v>17</v>
      </c>
      <c r="S34" s="776" t="e">
        <f t="shared" si="12"/>
        <v>#N/A</v>
      </c>
      <c r="T34" s="775" t="s">
        <v>17</v>
      </c>
      <c r="U34" s="776" t="e">
        <f t="shared" si="13"/>
        <v>#N/A</v>
      </c>
      <c r="V34" s="775" t="s">
        <v>17</v>
      </c>
      <c r="W34" s="776" t="e">
        <f t="shared" si="14"/>
        <v>#N/A</v>
      </c>
      <c r="X34" s="777"/>
      <c r="Y34" s="3309"/>
      <c r="Z34" s="778" t="str">
        <f t="shared" si="15"/>
        <v>项目建筑规模</v>
      </c>
      <c r="AA34" s="1806" t="e">
        <f t="shared" si="3"/>
        <v>#N/A</v>
      </c>
      <c r="AB34" s="1806" t="e">
        <f t="shared" si="4"/>
        <v>#N/A</v>
      </c>
      <c r="AC34" s="2665"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327"/>
      <c r="Q35" s="1805" t="str">
        <f t="shared" si="11"/>
        <v>建筑结构</v>
      </c>
      <c r="R35" s="772" t="s">
        <v>17</v>
      </c>
      <c r="S35" s="773">
        <f t="shared" si="12"/>
        <v>100</v>
      </c>
      <c r="T35" s="772" t="s">
        <v>17</v>
      </c>
      <c r="U35" s="773">
        <f t="shared" si="13"/>
        <v>100</v>
      </c>
      <c r="V35" s="772" t="s">
        <v>17</v>
      </c>
      <c r="W35" s="773">
        <f t="shared" si="14"/>
        <v>100</v>
      </c>
      <c r="X35" s="1808"/>
      <c r="Y35" s="3309"/>
      <c r="Z35" s="1809" t="str">
        <f t="shared" si="15"/>
        <v>建筑结构</v>
      </c>
      <c r="AA35" s="1806">
        <f t="shared" si="3"/>
        <v>1</v>
      </c>
      <c r="AB35" s="1806">
        <f t="shared" si="4"/>
        <v>1</v>
      </c>
      <c r="AC35" s="2665">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327"/>
      <c r="Q36" s="1805" t="str">
        <f t="shared" si="11"/>
        <v>公共部分装修</v>
      </c>
      <c r="R36" s="772" t="s">
        <v>17</v>
      </c>
      <c r="S36" s="773">
        <f t="shared" si="12"/>
        <v>100</v>
      </c>
      <c r="T36" s="772" t="s">
        <v>17</v>
      </c>
      <c r="U36" s="773">
        <f t="shared" si="13"/>
        <v>100</v>
      </c>
      <c r="V36" s="772" t="s">
        <v>17</v>
      </c>
      <c r="W36" s="773">
        <f t="shared" si="14"/>
        <v>100</v>
      </c>
      <c r="X36" s="1808"/>
      <c r="Y36" s="3309"/>
      <c r="Z36" s="1809" t="str">
        <f t="shared" si="15"/>
        <v>公共部分装修</v>
      </c>
      <c r="AA36" s="1806">
        <f t="shared" si="3"/>
        <v>1</v>
      </c>
      <c r="AB36" s="1806">
        <f t="shared" si="4"/>
        <v>1</v>
      </c>
      <c r="AC36" s="2665">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327"/>
      <c r="Q37" s="1805" t="str">
        <f t="shared" si="11"/>
        <v>成新度</v>
      </c>
      <c r="R37" s="772" t="s">
        <v>17</v>
      </c>
      <c r="S37" s="773" t="e">
        <f t="shared" si="12"/>
        <v>#N/A</v>
      </c>
      <c r="T37" s="772" t="s">
        <v>17</v>
      </c>
      <c r="U37" s="773" t="e">
        <f t="shared" si="13"/>
        <v>#N/A</v>
      </c>
      <c r="V37" s="772" t="s">
        <v>17</v>
      </c>
      <c r="W37" s="773" t="e">
        <f t="shared" si="14"/>
        <v>#N/A</v>
      </c>
      <c r="X37" s="1808"/>
      <c r="Y37" s="3309"/>
      <c r="Z37" s="1809" t="str">
        <f t="shared" si="15"/>
        <v>成新度</v>
      </c>
      <c r="AA37" s="1806" t="e">
        <f t="shared" si="3"/>
        <v>#N/A</v>
      </c>
      <c r="AB37" s="1806" t="e">
        <f t="shared" si="4"/>
        <v>#N/A</v>
      </c>
      <c r="AC37" s="2665"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327"/>
      <c r="Q38" s="1790" t="str">
        <f t="shared" si="11"/>
        <v>写字楼等级</v>
      </c>
      <c r="R38" s="768" t="s">
        <v>17</v>
      </c>
      <c r="S38" s="769">
        <f t="shared" si="12"/>
        <v>100</v>
      </c>
      <c r="T38" s="768" t="s">
        <v>17</v>
      </c>
      <c r="U38" s="769">
        <f t="shared" si="13"/>
        <v>100</v>
      </c>
      <c r="V38" s="768" t="s">
        <v>17</v>
      </c>
      <c r="W38" s="769">
        <f t="shared" si="14"/>
        <v>100</v>
      </c>
      <c r="X38" s="770"/>
      <c r="Y38" s="3309"/>
      <c r="Z38" s="55" t="str">
        <f t="shared" si="15"/>
        <v>写字楼等级</v>
      </c>
      <c r="AA38" s="771">
        <f t="shared" si="3"/>
        <v>1</v>
      </c>
      <c r="AB38" s="771">
        <f t="shared" si="4"/>
        <v>1</v>
      </c>
      <c r="AC38" s="2662">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327" t="s">
        <v>2557</v>
      </c>
      <c r="Q39" s="1805" t="str">
        <f t="shared" si="11"/>
        <v>物业管理</v>
      </c>
      <c r="R39" s="772" t="s">
        <v>17</v>
      </c>
      <c r="S39" s="773">
        <f t="shared" si="12"/>
        <v>100</v>
      </c>
      <c r="T39" s="772" t="s">
        <v>17</v>
      </c>
      <c r="U39" s="773">
        <f t="shared" si="13"/>
        <v>100</v>
      </c>
      <c r="V39" s="772" t="s">
        <v>17</v>
      </c>
      <c r="W39" s="773">
        <f t="shared" si="14"/>
        <v>100</v>
      </c>
      <c r="X39" s="1808"/>
      <c r="Y39" s="3309" t="s">
        <v>2557</v>
      </c>
      <c r="Z39" s="1809" t="str">
        <f t="shared" si="15"/>
        <v>物业管理</v>
      </c>
      <c r="AA39" s="1806">
        <f t="shared" si="3"/>
        <v>1</v>
      </c>
      <c r="AB39" s="1806">
        <f t="shared" si="4"/>
        <v>1</v>
      </c>
      <c r="AC39" s="2665">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327"/>
      <c r="Q40" s="1805" t="str">
        <f t="shared" si="11"/>
        <v>市政基础设施</v>
      </c>
      <c r="R40" s="772" t="s">
        <v>17</v>
      </c>
      <c r="S40" s="773">
        <f t="shared" si="12"/>
        <v>100</v>
      </c>
      <c r="T40" s="772" t="s">
        <v>17</v>
      </c>
      <c r="U40" s="773">
        <f t="shared" si="13"/>
        <v>100</v>
      </c>
      <c r="V40" s="772" t="s">
        <v>17</v>
      </c>
      <c r="W40" s="773">
        <f t="shared" si="14"/>
        <v>100</v>
      </c>
      <c r="X40" s="1808"/>
      <c r="Y40" s="3309"/>
      <c r="Z40" s="1809" t="str">
        <f t="shared" si="15"/>
        <v>市政基础设施</v>
      </c>
      <c r="AA40" s="1806">
        <f t="shared" si="3"/>
        <v>1</v>
      </c>
      <c r="AB40" s="1806">
        <f t="shared" si="4"/>
        <v>1</v>
      </c>
      <c r="AC40" s="2665">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327"/>
      <c r="Q41" s="1805" t="str">
        <f t="shared" si="11"/>
        <v>层高</v>
      </c>
      <c r="R41" s="772" t="s">
        <v>17</v>
      </c>
      <c r="S41" s="773">
        <f t="shared" si="12"/>
        <v>100</v>
      </c>
      <c r="T41" s="772" t="s">
        <v>17</v>
      </c>
      <c r="U41" s="773">
        <f t="shared" si="13"/>
        <v>100</v>
      </c>
      <c r="V41" s="772" t="s">
        <v>17</v>
      </c>
      <c r="W41" s="773">
        <f t="shared" si="14"/>
        <v>100</v>
      </c>
      <c r="X41" s="1808"/>
      <c r="Y41" s="3309"/>
      <c r="Z41" s="1809" t="str">
        <f t="shared" si="15"/>
        <v>层高</v>
      </c>
      <c r="AA41" s="1806">
        <f t="shared" si="3"/>
        <v>1</v>
      </c>
      <c r="AB41" s="1806">
        <f t="shared" si="4"/>
        <v>1</v>
      </c>
      <c r="AC41" s="2665">
        <f t="shared" si="5"/>
        <v>1</v>
      </c>
    </row>
    <row r="42" spans="1:29" s="471" customFormat="1" ht="15">
      <c r="A42" s="468"/>
      <c r="B42" s="1807"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327"/>
      <c r="Q42" s="774" t="str">
        <f t="shared" si="11"/>
        <v>单套建筑面积</v>
      </c>
      <c r="R42" s="775" t="s">
        <v>17</v>
      </c>
      <c r="S42" s="776">
        <f t="shared" si="12"/>
        <v>100</v>
      </c>
      <c r="T42" s="775" t="s">
        <v>17</v>
      </c>
      <c r="U42" s="776">
        <f t="shared" si="13"/>
        <v>100</v>
      </c>
      <c r="V42" s="775" t="s">
        <v>17</v>
      </c>
      <c r="W42" s="776">
        <f t="shared" si="14"/>
        <v>100</v>
      </c>
      <c r="X42" s="777"/>
      <c r="Y42" s="3309"/>
      <c r="Z42" s="778" t="str">
        <f t="shared" si="15"/>
        <v>单套建筑面积</v>
      </c>
      <c r="AA42" s="1806">
        <f t="shared" si="3"/>
        <v>1</v>
      </c>
      <c r="AB42" s="1806">
        <f t="shared" si="4"/>
        <v>1</v>
      </c>
      <c r="AC42" s="2665">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327"/>
      <c r="Q43" s="1805" t="str">
        <f t="shared" si="11"/>
        <v>内部装修</v>
      </c>
      <c r="R43" s="772" t="s">
        <v>17</v>
      </c>
      <c r="S43" s="773">
        <f t="shared" si="12"/>
        <v>100</v>
      </c>
      <c r="T43" s="772" t="s">
        <v>17</v>
      </c>
      <c r="U43" s="773">
        <f t="shared" si="13"/>
        <v>100</v>
      </c>
      <c r="V43" s="772" t="s">
        <v>17</v>
      </c>
      <c r="W43" s="773">
        <f t="shared" si="14"/>
        <v>100</v>
      </c>
      <c r="X43" s="1808"/>
      <c r="Y43" s="3309"/>
      <c r="Z43" s="1809" t="str">
        <f t="shared" si="15"/>
        <v>内部装修</v>
      </c>
      <c r="AA43" s="1806">
        <f t="shared" si="3"/>
        <v>1</v>
      </c>
      <c r="AB43" s="1806">
        <f t="shared" si="4"/>
        <v>1</v>
      </c>
      <c r="AC43" s="2665">
        <f t="shared" si="5"/>
        <v>1</v>
      </c>
    </row>
    <row r="44" spans="1:29" ht="15">
      <c r="A44" s="472"/>
      <c r="B44" s="422" t="s">
        <v>2568</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36"/>
      <c r="M44" s="1127"/>
      <c r="N44" s="1127"/>
      <c r="O44" s="1127"/>
      <c r="P44" s="3327"/>
      <c r="Q44" s="1805" t="str">
        <f t="shared" si="11"/>
        <v>内部装修维护情况</v>
      </c>
      <c r="R44" s="772" t="s">
        <v>17</v>
      </c>
      <c r="S44" s="773">
        <f t="shared" si="12"/>
        <v>100</v>
      </c>
      <c r="T44" s="772" t="s">
        <v>17</v>
      </c>
      <c r="U44" s="773">
        <f t="shared" si="13"/>
        <v>100</v>
      </c>
      <c r="V44" s="772" t="s">
        <v>17</v>
      </c>
      <c r="W44" s="773">
        <f t="shared" si="14"/>
        <v>100</v>
      </c>
      <c r="X44" s="1808"/>
      <c r="Y44" s="3309"/>
      <c r="Z44" s="1809" t="str">
        <f t="shared" si="15"/>
        <v>内部装修维护情况</v>
      </c>
      <c r="AA44" s="1806">
        <f t="shared" si="3"/>
        <v>1</v>
      </c>
      <c r="AB44" s="1806">
        <f t="shared" si="4"/>
        <v>1</v>
      </c>
      <c r="AC44" s="2665">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327"/>
      <c r="Q45" s="1790">
        <f t="shared" si="11"/>
        <v>111</v>
      </c>
      <c r="R45" s="768" t="s">
        <v>17</v>
      </c>
      <c r="S45" s="769">
        <f t="shared" si="12"/>
        <v>100</v>
      </c>
      <c r="T45" s="768" t="s">
        <v>17</v>
      </c>
      <c r="U45" s="769">
        <f t="shared" si="13"/>
        <v>100</v>
      </c>
      <c r="V45" s="768" t="s">
        <v>17</v>
      </c>
      <c r="W45" s="769">
        <f t="shared" si="14"/>
        <v>100</v>
      </c>
      <c r="X45" s="770"/>
      <c r="Y45" s="3309"/>
      <c r="Z45" s="55">
        <f t="shared" si="15"/>
        <v>111</v>
      </c>
      <c r="AA45" s="771">
        <f t="shared" si="3"/>
        <v>1</v>
      </c>
      <c r="AB45" s="771">
        <f t="shared" si="4"/>
        <v>1</v>
      </c>
      <c r="AC45" s="2662">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327"/>
      <c r="Q46" s="1805">
        <f t="shared" si="11"/>
        <v>111</v>
      </c>
      <c r="R46" s="772" t="s">
        <v>17</v>
      </c>
      <c r="S46" s="773">
        <f t="shared" si="12"/>
        <v>100</v>
      </c>
      <c r="T46" s="772" t="s">
        <v>17</v>
      </c>
      <c r="U46" s="773">
        <f t="shared" si="13"/>
        <v>100</v>
      </c>
      <c r="V46" s="772" t="s">
        <v>17</v>
      </c>
      <c r="W46" s="773">
        <f t="shared" si="14"/>
        <v>100</v>
      </c>
      <c r="X46" s="1808"/>
      <c r="Y46" s="3309"/>
      <c r="Z46" s="1809">
        <f t="shared" si="15"/>
        <v>111</v>
      </c>
      <c r="AA46" s="1806">
        <f t="shared" si="3"/>
        <v>1</v>
      </c>
      <c r="AB46" s="1806">
        <f t="shared" si="4"/>
        <v>1</v>
      </c>
      <c r="AC46" s="2665">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328"/>
      <c r="Q47" s="1805">
        <f t="shared" si="11"/>
        <v>111</v>
      </c>
      <c r="R47" s="772" t="s">
        <v>17</v>
      </c>
      <c r="S47" s="773">
        <f t="shared" si="12"/>
        <v>100</v>
      </c>
      <c r="T47" s="772" t="s">
        <v>17</v>
      </c>
      <c r="U47" s="773">
        <f t="shared" si="13"/>
        <v>100</v>
      </c>
      <c r="V47" s="772" t="s">
        <v>17</v>
      </c>
      <c r="W47" s="773">
        <f t="shared" si="14"/>
        <v>100</v>
      </c>
      <c r="X47" s="1808"/>
      <c r="Y47" s="3329"/>
      <c r="Z47" s="1809">
        <f t="shared" si="15"/>
        <v>111</v>
      </c>
      <c r="AA47" s="1806">
        <f t="shared" si="3"/>
        <v>1</v>
      </c>
      <c r="AB47" s="1806">
        <f t="shared" si="4"/>
        <v>1</v>
      </c>
      <c r="AC47" s="2665">
        <f t="shared" si="5"/>
        <v>1</v>
      </c>
    </row>
    <row r="48" spans="1:29" ht="15">
      <c r="A48" s="479" t="s">
        <v>2569</v>
      </c>
      <c r="B48" s="480"/>
      <c r="C48" s="1403" t="s">
        <v>1</v>
      </c>
      <c r="D48" s="1404"/>
      <c r="E48" s="1405"/>
      <c r="F48" s="1406"/>
      <c r="G48" s="1407"/>
      <c r="H48" s="1408"/>
      <c r="I48" s="1405"/>
      <c r="J48" s="485"/>
      <c r="K48" s="781"/>
      <c r="L48" s="1139"/>
      <c r="M48" s="1127"/>
      <c r="N48" s="1127"/>
      <c r="O48" s="1127"/>
      <c r="P48" s="3315" t="str">
        <f>A48</f>
        <v>成交单价（元/平方米）</v>
      </c>
      <c r="Q48" s="3291"/>
      <c r="R48" s="3325">
        <f>E48</f>
        <v>0</v>
      </c>
      <c r="S48" s="3325"/>
      <c r="T48" s="3325">
        <f>G48</f>
        <v>0</v>
      </c>
      <c r="U48" s="3325"/>
      <c r="V48" s="3325">
        <f>I48</f>
        <v>0</v>
      </c>
      <c r="W48" s="3325"/>
      <c r="X48" s="446"/>
      <c r="Y48" s="779"/>
      <c r="Z48" s="446"/>
      <c r="AA48" s="446"/>
      <c r="AB48" s="446"/>
      <c r="AC48" s="629"/>
    </row>
    <row r="49" spans="1:29" ht="15.75" thickBot="1">
      <c r="A49" s="486" t="s">
        <v>2661</v>
      </c>
      <c r="B49" s="487"/>
      <c r="C49" s="1409" t="e">
        <f>R50</f>
        <v>#DIV/0!</v>
      </c>
      <c r="D49" s="1410"/>
      <c r="E49" s="1411" t="e">
        <f>R49</f>
        <v>#DIV/0!</v>
      </c>
      <c r="F49" s="1411"/>
      <c r="G49" s="1409" t="e">
        <f>T49</f>
        <v>#DIV/0!</v>
      </c>
      <c r="H49" s="1410"/>
      <c r="I49" s="1411" t="e">
        <f>V49</f>
        <v>#DIV/0!</v>
      </c>
      <c r="J49" s="489"/>
      <c r="K49" s="782"/>
      <c r="L49" s="1139"/>
      <c r="M49" s="1127"/>
      <c r="N49" s="1127"/>
      <c r="O49" s="1127"/>
      <c r="P49" s="3315" t="str">
        <f>A49</f>
        <v>比较价值（元/平方米）</v>
      </c>
      <c r="Q49" s="3291"/>
      <c r="R49" s="3325" t="e">
        <f>IF(F1="售价",ROUND(PRODUCT(R48,AA7:AA47),0),ROUND(PRODUCT(R48,AA7:AA47),1))</f>
        <v>#DIV/0!</v>
      </c>
      <c r="S49" s="3325"/>
      <c r="T49" s="3325" t="e">
        <f>IF(F1="售价",ROUND(PRODUCT(T48,AB7:AB47),0),ROUND(PRODUCT(T48,AB7:AB47),1))</f>
        <v>#DIV/0!</v>
      </c>
      <c r="U49" s="3325"/>
      <c r="V49" s="3325" t="e">
        <f>IF(F1="售价",ROUND(PRODUCT(V48,AC7:AC47),0),ROUND(PRODUCT(V48,AC7:AC47),1))</f>
        <v>#DIV/0!</v>
      </c>
      <c r="W49" s="3325"/>
      <c r="X49" s="446"/>
      <c r="Y49" s="446"/>
      <c r="Z49" s="446"/>
      <c r="AA49" s="446"/>
      <c r="AB49" s="446"/>
      <c r="AC49" s="629"/>
    </row>
    <row r="50" spans="1:29" ht="15.75" thickBot="1">
      <c r="A50" s="492" t="s">
        <v>2662</v>
      </c>
      <c r="B50" s="493"/>
      <c r="C50" s="1413" t="e">
        <f>R50</f>
        <v>#DIV/0!</v>
      </c>
      <c r="D50" s="1413"/>
      <c r="E50" s="1413"/>
      <c r="F50" s="1413"/>
      <c r="G50" s="1413"/>
      <c r="H50" s="1413"/>
      <c r="I50" s="1413"/>
      <c r="J50" s="494"/>
      <c r="K50" s="783"/>
      <c r="L50" s="1139"/>
      <c r="M50" s="1127"/>
      <c r="N50" s="1127"/>
      <c r="O50" s="1127"/>
      <c r="P50" s="3371" t="str">
        <f>A50</f>
        <v>估价对象XX用房的比较价值（楼面单价，元/平方米）</v>
      </c>
      <c r="Q50" s="3372"/>
      <c r="R50" s="3373" t="e">
        <f>IF(F1="售价",ROUND(AVERAGE(R49:V49),0),ROUND(AVERAGE(R49:V49),1))</f>
        <v>#DIV/0!</v>
      </c>
      <c r="S50" s="3373"/>
      <c r="T50" s="3373"/>
      <c r="U50" s="3373"/>
      <c r="V50" s="3373"/>
      <c r="W50" s="3373"/>
      <c r="X50" s="2645"/>
      <c r="Y50" s="2645"/>
      <c r="Z50" s="2645"/>
      <c r="AA50" s="2645"/>
      <c r="AB50" s="2645"/>
      <c r="AC50" s="2646"/>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1"/>
    </row>
    <row r="56" spans="1:29" s="502" customFormat="1">
      <c r="A56" s="1141"/>
      <c r="B56" s="1142"/>
      <c r="C56" s="1146"/>
      <c r="D56" s="1141"/>
      <c r="E56" s="1141"/>
      <c r="F56" s="1141"/>
      <c r="G56" s="1141"/>
      <c r="H56" s="1141"/>
      <c r="I56" s="1141"/>
      <c r="J56" s="1141"/>
      <c r="K56" s="1144"/>
      <c r="L56" s="1145"/>
      <c r="M56" s="1141"/>
      <c r="N56" s="1141"/>
      <c r="O56" s="1141"/>
      <c r="P56" s="2671"/>
    </row>
    <row r="57" spans="1:29">
      <c r="A57" s="1140"/>
      <c r="B57" s="1142"/>
      <c r="C57" s="1146"/>
      <c r="D57" s="1140"/>
      <c r="E57" s="1140"/>
      <c r="F57" s="1140"/>
      <c r="G57" s="1140"/>
      <c r="H57" s="1140"/>
      <c r="I57" s="1140"/>
      <c r="J57" s="1140"/>
      <c r="K57" s="1101"/>
      <c r="L57" s="1102"/>
      <c r="M57" s="1140"/>
      <c r="N57" s="1140"/>
      <c r="O57" s="1140"/>
    </row>
    <row r="58" spans="1:29" ht="21.75" thickBot="1">
      <c r="A58" s="761" t="s">
        <v>2666</v>
      </c>
      <c r="B58" s="757"/>
      <c r="C58" s="762"/>
      <c r="D58" s="762"/>
      <c r="E58" s="762"/>
      <c r="F58" s="763"/>
      <c r="G58" s="763"/>
      <c r="H58" s="762"/>
      <c r="I58" s="762"/>
      <c r="J58" s="762"/>
      <c r="K58" s="764"/>
      <c r="L58" s="1157"/>
      <c r="M58" s="1155"/>
      <c r="N58" s="1155"/>
      <c r="O58" s="1155"/>
      <c r="P58" s="2672"/>
      <c r="Q58" s="504"/>
    </row>
    <row r="59" spans="1:29" s="508" customFormat="1" ht="15">
      <c r="A59" s="505" t="s">
        <v>2540</v>
      </c>
      <c r="B59" s="506"/>
      <c r="C59" s="1569" t="str">
        <f>YEAR(C7)&amp;"-"&amp;MONTH(C7)</f>
        <v>2019-11</v>
      </c>
      <c r="D59" s="1570">
        <f>EDATE(C59,-1)</f>
        <v>43739</v>
      </c>
      <c r="E59" s="1570">
        <f>EDATE(D59,-1)</f>
        <v>43709</v>
      </c>
      <c r="F59" s="1570">
        <f t="shared" ref="F59:O59" si="16">EDATE(E59,-1)</f>
        <v>43678</v>
      </c>
      <c r="G59" s="1570">
        <f t="shared" si="16"/>
        <v>43647</v>
      </c>
      <c r="H59" s="1570">
        <f t="shared" si="16"/>
        <v>43617</v>
      </c>
      <c r="I59" s="1570">
        <f t="shared" si="16"/>
        <v>43586</v>
      </c>
      <c r="J59" s="1570">
        <f t="shared" si="16"/>
        <v>43556</v>
      </c>
      <c r="K59" s="1570">
        <f t="shared" si="16"/>
        <v>43525</v>
      </c>
      <c r="L59" s="1570">
        <f t="shared" si="16"/>
        <v>43497</v>
      </c>
      <c r="M59" s="1570">
        <f t="shared" si="16"/>
        <v>43466</v>
      </c>
      <c r="N59" s="1570">
        <f t="shared" si="16"/>
        <v>43435</v>
      </c>
      <c r="O59" s="1570">
        <f t="shared" si="16"/>
        <v>43405</v>
      </c>
      <c r="P59" s="1566"/>
    </row>
    <row r="60" spans="1:29" s="117" customFormat="1" ht="15">
      <c r="A60" s="509"/>
      <c r="B60" s="510"/>
      <c r="C60" s="1568">
        <v>100</v>
      </c>
      <c r="D60" s="512"/>
      <c r="E60" s="512"/>
      <c r="F60" s="512"/>
      <c r="G60" s="512"/>
      <c r="H60" s="512"/>
      <c r="I60" s="512"/>
      <c r="J60" s="512"/>
      <c r="K60" s="512"/>
      <c r="L60" s="512"/>
      <c r="M60" s="513"/>
      <c r="N60" s="512"/>
      <c r="O60" s="513"/>
      <c r="P60" s="2673"/>
    </row>
    <row r="61" spans="1:29" s="117" customFormat="1" ht="15.75" thickBot="1">
      <c r="A61" s="515" t="s">
        <v>2577</v>
      </c>
      <c r="B61" s="516"/>
      <c r="C61" s="517"/>
      <c r="D61" s="518"/>
      <c r="E61" s="518"/>
      <c r="F61" s="518"/>
      <c r="G61" s="518"/>
      <c r="H61" s="518"/>
      <c r="I61" s="518"/>
      <c r="J61" s="518"/>
      <c r="K61" s="518"/>
      <c r="L61" s="518"/>
      <c r="M61" s="519"/>
      <c r="N61" s="518"/>
      <c r="O61" s="519"/>
      <c r="P61" s="2673"/>
      <c r="Q61" s="504"/>
    </row>
    <row r="62" spans="1:29" s="117" customFormat="1" ht="15">
      <c r="A62" s="521" t="s">
        <v>2542</v>
      </c>
      <c r="B62" s="510"/>
      <c r="C62" s="522" t="s">
        <v>2644</v>
      </c>
      <c r="D62" s="523"/>
      <c r="E62" s="523"/>
      <c r="F62" s="523"/>
      <c r="G62" s="523"/>
      <c r="H62" s="523"/>
      <c r="I62" s="523"/>
      <c r="J62" s="523"/>
      <c r="K62" s="523"/>
      <c r="L62" s="524"/>
      <c r="M62" s="525"/>
      <c r="N62" s="1147"/>
      <c r="O62" s="1147"/>
      <c r="P62" s="2674"/>
      <c r="Q62" s="504"/>
    </row>
    <row r="63" spans="1:29" s="117" customFormat="1" ht="15.75" thickBot="1">
      <c r="A63" s="521"/>
      <c r="B63" s="510"/>
      <c r="C63" s="511">
        <v>100</v>
      </c>
      <c r="D63" s="512"/>
      <c r="E63" s="512"/>
      <c r="F63" s="512"/>
      <c r="G63" s="512"/>
      <c r="H63" s="512"/>
      <c r="I63" s="512"/>
      <c r="J63" s="512"/>
      <c r="K63" s="512"/>
      <c r="L63" s="512"/>
      <c r="M63" s="514"/>
      <c r="N63" s="1147"/>
      <c r="O63" s="1147"/>
      <c r="P63" s="2673"/>
      <c r="Q63" s="504"/>
    </row>
    <row r="64" spans="1:29">
      <c r="A64" s="527" t="s">
        <v>2580</v>
      </c>
      <c r="B64" s="528" t="s">
        <v>2546</v>
      </c>
      <c r="C64" s="529">
        <f>C9</f>
        <v>0</v>
      </c>
      <c r="D64" s="530"/>
      <c r="E64" s="530"/>
      <c r="F64" s="530"/>
      <c r="G64" s="530"/>
      <c r="H64" s="530"/>
      <c r="I64" s="530"/>
      <c r="J64" s="530"/>
      <c r="K64" s="531"/>
      <c r="L64" s="532"/>
      <c r="M64" s="533"/>
      <c r="N64" s="1148"/>
      <c r="O64" s="1148"/>
      <c r="P64" s="2675"/>
      <c r="Q64" s="504"/>
    </row>
    <row r="65" spans="1:17" ht="15.75" thickBot="1">
      <c r="A65" s="534"/>
      <c r="B65" s="535"/>
      <c r="C65" s="536">
        <v>100</v>
      </c>
      <c r="D65" s="536"/>
      <c r="E65" s="536"/>
      <c r="F65" s="536"/>
      <c r="G65" s="536"/>
      <c r="H65" s="536"/>
      <c r="I65" s="536"/>
      <c r="J65" s="536"/>
      <c r="K65" s="536"/>
      <c r="L65" s="536"/>
      <c r="M65" s="537"/>
      <c r="N65" s="1149"/>
      <c r="O65" s="1149"/>
      <c r="P65" s="2675"/>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48"/>
      <c r="O66" s="1148"/>
      <c r="P66" s="267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75"/>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5"/>
      <c r="Q68" s="504"/>
    </row>
    <row r="69" spans="1:17" ht="15">
      <c r="A69" s="534"/>
      <c r="B69" s="548"/>
      <c r="C69" s="549"/>
      <c r="D69" s="549"/>
      <c r="E69" s="549"/>
      <c r="F69" s="549"/>
      <c r="G69" s="549"/>
      <c r="H69" s="549"/>
      <c r="I69" s="549"/>
      <c r="J69" s="549"/>
      <c r="K69" s="550"/>
      <c r="L69" s="551"/>
      <c r="M69" s="552"/>
      <c r="N69" s="1148"/>
      <c r="O69" s="1148"/>
      <c r="P69" s="267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5"/>
      <c r="Q70" s="504"/>
    </row>
    <row r="71" spans="1:17" s="471" customFormat="1" ht="15.75" thickTop="1">
      <c r="A71" s="553"/>
      <c r="B71" s="538">
        <f>B12</f>
        <v>111</v>
      </c>
      <c r="C71" s="554"/>
      <c r="D71" s="554"/>
      <c r="E71" s="554"/>
      <c r="F71" s="554"/>
      <c r="G71" s="554"/>
      <c r="H71" s="555"/>
      <c r="I71" s="555"/>
      <c r="J71" s="555"/>
      <c r="K71" s="555"/>
      <c r="L71" s="556"/>
      <c r="M71" s="557"/>
      <c r="N71" s="1150"/>
      <c r="O71" s="1150"/>
      <c r="P71" s="2676"/>
      <c r="Q71" s="559"/>
    </row>
    <row r="72" spans="1:17" s="471" customFormat="1" ht="15.75" thickBot="1">
      <c r="A72" s="553"/>
      <c r="B72" s="543"/>
      <c r="C72" s="560"/>
      <c r="D72" s="536"/>
      <c r="E72" s="536"/>
      <c r="F72" s="536"/>
      <c r="G72" s="536"/>
      <c r="H72" s="536"/>
      <c r="I72" s="536"/>
      <c r="J72" s="536"/>
      <c r="K72" s="536"/>
      <c r="L72" s="536"/>
      <c r="M72" s="537"/>
      <c r="N72" s="1149"/>
      <c r="O72" s="1149"/>
      <c r="P72" s="2676"/>
      <c r="Q72" s="559"/>
    </row>
    <row r="73" spans="1:17" s="471" customFormat="1" ht="15.75" thickTop="1">
      <c r="A73" s="553"/>
      <c r="B73" s="538">
        <f>B13</f>
        <v>111</v>
      </c>
      <c r="C73" s="554"/>
      <c r="D73" s="554"/>
      <c r="E73" s="554"/>
      <c r="F73" s="554"/>
      <c r="G73" s="554"/>
      <c r="H73" s="555"/>
      <c r="I73" s="555"/>
      <c r="J73" s="555"/>
      <c r="K73" s="555"/>
      <c r="L73" s="556"/>
      <c r="M73" s="557"/>
      <c r="N73" s="1150"/>
      <c r="O73" s="1150"/>
      <c r="P73" s="2677"/>
      <c r="Q73" s="561"/>
    </row>
    <row r="74" spans="1:17" s="471" customFormat="1" ht="15.75" thickBot="1">
      <c r="A74" s="553"/>
      <c r="B74" s="543"/>
      <c r="C74" s="560"/>
      <c r="D74" s="560"/>
      <c r="E74" s="560"/>
      <c r="F74" s="560"/>
      <c r="G74" s="560"/>
      <c r="H74" s="562"/>
      <c r="I74" s="562"/>
      <c r="J74" s="562"/>
      <c r="K74" s="562"/>
      <c r="L74" s="562"/>
      <c r="M74" s="563"/>
      <c r="N74" s="1150"/>
      <c r="O74" s="1150"/>
      <c r="P74" s="2676"/>
      <c r="Q74" s="559"/>
    </row>
    <row r="75" spans="1:17" s="471" customFormat="1" ht="15.75" thickTop="1">
      <c r="A75" s="553"/>
      <c r="B75" s="546">
        <f>B14</f>
        <v>111</v>
      </c>
      <c r="C75" s="523"/>
      <c r="D75" s="523"/>
      <c r="E75" s="523"/>
      <c r="F75" s="523"/>
      <c r="G75" s="523"/>
      <c r="H75" s="564"/>
      <c r="I75" s="564"/>
      <c r="J75" s="564"/>
      <c r="K75" s="564"/>
      <c r="L75" s="565"/>
      <c r="M75" s="566"/>
      <c r="N75" s="1150"/>
      <c r="O75" s="1150"/>
      <c r="P75" s="2678"/>
      <c r="Q75" s="559"/>
    </row>
    <row r="76" spans="1:17" s="471" customFormat="1" ht="15.75" thickBot="1">
      <c r="A76" s="568"/>
      <c r="B76" s="569"/>
      <c r="C76" s="570"/>
      <c r="D76" s="570"/>
      <c r="E76" s="570"/>
      <c r="F76" s="570"/>
      <c r="G76" s="570"/>
      <c r="H76" s="571"/>
      <c r="I76" s="571"/>
      <c r="J76" s="571"/>
      <c r="K76" s="571"/>
      <c r="L76" s="571"/>
      <c r="M76" s="572"/>
      <c r="N76" s="1150"/>
      <c r="O76" s="1150"/>
      <c r="P76" s="2676"/>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48"/>
      <c r="O77" s="1148"/>
      <c r="P77" s="267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75"/>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48"/>
      <c r="O79" s="1148"/>
      <c r="P79" s="267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75"/>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48"/>
      <c r="O81" s="1148"/>
      <c r="P81" s="267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75"/>
      <c r="Q82" s="504"/>
    </row>
    <row r="83" spans="1:17" ht="15.75" thickTop="1">
      <c r="A83" s="534"/>
      <c r="B83" s="546" t="s">
        <v>2681</v>
      </c>
      <c r="C83" s="659" t="s">
        <v>2667</v>
      </c>
      <c r="D83" s="659" t="s">
        <v>2668</v>
      </c>
      <c r="E83" s="659" t="s">
        <v>2669</v>
      </c>
      <c r="F83" s="659" t="s">
        <v>2670</v>
      </c>
      <c r="G83" s="659" t="s">
        <v>2671</v>
      </c>
      <c r="H83" s="539"/>
      <c r="I83" s="539"/>
      <c r="J83" s="539"/>
      <c r="K83" s="539"/>
      <c r="L83" s="539"/>
      <c r="M83" s="1378"/>
      <c r="N83" s="1149"/>
      <c r="O83" s="1149"/>
      <c r="P83" s="2675"/>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49"/>
      <c r="O84" s="1149"/>
      <c r="P84" s="2675"/>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48"/>
      <c r="O85" s="1148"/>
      <c r="P85" s="267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75"/>
      <c r="Q86" s="504"/>
    </row>
    <row r="87" spans="1:17" s="117" customFormat="1" ht="27.75" thickTop="1">
      <c r="A87" s="579"/>
      <c r="B87" s="538" t="s">
        <v>2691</v>
      </c>
      <c r="C87" s="554"/>
      <c r="D87" s="554"/>
      <c r="E87" s="554"/>
      <c r="F87" s="554"/>
      <c r="G87" s="554"/>
      <c r="H87" s="554"/>
      <c r="I87" s="554"/>
      <c r="J87" s="554"/>
      <c r="K87" s="554"/>
      <c r="L87" s="580"/>
      <c r="M87" s="581"/>
      <c r="N87" s="1147"/>
      <c r="O87" s="1147"/>
      <c r="P87" s="267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75"/>
      <c r="Q88" s="504"/>
    </row>
    <row r="89" spans="1:17" s="117" customFormat="1" ht="15.75" thickTop="1">
      <c r="A89" s="579"/>
      <c r="B89" s="538" t="str">
        <f>B27</f>
        <v>楼层</v>
      </c>
      <c r="C89" s="554"/>
      <c r="D89" s="554"/>
      <c r="E89" s="554"/>
      <c r="F89" s="2626"/>
      <c r="G89" s="554"/>
      <c r="H89" s="554"/>
      <c r="I89" s="554"/>
      <c r="J89" s="554"/>
      <c r="K89" s="554"/>
      <c r="L89" s="554"/>
      <c r="M89" s="581"/>
      <c r="N89" s="1147"/>
      <c r="O89" s="1147"/>
      <c r="P89" s="267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5"/>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7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76"/>
      <c r="Q92" s="559"/>
    </row>
    <row r="93" spans="1:17" ht="15.75" thickTop="1">
      <c r="A93" s="534"/>
      <c r="B93" s="538">
        <f>B29</f>
        <v>111</v>
      </c>
      <c r="C93" s="554"/>
      <c r="D93" s="554"/>
      <c r="E93" s="554"/>
      <c r="F93" s="554"/>
      <c r="G93" s="554"/>
      <c r="H93" s="554"/>
      <c r="I93" s="554"/>
      <c r="J93" s="554"/>
      <c r="K93" s="554"/>
      <c r="L93" s="580"/>
      <c r="M93" s="581"/>
      <c r="N93" s="1148"/>
      <c r="O93" s="1148"/>
      <c r="P93" s="2675"/>
      <c r="Q93" s="504"/>
    </row>
    <row r="94" spans="1:17" ht="15.75" thickBot="1">
      <c r="A94" s="534"/>
      <c r="B94" s="543"/>
      <c r="C94" s="560"/>
      <c r="D94" s="536"/>
      <c r="E94" s="536"/>
      <c r="F94" s="536"/>
      <c r="G94" s="536"/>
      <c r="H94" s="536"/>
      <c r="I94" s="536"/>
      <c r="J94" s="536"/>
      <c r="K94" s="536"/>
      <c r="L94" s="536"/>
      <c r="M94" s="537"/>
      <c r="N94" s="1149"/>
      <c r="O94" s="1149"/>
      <c r="P94" s="2675"/>
      <c r="Q94" s="504"/>
    </row>
    <row r="95" spans="1:17" ht="15.75" thickTop="1">
      <c r="A95" s="534"/>
      <c r="B95" s="538">
        <f>B30</f>
        <v>111</v>
      </c>
      <c r="C95" s="554"/>
      <c r="D95" s="554"/>
      <c r="E95" s="554"/>
      <c r="F95" s="554"/>
      <c r="G95" s="583"/>
      <c r="H95" s="583"/>
      <c r="I95" s="583"/>
      <c r="J95" s="583"/>
      <c r="K95" s="584"/>
      <c r="L95" s="585"/>
      <c r="M95" s="586"/>
      <c r="N95" s="1148"/>
      <c r="O95" s="1148"/>
      <c r="P95" s="2675"/>
      <c r="Q95" s="504"/>
    </row>
    <row r="96" spans="1:17" ht="15.75" thickBot="1">
      <c r="A96" s="534"/>
      <c r="B96" s="543"/>
      <c r="C96" s="560"/>
      <c r="D96" s="560"/>
      <c r="E96" s="560"/>
      <c r="F96" s="560"/>
      <c r="G96" s="536"/>
      <c r="H96" s="536"/>
      <c r="I96" s="536"/>
      <c r="J96" s="536"/>
      <c r="K96" s="536"/>
      <c r="L96" s="536"/>
      <c r="M96" s="537"/>
      <c r="N96" s="1149"/>
      <c r="O96" s="1149"/>
      <c r="P96" s="2675"/>
      <c r="Q96" s="504"/>
    </row>
    <row r="97" spans="1:17" ht="15.75" thickTop="1">
      <c r="A97" s="534"/>
      <c r="B97" s="538">
        <f>B31</f>
        <v>111</v>
      </c>
      <c r="C97" s="554"/>
      <c r="D97" s="554"/>
      <c r="E97" s="554"/>
      <c r="F97" s="554"/>
      <c r="G97" s="583"/>
      <c r="H97" s="583"/>
      <c r="I97" s="583"/>
      <c r="J97" s="583"/>
      <c r="K97" s="584"/>
      <c r="L97" s="585"/>
      <c r="M97" s="586"/>
      <c r="N97" s="1148"/>
      <c r="O97" s="1148"/>
      <c r="P97" s="2675"/>
      <c r="Q97" s="504"/>
    </row>
    <row r="98" spans="1:17" ht="15.75" thickBot="1">
      <c r="A98" s="534"/>
      <c r="B98" s="543"/>
      <c r="C98" s="560"/>
      <c r="D98" s="536"/>
      <c r="E98" s="536"/>
      <c r="F98" s="536"/>
      <c r="G98" s="536"/>
      <c r="H98" s="536"/>
      <c r="I98" s="536"/>
      <c r="J98" s="536"/>
      <c r="K98" s="536"/>
      <c r="L98" s="536"/>
      <c r="M98" s="537"/>
      <c r="N98" s="1149"/>
      <c r="O98" s="1149"/>
      <c r="P98" s="2675"/>
      <c r="Q98" s="504"/>
    </row>
    <row r="99" spans="1:17" ht="15.75" thickTop="1">
      <c r="A99" s="534"/>
      <c r="B99" s="546">
        <f>B32</f>
        <v>111</v>
      </c>
      <c r="C99" s="523"/>
      <c r="D99" s="523"/>
      <c r="E99" s="523"/>
      <c r="F99" s="523"/>
      <c r="G99" s="587"/>
      <c r="H99" s="587"/>
      <c r="I99" s="587"/>
      <c r="J99" s="587"/>
      <c r="K99" s="588"/>
      <c r="L99" s="589"/>
      <c r="M99" s="590"/>
      <c r="N99" s="1148"/>
      <c r="O99" s="1148"/>
      <c r="P99" s="2675"/>
      <c r="Q99" s="504"/>
    </row>
    <row r="100" spans="1:17" ht="15.75" thickBot="1">
      <c r="A100" s="2627"/>
      <c r="B100" s="569"/>
      <c r="C100" s="570"/>
      <c r="D100" s="570"/>
      <c r="E100" s="570"/>
      <c r="F100" s="570"/>
      <c r="G100" s="591"/>
      <c r="H100" s="591"/>
      <c r="I100" s="591"/>
      <c r="J100" s="591"/>
      <c r="K100" s="591"/>
      <c r="L100" s="591"/>
      <c r="M100" s="592"/>
      <c r="N100" s="1149"/>
      <c r="O100" s="1149"/>
      <c r="P100" s="2675"/>
      <c r="Q100" s="504"/>
    </row>
    <row r="101" spans="1:17">
      <c r="A101" s="527" t="s">
        <v>2555</v>
      </c>
      <c r="B101" s="528" t="s">
        <v>2604</v>
      </c>
      <c r="C101" s="530"/>
      <c r="D101" s="530"/>
      <c r="E101" s="530"/>
      <c r="F101" s="530"/>
      <c r="G101" s="530"/>
      <c r="H101" s="530"/>
      <c r="I101" s="530"/>
      <c r="J101" s="530"/>
      <c r="K101" s="531"/>
      <c r="L101" s="532"/>
      <c r="M101" s="533"/>
      <c r="N101" s="1148"/>
      <c r="O101" s="1148"/>
      <c r="P101" s="267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5"/>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47"/>
      <c r="O103" s="1147"/>
      <c r="P103" s="2675"/>
      <c r="Q103" s="504"/>
    </row>
    <row r="104" spans="1:17" s="471" customFormat="1">
      <c r="A104" s="593"/>
      <c r="B104" s="594"/>
      <c r="C104" s="595"/>
      <c r="D104" s="595"/>
      <c r="E104" s="595"/>
      <c r="F104" s="595"/>
      <c r="G104" s="595"/>
      <c r="H104" s="595"/>
      <c r="I104" s="595"/>
      <c r="J104" s="596"/>
      <c r="K104" s="596"/>
      <c r="L104" s="597"/>
      <c r="M104" s="598"/>
      <c r="N104" s="1150"/>
      <c r="O104" s="1150"/>
      <c r="P104" s="2676"/>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76"/>
      <c r="Q105" s="559"/>
    </row>
    <row r="106" spans="1:17" ht="15" thickTop="1">
      <c r="A106" s="599"/>
      <c r="B106" s="538" t="s">
        <v>2606</v>
      </c>
      <c r="C106" s="554"/>
      <c r="D106" s="554"/>
      <c r="E106" s="583"/>
      <c r="F106" s="583"/>
      <c r="G106" s="583"/>
      <c r="H106" s="583"/>
      <c r="I106" s="583"/>
      <c r="J106" s="583"/>
      <c r="K106" s="584"/>
      <c r="L106" s="585"/>
      <c r="M106" s="586"/>
      <c r="N106" s="1148"/>
      <c r="O106" s="1148"/>
      <c r="P106" s="267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75"/>
      <c r="Q107" s="504"/>
    </row>
    <row r="108" spans="1:17" ht="15" thickTop="1">
      <c r="A108" s="599"/>
      <c r="B108" s="538" t="s">
        <v>2608</v>
      </c>
      <c r="C108" s="554"/>
      <c r="D108" s="554"/>
      <c r="E108" s="554"/>
      <c r="F108" s="583"/>
      <c r="G108" s="583"/>
      <c r="H108" s="583"/>
      <c r="I108" s="583"/>
      <c r="J108" s="583"/>
      <c r="K108" s="584"/>
      <c r="L108" s="585"/>
      <c r="M108" s="586"/>
      <c r="N108" s="1148"/>
      <c r="O108" s="1148"/>
      <c r="P108" s="267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75"/>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5"/>
      <c r="Q110" s="504"/>
    </row>
    <row r="111" spans="1:17">
      <c r="A111" s="599"/>
      <c r="B111" s="546"/>
      <c r="C111" s="603">
        <v>0.5</v>
      </c>
      <c r="D111" s="603">
        <v>0.6</v>
      </c>
      <c r="E111" s="603">
        <v>0.7</v>
      </c>
      <c r="F111" s="603">
        <v>0.8</v>
      </c>
      <c r="G111" s="603">
        <v>0.9</v>
      </c>
      <c r="H111" s="603">
        <v>1.0001</v>
      </c>
      <c r="I111" s="622"/>
      <c r="J111" s="622"/>
      <c r="K111" s="623"/>
      <c r="L111" s="624"/>
      <c r="M111" s="625"/>
      <c r="N111" s="1148"/>
      <c r="O111" s="1148"/>
      <c r="P111" s="267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75"/>
      <c r="Q112" s="504"/>
    </row>
    <row r="113" spans="1:17" s="471" customFormat="1" ht="15" thickTop="1">
      <c r="A113" s="593"/>
      <c r="B113" s="538" t="s">
        <v>2692</v>
      </c>
      <c r="C113" s="554"/>
      <c r="D113" s="554"/>
      <c r="E113" s="554"/>
      <c r="F113" s="554"/>
      <c r="G113" s="554"/>
      <c r="H113" s="583"/>
      <c r="I113" s="583"/>
      <c r="J113" s="583"/>
      <c r="K113" s="584"/>
      <c r="L113" s="585"/>
      <c r="M113" s="586"/>
      <c r="N113" s="1150"/>
      <c r="O113" s="1150"/>
      <c r="P113" s="267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76"/>
      <c r="Q114" s="559"/>
    </row>
    <row r="115" spans="1:17" ht="15" thickTop="1">
      <c r="A115" s="599"/>
      <c r="B115" s="538" t="s">
        <v>2609</v>
      </c>
      <c r="C115" s="554"/>
      <c r="D115" s="554"/>
      <c r="E115" s="583"/>
      <c r="F115" s="583"/>
      <c r="G115" s="583"/>
      <c r="H115" s="583"/>
      <c r="I115" s="583"/>
      <c r="J115" s="583"/>
      <c r="K115" s="584"/>
      <c r="L115" s="585"/>
      <c r="M115" s="586"/>
      <c r="N115" s="1148"/>
      <c r="O115" s="1148"/>
      <c r="P115" s="267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75"/>
      <c r="Q116" s="504"/>
    </row>
    <row r="117" spans="1:17" ht="15" thickTop="1">
      <c r="A117" s="599"/>
      <c r="B117" s="538" t="s">
        <v>2610</v>
      </c>
      <c r="C117" s="554"/>
      <c r="D117" s="554"/>
      <c r="E117" s="554"/>
      <c r="F117" s="554"/>
      <c r="G117" s="554"/>
      <c r="H117" s="583"/>
      <c r="I117" s="583"/>
      <c r="J117" s="583"/>
      <c r="K117" s="584"/>
      <c r="L117" s="585"/>
      <c r="M117" s="586"/>
      <c r="N117" s="1148"/>
      <c r="O117" s="1148"/>
      <c r="P117" s="267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75"/>
      <c r="Q118" s="504"/>
    </row>
    <row r="119" spans="1:17" ht="15" thickTop="1">
      <c r="A119" s="599"/>
      <c r="B119" s="635" t="s">
        <v>2693</v>
      </c>
      <c r="C119" s="583"/>
      <c r="D119" s="583"/>
      <c r="E119" s="583"/>
      <c r="F119" s="583"/>
      <c r="G119" s="583"/>
      <c r="H119" s="583"/>
      <c r="I119" s="583"/>
      <c r="J119" s="583"/>
      <c r="K119" s="583"/>
      <c r="L119" s="2680"/>
      <c r="M119" s="2681"/>
      <c r="N119" s="1149"/>
      <c r="O119" s="1149"/>
      <c r="P119" s="2682"/>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75"/>
      <c r="Q120" s="504"/>
    </row>
    <row r="121" spans="1:17" s="471" customFormat="1" ht="15" thickTop="1">
      <c r="A121" s="593"/>
      <c r="B121" s="538" t="s">
        <v>2676</v>
      </c>
      <c r="C121" s="554"/>
      <c r="D121" s="554"/>
      <c r="E121" s="554"/>
      <c r="F121" s="583"/>
      <c r="G121" s="555"/>
      <c r="H121" s="555"/>
      <c r="I121" s="555"/>
      <c r="J121" s="555"/>
      <c r="K121" s="555"/>
      <c r="L121" s="556"/>
      <c r="M121" s="557"/>
      <c r="N121" s="1150"/>
      <c r="O121" s="1150"/>
      <c r="P121" s="2676"/>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76"/>
      <c r="Q122" s="559"/>
    </row>
    <row r="123" spans="1:17" ht="15" thickTop="1">
      <c r="A123" s="599"/>
      <c r="B123" s="538" t="s">
        <v>2612</v>
      </c>
      <c r="C123" s="554"/>
      <c r="D123" s="554"/>
      <c r="E123" s="554"/>
      <c r="F123" s="583"/>
      <c r="G123" s="583"/>
      <c r="H123" s="583"/>
      <c r="I123" s="583"/>
      <c r="J123" s="583"/>
      <c r="K123" s="584"/>
      <c r="L123" s="585"/>
      <c r="M123" s="586"/>
      <c r="N123" s="1148"/>
      <c r="O123" s="1148"/>
      <c r="P123" s="267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75"/>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48"/>
      <c r="O125" s="1148"/>
      <c r="P125" s="267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75"/>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76"/>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76"/>
      <c r="Q128" s="559"/>
    </row>
    <row r="129" spans="1:17" ht="15" thickTop="1">
      <c r="A129" s="599"/>
      <c r="B129" s="538">
        <f>B46</f>
        <v>111</v>
      </c>
      <c r="C129" s="554"/>
      <c r="D129" s="554"/>
      <c r="E129" s="554"/>
      <c r="F129" s="554"/>
      <c r="G129" s="583"/>
      <c r="H129" s="583"/>
      <c r="I129" s="583"/>
      <c r="J129" s="583"/>
      <c r="K129" s="584"/>
      <c r="L129" s="585"/>
      <c r="M129" s="586"/>
      <c r="N129" s="1148"/>
      <c r="O129" s="1148"/>
      <c r="P129" s="2675"/>
      <c r="Q129" s="504"/>
    </row>
    <row r="130" spans="1:17" ht="15.75" thickBot="1">
      <c r="A130" s="534"/>
      <c r="B130" s="543"/>
      <c r="C130" s="560"/>
      <c r="D130" s="560"/>
      <c r="E130" s="560"/>
      <c r="F130" s="560"/>
      <c r="G130" s="536"/>
      <c r="H130" s="536"/>
      <c r="I130" s="536"/>
      <c r="J130" s="536"/>
      <c r="K130" s="536"/>
      <c r="L130" s="536"/>
      <c r="M130" s="537"/>
      <c r="N130" s="1149"/>
      <c r="O130" s="1149"/>
      <c r="P130" s="2675"/>
      <c r="Q130" s="504"/>
    </row>
    <row r="131" spans="1:17" ht="15" thickTop="1">
      <c r="A131" s="599"/>
      <c r="B131" s="546">
        <f>B47</f>
        <v>111</v>
      </c>
      <c r="C131" s="523"/>
      <c r="D131" s="523"/>
      <c r="E131" s="523"/>
      <c r="F131" s="523"/>
      <c r="G131" s="587"/>
      <c r="H131" s="587"/>
      <c r="I131" s="587"/>
      <c r="J131" s="587"/>
      <c r="K131" s="523"/>
      <c r="L131" s="524"/>
      <c r="M131" s="590"/>
      <c r="N131" s="1148"/>
      <c r="O131" s="1148"/>
      <c r="P131" s="2675"/>
      <c r="Q131" s="504"/>
    </row>
    <row r="132" spans="1:17" ht="15.75" thickBot="1">
      <c r="A132" s="2627"/>
      <c r="B132" s="569"/>
      <c r="C132" s="570"/>
      <c r="D132" s="570"/>
      <c r="E132" s="570"/>
      <c r="F132" s="570"/>
      <c r="G132" s="591"/>
      <c r="H132" s="591"/>
      <c r="I132" s="591"/>
      <c r="J132" s="591"/>
      <c r="K132" s="591"/>
      <c r="L132" s="591"/>
      <c r="M132" s="592"/>
      <c r="N132" s="1149"/>
      <c r="O132" s="1149"/>
      <c r="P132" s="267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1616</v>
      </c>
      <c r="B1" s="1953"/>
      <c r="C1" s="1953"/>
      <c r="D1" s="1953"/>
      <c r="E1" s="1953"/>
    </row>
    <row r="2" spans="1:5" ht="78" customHeight="1">
      <c r="A2" s="30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5"/>
      <c r="C2" s="3075"/>
      <c r="D2" s="3075"/>
      <c r="E2" s="3075"/>
    </row>
    <row r="3" spans="1:5" ht="18">
      <c r="A3" s="3076" t="str">
        <f>IF(项目基本情况!B9="房地产市场价值","估价结果一览表（市场价值不需“结果表-1”）","估价结果一览表")</f>
        <v>估价结果一览表</v>
      </c>
      <c r="B3" s="3076"/>
      <c r="C3" s="3076"/>
      <c r="D3" s="3076"/>
      <c r="E3" s="3076"/>
    </row>
    <row r="4" spans="1:5" ht="19.5" thickBot="1">
      <c r="A4" s="1955"/>
      <c r="B4" s="3074" t="s">
        <v>1625</v>
      </c>
      <c r="C4" s="3074"/>
      <c r="D4" s="3074"/>
      <c r="E4" s="1955"/>
    </row>
    <row r="5" spans="1:5" ht="16.5" thickTop="1">
      <c r="A5" s="1953"/>
      <c r="B5" s="3072" t="s">
        <v>1617</v>
      </c>
      <c r="C5" s="1956" t="s">
        <v>1618</v>
      </c>
      <c r="D5" s="1036">
        <f ca="1">结果表!H101</f>
        <v>449033</v>
      </c>
      <c r="E5" s="1953"/>
    </row>
    <row r="6" spans="1:5" ht="15.75">
      <c r="A6" s="1953"/>
      <c r="B6" s="3072"/>
      <c r="C6" s="1956" t="s">
        <v>1619</v>
      </c>
      <c r="D6" s="1036" t="str">
        <f ca="1">NUMBERSTRING(INT(D5*10000),2)&amp;"元整"</f>
        <v>肆拾肆亿玖仟零叁拾叁万元整</v>
      </c>
      <c r="E6" s="1953"/>
    </row>
    <row r="7" spans="1:5" ht="15.75">
      <c r="A7" s="1953"/>
      <c r="B7" s="3077"/>
      <c r="C7" s="1957" t="s">
        <v>1620</v>
      </c>
      <c r="D7" s="1037">
        <f ca="1">结果表!H102</f>
        <v>11875</v>
      </c>
      <c r="E7" s="1953"/>
    </row>
    <row r="8" spans="1:5" ht="15.75">
      <c r="A8" s="1953"/>
      <c r="B8" s="3078" t="str">
        <f>结果表!E103</f>
        <v>2.估价师知悉的法定优先受偿款</v>
      </c>
      <c r="C8" s="1958" t="s">
        <v>1621</v>
      </c>
      <c r="D8" s="1037">
        <f>结果表!H103</f>
        <v>18844.7</v>
      </c>
      <c r="E8" s="1953"/>
    </row>
    <row r="9" spans="1:5" ht="15.75">
      <c r="A9" s="1953"/>
      <c r="B9" s="3080"/>
      <c r="C9" s="1956" t="s">
        <v>1619</v>
      </c>
      <c r="D9" s="1036" t="str">
        <f>NUMBERSTRING(INT(D8*10000),2)&amp;"元整"</f>
        <v>壹亿捌仟捌佰肆拾肆万柒仟元整</v>
      </c>
      <c r="E9" s="1953"/>
    </row>
    <row r="10" spans="1:5" ht="15">
      <c r="A10" s="1953"/>
      <c r="B10" s="1959" t="s">
        <v>1624</v>
      </c>
      <c r="C10" s="1960" t="s">
        <v>1622</v>
      </c>
      <c r="D10" s="1038" t="str">
        <f>结果表!H104</f>
        <v>（未扣减，详见特别提示）</v>
      </c>
      <c r="E10" s="1953"/>
    </row>
    <row r="11" spans="1:5" ht="15">
      <c r="A11" s="1953"/>
      <c r="B11" s="1959" t="s">
        <v>1626</v>
      </c>
      <c r="C11" s="1960" t="s">
        <v>1627</v>
      </c>
      <c r="D11" s="1038">
        <f>结果表!H105</f>
        <v>12038.7</v>
      </c>
      <c r="E11" s="1953"/>
    </row>
    <row r="12" spans="1:5" ht="15">
      <c r="A12" s="1953"/>
      <c r="B12" s="1959" t="s">
        <v>1628</v>
      </c>
      <c r="C12" s="1960" t="s">
        <v>1627</v>
      </c>
      <c r="D12" s="1038">
        <f>结果表!H106</f>
        <v>6806</v>
      </c>
      <c r="E12" s="1953"/>
    </row>
    <row r="13" spans="1:5" ht="15.75">
      <c r="A13" s="1953"/>
      <c r="B13" s="3071" t="str">
        <f>结果表!E107</f>
        <v>3.房地产抵押价值</v>
      </c>
      <c r="C13" s="1961" t="s">
        <v>1618</v>
      </c>
      <c r="D13" s="1039">
        <f ca="1">结果表!H107</f>
        <v>430188.3</v>
      </c>
      <c r="E13" s="1953"/>
    </row>
    <row r="14" spans="1:5" ht="31.5">
      <c r="A14" s="1953"/>
      <c r="B14" s="3072"/>
      <c r="C14" s="1956" t="s">
        <v>1619</v>
      </c>
      <c r="D14" s="1036" t="str">
        <f ca="1">NUMBERSTRING(INT(D13*10000),2)&amp;"元整"</f>
        <v>肆拾叁亿零壹佰捌拾捌万叁仟元整</v>
      </c>
      <c r="E14" s="1953"/>
    </row>
    <row r="15" spans="1:5" ht="15">
      <c r="A15" s="1953"/>
      <c r="B15" s="3077"/>
      <c r="C15" s="1957" t="s">
        <v>1629</v>
      </c>
      <c r="D15" s="1048">
        <f ca="1">结果表!H108</f>
        <v>11376</v>
      </c>
      <c r="E15" s="1953"/>
    </row>
    <row r="16" spans="1:5" ht="15">
      <c r="A16" s="1953"/>
      <c r="B16" s="3078" t="str">
        <f>结果表!E109</f>
        <v>——</v>
      </c>
      <c r="C16" s="1961" t="s">
        <v>1630</v>
      </c>
      <c r="D16" s="1962" t="str">
        <f>结果表!H109</f>
        <v>——</v>
      </c>
      <c r="E16" s="1953"/>
    </row>
    <row r="17" spans="1:5" ht="15.75">
      <c r="A17" s="1953"/>
      <c r="B17" s="3079"/>
      <c r="C17" s="1956" t="s">
        <v>1631</v>
      </c>
      <c r="D17" s="1036" t="e">
        <f>NUMBERSTRING(INT(D16*10000),2)&amp;"元整"</f>
        <v>#VALUE!</v>
      </c>
      <c r="E17" s="1953"/>
    </row>
    <row r="18" spans="1:5" ht="15">
      <c r="A18" s="1953"/>
      <c r="B18" s="3080"/>
      <c r="C18" s="1957" t="s">
        <v>1620</v>
      </c>
      <c r="D18" s="1048" t="str">
        <f>结果表!H110</f>
        <v>——</v>
      </c>
      <c r="E18" s="1953"/>
    </row>
    <row r="19" spans="1:5" ht="15.75">
      <c r="A19" s="1953"/>
      <c r="B19" s="3071" t="str">
        <f>结果表!E111</f>
        <v>——</v>
      </c>
      <c r="C19" s="1961" t="s">
        <v>1618</v>
      </c>
      <c r="D19" s="1037" t="str">
        <f>结果表!H111</f>
        <v>——</v>
      </c>
      <c r="E19" s="1953"/>
    </row>
    <row r="20" spans="1:5" ht="15.75">
      <c r="A20" s="1953"/>
      <c r="B20" s="3072"/>
      <c r="C20" s="1956" t="s">
        <v>1631</v>
      </c>
      <c r="D20" s="1036" t="e">
        <f>NUMBERSTRING(INT(D19*10000),2)&amp;"元整"</f>
        <v>#VALUE!</v>
      </c>
      <c r="E20" s="1953"/>
    </row>
    <row r="21" spans="1:5" ht="15.75" thickBot="1">
      <c r="A21" s="1953"/>
      <c r="B21" s="3073"/>
      <c r="C21" s="1963" t="s">
        <v>1629</v>
      </c>
      <c r="D21" s="1049" t="str">
        <f>结果表!H112</f>
        <v>——</v>
      </c>
      <c r="E21" s="1953"/>
    </row>
    <row r="22" spans="1:5" ht="15" thickTop="1">
      <c r="A22" s="1953"/>
      <c r="B22" s="1964" t="s">
        <v>1632</v>
      </c>
      <c r="C22" s="1953"/>
      <c r="D22" s="1953"/>
      <c r="E22" s="1953"/>
    </row>
    <row r="23" spans="1:5">
      <c r="A23" s="1953"/>
      <c r="B23" s="1953"/>
      <c r="C23" s="1953"/>
      <c r="D23" s="1953"/>
      <c r="E23" s="1953"/>
    </row>
    <row r="24" spans="1:5" ht="18.75">
      <c r="A24" s="1965"/>
      <c r="B24" s="1966" t="s">
        <v>1623</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23" sqref="I2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2520</v>
      </c>
      <c r="B1" s="2660" t="s">
        <v>2694</v>
      </c>
      <c r="C1" s="1615" t="s">
        <v>2522</v>
      </c>
      <c r="D1" s="1616"/>
      <c r="E1" s="1625"/>
      <c r="F1" s="2577"/>
      <c r="G1" s="1626" t="s">
        <v>2635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2322</v>
      </c>
      <c r="B2" s="1414" t="e">
        <f ca="1">IF(C2="——",ROUND(C43*D3/10000,0),ROUND(C43*D3/10000,0)-D2)</f>
        <v>#DIV/0!</v>
      </c>
      <c r="C2" s="2579"/>
      <c r="D2" s="1120" t="e">
        <f ca="1">SUMIF(INDIRECT("'"&amp;F2&amp;"'"&amp;"!A:A"),"承租人权益价值",INDIRECT("'"&amp;F2&amp;"'"&amp;"!c:c"))</f>
        <v>#REF!</v>
      </c>
      <c r="E2" s="2580" t="s">
        <v>2323</v>
      </c>
      <c r="F2" s="2581"/>
      <c r="G2" s="1121"/>
      <c r="H2" s="1121"/>
      <c r="I2" s="1121"/>
      <c r="J2" s="1121"/>
      <c r="K2" s="1121"/>
      <c r="L2" s="1124"/>
      <c r="M2" s="1125"/>
      <c r="N2" s="1125"/>
      <c r="O2" s="1125"/>
      <c r="P2" s="766"/>
      <c r="Q2" s="766"/>
      <c r="R2" s="766"/>
      <c r="S2" s="766"/>
      <c r="T2" s="766"/>
      <c r="U2" s="766"/>
      <c r="V2" s="766"/>
      <c r="W2" s="766"/>
      <c r="X2" s="766"/>
      <c r="Y2" s="766"/>
      <c r="Z2" s="766"/>
      <c r="AA2" s="766"/>
      <c r="AB2" s="766"/>
      <c r="AC2" s="780"/>
    </row>
    <row r="3" spans="1:29" s="398" customFormat="1" ht="28.5" customHeight="1" thickBot="1">
      <c r="A3" s="247" t="s">
        <v>2324</v>
      </c>
      <c r="B3" s="609" t="e">
        <f ca="1">IF(C2="——",C43,ROUND(B2*10000/D3,0))</f>
        <v>#DIV/0!</v>
      </c>
      <c r="C3" s="400" t="s">
        <v>2636</v>
      </c>
      <c r="D3" s="399">
        <f>IF(D1="",'数据-汇总表'!E3,SUMIF('数据-汇总表'!$C19:$C33,D1,'数据-汇总表'!$E19:$E33))</f>
        <v>378144.48</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1" t="s">
        <v>2637</v>
      </c>
      <c r="B4" s="402"/>
      <c r="C4" s="3292" t="s">
        <v>2638</v>
      </c>
      <c r="D4" s="3293"/>
      <c r="E4" s="3294" t="s">
        <v>2639</v>
      </c>
      <c r="F4" s="3295"/>
      <c r="G4" s="3292" t="s">
        <v>2640</v>
      </c>
      <c r="H4" s="3293"/>
      <c r="I4" s="3292" t="s">
        <v>2641</v>
      </c>
      <c r="J4" s="3293"/>
      <c r="K4" s="610" t="s">
        <v>2642</v>
      </c>
      <c r="L4" s="1126"/>
      <c r="M4" s="1127"/>
      <c r="N4" s="1127"/>
      <c r="O4" s="1127"/>
      <c r="P4" s="3296" t="s">
        <v>2643</v>
      </c>
      <c r="Q4" s="3297"/>
      <c r="R4" s="3279" t="s">
        <v>2639</v>
      </c>
      <c r="S4" s="3280"/>
      <c r="T4" s="3279" t="s">
        <v>2640</v>
      </c>
      <c r="U4" s="3280"/>
      <c r="V4" s="3304" t="s">
        <v>2641</v>
      </c>
      <c r="W4" s="3304"/>
      <c r="X4" s="1808"/>
      <c r="Y4" s="3279" t="s">
        <v>2643</v>
      </c>
      <c r="Z4" s="3280"/>
      <c r="AA4" s="3274" t="s">
        <v>2639</v>
      </c>
      <c r="AB4" s="3275" t="s">
        <v>2640</v>
      </c>
      <c r="AC4" s="3274" t="s">
        <v>2641</v>
      </c>
    </row>
    <row r="5" spans="1:29" ht="15">
      <c r="A5" s="404"/>
      <c r="B5" s="405"/>
      <c r="C5" s="3285" t="s">
        <v>2534</v>
      </c>
      <c r="D5" s="3286"/>
      <c r="E5" s="3283" t="s">
        <v>2535</v>
      </c>
      <c r="F5" s="3284"/>
      <c r="G5" s="3285" t="s">
        <v>2536</v>
      </c>
      <c r="H5" s="3286"/>
      <c r="I5" s="3285" t="s">
        <v>2537</v>
      </c>
      <c r="J5" s="3286"/>
      <c r="K5" s="610"/>
      <c r="L5" s="1126"/>
      <c r="M5" s="1127"/>
      <c r="N5" s="1127"/>
      <c r="O5" s="1127"/>
      <c r="P5" s="3298"/>
      <c r="Q5" s="3299"/>
      <c r="R5" s="3281"/>
      <c r="S5" s="3282"/>
      <c r="T5" s="3281"/>
      <c r="U5" s="3282"/>
      <c r="V5" s="3304"/>
      <c r="W5" s="3304"/>
      <c r="X5" s="1808"/>
      <c r="Y5" s="3281"/>
      <c r="Z5" s="3282"/>
      <c r="AA5" s="3275"/>
      <c r="AB5" s="3275"/>
      <c r="AC5" s="3275"/>
    </row>
    <row r="6" spans="1:29" ht="15.75" thickBot="1">
      <c r="A6" s="406"/>
      <c r="B6" s="407"/>
      <c r="C6" s="3287" t="s">
        <v>2538</v>
      </c>
      <c r="D6" s="3288"/>
      <c r="E6" s="3289" t="s">
        <v>2538</v>
      </c>
      <c r="F6" s="3290"/>
      <c r="G6" s="3287" t="s">
        <v>2538</v>
      </c>
      <c r="H6" s="3288"/>
      <c r="I6" s="3287" t="s">
        <v>2538</v>
      </c>
      <c r="J6" s="3288"/>
      <c r="K6" s="610" t="s">
        <v>2539</v>
      </c>
      <c r="L6" s="1126"/>
      <c r="M6" s="1127"/>
      <c r="N6" s="1127"/>
      <c r="O6" s="1127"/>
      <c r="P6" s="3300"/>
      <c r="Q6" s="3301"/>
      <c r="R6" s="3281"/>
      <c r="S6" s="3282"/>
      <c r="T6" s="3302"/>
      <c r="U6" s="3303"/>
      <c r="V6" s="3304"/>
      <c r="W6" s="3304"/>
      <c r="X6" s="1808"/>
      <c r="Y6" s="3302"/>
      <c r="Z6" s="3303"/>
      <c r="AA6" s="3276"/>
      <c r="AB6" s="3276"/>
      <c r="AC6" s="3276"/>
    </row>
    <row r="7" spans="1:29" s="117" customFormat="1" ht="15.75" thickBot="1">
      <c r="A7" s="408" t="s">
        <v>2540</v>
      </c>
      <c r="B7" s="409"/>
      <c r="C7" s="410">
        <f>'数据-取费表'!B2</f>
        <v>43796</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77" t="s">
        <v>2541</v>
      </c>
      <c r="Q7" s="3305"/>
      <c r="R7" s="768" t="s">
        <v>17</v>
      </c>
      <c r="S7" s="769">
        <f t="shared" ref="S7:S15" si="0">F7</f>
        <v>0</v>
      </c>
      <c r="T7" s="768" t="s">
        <v>17</v>
      </c>
      <c r="U7" s="769">
        <f t="shared" ref="U7:U15" si="1">H7</f>
        <v>0</v>
      </c>
      <c r="V7" s="768" t="s">
        <v>17</v>
      </c>
      <c r="W7" s="769">
        <f t="shared" ref="W7:W15" si="2">J7</f>
        <v>0</v>
      </c>
      <c r="X7" s="770"/>
      <c r="Y7" s="3277" t="s">
        <v>2541</v>
      </c>
      <c r="Z7" s="3278"/>
      <c r="AA7" s="771" t="e">
        <f>D7/F7</f>
        <v>#DIV/0!</v>
      </c>
      <c r="AB7" s="771" t="e">
        <f>D7/H7</f>
        <v>#DIV/0!</v>
      </c>
      <c r="AC7" s="771"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77" t="s">
        <v>2544</v>
      </c>
      <c r="Q8" s="3278"/>
      <c r="R8" s="768" t="s">
        <v>17</v>
      </c>
      <c r="S8" s="769">
        <f t="shared" si="0"/>
        <v>0</v>
      </c>
      <c r="T8" s="768" t="s">
        <v>17</v>
      </c>
      <c r="U8" s="769">
        <f t="shared" si="1"/>
        <v>0</v>
      </c>
      <c r="V8" s="768" t="s">
        <v>17</v>
      </c>
      <c r="W8" s="769">
        <f t="shared" si="2"/>
        <v>0</v>
      </c>
      <c r="X8" s="770"/>
      <c r="Y8" s="3277" t="s">
        <v>2544</v>
      </c>
      <c r="Z8" s="3278"/>
      <c r="AA8" s="771" t="e">
        <f t="shared" ref="AA8:AA40" si="3">D8/F8</f>
        <v>#DIV/0!</v>
      </c>
      <c r="AB8" s="771" t="e">
        <f t="shared" ref="AB8:AB40" si="4">D8/H8</f>
        <v>#DIV/0!</v>
      </c>
      <c r="AC8" s="771"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91" t="s">
        <v>2547</v>
      </c>
      <c r="Q9" s="1790" t="str">
        <f t="shared" ref="Q9:Q15" si="6">B9</f>
        <v>用途</v>
      </c>
      <c r="R9" s="768" t="s">
        <v>17</v>
      </c>
      <c r="S9" s="769">
        <f t="shared" si="0"/>
        <v>100</v>
      </c>
      <c r="T9" s="768" t="s">
        <v>17</v>
      </c>
      <c r="U9" s="769">
        <f t="shared" si="1"/>
        <v>100</v>
      </c>
      <c r="V9" s="768" t="s">
        <v>17</v>
      </c>
      <c r="W9" s="769">
        <f t="shared" si="2"/>
        <v>100</v>
      </c>
      <c r="X9" s="770"/>
      <c r="Y9" s="3136" t="s">
        <v>2548</v>
      </c>
      <c r="Z9" s="55" t="str">
        <f t="shared" ref="Z9:Z15" si="7">Q9</f>
        <v>用途</v>
      </c>
      <c r="AA9" s="771">
        <f t="shared" si="3"/>
        <v>1</v>
      </c>
      <c r="AB9" s="771">
        <f t="shared" si="4"/>
        <v>1</v>
      </c>
      <c r="AC9" s="771">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91"/>
      <c r="Q10" s="1790" t="str">
        <f t="shared" si="6"/>
        <v>土地使用年限（年）</v>
      </c>
      <c r="R10" s="768" t="s">
        <v>17</v>
      </c>
      <c r="S10" s="769">
        <f t="shared" si="0"/>
        <v>100</v>
      </c>
      <c r="T10" s="768" t="s">
        <v>17</v>
      </c>
      <c r="U10" s="769">
        <f t="shared" si="1"/>
        <v>100</v>
      </c>
      <c r="V10" s="768" t="s">
        <v>17</v>
      </c>
      <c r="W10" s="769">
        <f t="shared" si="2"/>
        <v>100</v>
      </c>
      <c r="X10" s="770"/>
      <c r="Y10" s="3136"/>
      <c r="Z10" s="55" t="str">
        <f t="shared" si="7"/>
        <v>土地使用年限（年）</v>
      </c>
      <c r="AA10" s="771">
        <f t="shared" si="3"/>
        <v>1</v>
      </c>
      <c r="AB10" s="771">
        <f t="shared" si="4"/>
        <v>1</v>
      </c>
      <c r="AC10" s="771">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91"/>
      <c r="Q11" s="1790" t="str">
        <f t="shared" si="6"/>
        <v>容积率</v>
      </c>
      <c r="R11" s="768" t="s">
        <v>17</v>
      </c>
      <c r="S11" s="769" t="e">
        <f t="shared" si="0"/>
        <v>#N/A</v>
      </c>
      <c r="T11" s="768" t="s">
        <v>17</v>
      </c>
      <c r="U11" s="769" t="e">
        <f t="shared" si="1"/>
        <v>#N/A</v>
      </c>
      <c r="V11" s="768" t="s">
        <v>17</v>
      </c>
      <c r="W11" s="769" t="e">
        <f t="shared" si="2"/>
        <v>#N/A</v>
      </c>
      <c r="X11" s="770"/>
      <c r="Y11" s="3136"/>
      <c r="Z11" s="55" t="str">
        <f t="shared" si="7"/>
        <v>容积率</v>
      </c>
      <c r="AA11" s="771" t="e">
        <f t="shared" si="3"/>
        <v>#N/A</v>
      </c>
      <c r="AB11" s="771" t="e">
        <f t="shared" si="4"/>
        <v>#N/A</v>
      </c>
      <c r="AC11" s="771" t="e">
        <f t="shared" si="5"/>
        <v>#N/A</v>
      </c>
    </row>
    <row r="12" spans="1:29" s="117" customFormat="1" ht="15">
      <c r="A12" s="431"/>
      <c r="B12" s="2593">
        <v>111</v>
      </c>
      <c r="C12" s="432"/>
      <c r="D12" s="433">
        <v>100</v>
      </c>
      <c r="E12" s="434"/>
      <c r="F12" s="136">
        <f>SUMIF(64:64,E12,65:65)-SUMIF(64:64,C12,65:65)+100</f>
        <v>100</v>
      </c>
      <c r="G12" s="2683"/>
      <c r="H12" s="136">
        <f>SUMIF(64:64,G12,65:65)-SUMIF(64:64,C12,65:65)+100</f>
        <v>100</v>
      </c>
      <c r="I12" s="469"/>
      <c r="J12" s="136">
        <f>SUMIF(64:64,I12,65:65)-SUMIF(64:64,C12,65:65)+100</f>
        <v>100</v>
      </c>
      <c r="K12" s="613"/>
      <c r="L12" s="1128"/>
      <c r="M12" s="1129"/>
      <c r="N12" s="1129"/>
      <c r="O12" s="1130"/>
      <c r="P12" s="3291"/>
      <c r="Q12" s="1790">
        <f t="shared" si="6"/>
        <v>111</v>
      </c>
      <c r="R12" s="768" t="s">
        <v>17</v>
      </c>
      <c r="S12" s="769">
        <f t="shared" si="0"/>
        <v>100</v>
      </c>
      <c r="T12" s="768" t="s">
        <v>17</v>
      </c>
      <c r="U12" s="769">
        <f t="shared" si="1"/>
        <v>100</v>
      </c>
      <c r="V12" s="768" t="s">
        <v>17</v>
      </c>
      <c r="W12" s="769">
        <f t="shared" si="2"/>
        <v>100</v>
      </c>
      <c r="X12" s="770"/>
      <c r="Y12" s="3136"/>
      <c r="Z12" s="55">
        <f t="shared" si="7"/>
        <v>111</v>
      </c>
      <c r="AA12" s="771">
        <f>D12/F12</f>
        <v>1</v>
      </c>
      <c r="AB12" s="771">
        <f>D12/H12</f>
        <v>1</v>
      </c>
      <c r="AC12" s="771">
        <f>D12/J12</f>
        <v>1</v>
      </c>
    </row>
    <row r="13" spans="1:29" ht="15">
      <c r="A13" s="428"/>
      <c r="B13" s="2593">
        <v>111</v>
      </c>
      <c r="C13" s="434"/>
      <c r="D13" s="435">
        <v>100</v>
      </c>
      <c r="E13" s="434"/>
      <c r="F13" s="136">
        <f>SUMIF(66:66,E13,67:67)-SUMIF(66:66,C13,67:67)+100</f>
        <v>100</v>
      </c>
      <c r="G13" s="2683"/>
      <c r="H13" s="435">
        <f>SUMIF(66:66,G13,67:67)-SUMIF(66:66,C13,67:67)+100</f>
        <v>100</v>
      </c>
      <c r="I13" s="469"/>
      <c r="J13" s="435">
        <f>SUMIF(66:66,I13,67:67)-SUMIF(66:66,C13,67:67)+100</f>
        <v>100</v>
      </c>
      <c r="K13" s="613"/>
      <c r="L13" s="1136"/>
      <c r="M13" s="1127"/>
      <c r="N13" s="1127"/>
      <c r="O13" s="1135"/>
      <c r="P13" s="3291"/>
      <c r="Q13" s="1790">
        <f t="shared" si="6"/>
        <v>111</v>
      </c>
      <c r="R13" s="768" t="s">
        <v>17</v>
      </c>
      <c r="S13" s="769">
        <f t="shared" si="0"/>
        <v>100</v>
      </c>
      <c r="T13" s="768" t="s">
        <v>17</v>
      </c>
      <c r="U13" s="769">
        <f t="shared" si="1"/>
        <v>100</v>
      </c>
      <c r="V13" s="768" t="s">
        <v>17</v>
      </c>
      <c r="W13" s="769">
        <f t="shared" si="2"/>
        <v>100</v>
      </c>
      <c r="X13" s="770"/>
      <c r="Y13" s="3136"/>
      <c r="Z13" s="55">
        <f t="shared" si="7"/>
        <v>111</v>
      </c>
      <c r="AA13" s="771">
        <f t="shared" si="3"/>
        <v>1</v>
      </c>
      <c r="AB13" s="771">
        <f t="shared" si="4"/>
        <v>1</v>
      </c>
      <c r="AC13" s="771">
        <f t="shared" si="5"/>
        <v>1</v>
      </c>
    </row>
    <row r="14" spans="1:29" ht="15.75" thickBot="1">
      <c r="A14" s="436"/>
      <c r="B14" s="2595">
        <v>111</v>
      </c>
      <c r="C14" s="437"/>
      <c r="D14" s="438">
        <v>100</v>
      </c>
      <c r="E14" s="437"/>
      <c r="F14" s="438">
        <f>SUMIF(68:68,E14,69:69)-SUMIF(68:68,C14,69:69)+100</f>
        <v>100</v>
      </c>
      <c r="G14" s="2683"/>
      <c r="H14" s="438">
        <f>SUMIF(68:68,G14,69:69)-SUMIF(68:68,C14,69:69)+100</f>
        <v>100</v>
      </c>
      <c r="I14" s="469"/>
      <c r="J14" s="438">
        <f>SUMIF(68:68,I14,69:69)-SUMIF(68:68,C14,69:69)+100</f>
        <v>100</v>
      </c>
      <c r="K14" s="613"/>
      <c r="L14" s="1136"/>
      <c r="M14" s="1127"/>
      <c r="N14" s="1127"/>
      <c r="O14" s="1135"/>
      <c r="P14" s="3291"/>
      <c r="Q14" s="1790">
        <f t="shared" si="6"/>
        <v>111</v>
      </c>
      <c r="R14" s="768" t="s">
        <v>17</v>
      </c>
      <c r="S14" s="769">
        <f t="shared" si="0"/>
        <v>100</v>
      </c>
      <c r="T14" s="768" t="s">
        <v>17</v>
      </c>
      <c r="U14" s="769">
        <f t="shared" si="1"/>
        <v>100</v>
      </c>
      <c r="V14" s="768" t="s">
        <v>17</v>
      </c>
      <c r="W14" s="769">
        <f t="shared" si="2"/>
        <v>100</v>
      </c>
      <c r="X14" s="770"/>
      <c r="Y14" s="3136"/>
      <c r="Z14" s="55">
        <f t="shared" si="7"/>
        <v>111</v>
      </c>
      <c r="AA14" s="771">
        <f t="shared" si="3"/>
        <v>1</v>
      </c>
      <c r="AB14" s="771">
        <f t="shared" si="4"/>
        <v>1</v>
      </c>
      <c r="AC14" s="771">
        <f t="shared" si="5"/>
        <v>1</v>
      </c>
    </row>
    <row r="15" spans="1:29" ht="57">
      <c r="A15" s="440" t="s">
        <v>2551</v>
      </c>
      <c r="B15" s="69" t="s">
        <v>2695</v>
      </c>
      <c r="C15" s="268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306" t="s">
        <v>2552</v>
      </c>
      <c r="Q15" s="1805" t="str">
        <f t="shared" si="6"/>
        <v>产业集聚程度</v>
      </c>
      <c r="R15" s="772" t="s">
        <v>17</v>
      </c>
      <c r="S15" s="773">
        <f t="shared" si="0"/>
        <v>100</v>
      </c>
      <c r="T15" s="772" t="s">
        <v>17</v>
      </c>
      <c r="U15" s="773">
        <f t="shared" si="1"/>
        <v>100</v>
      </c>
      <c r="V15" s="772" t="s">
        <v>17</v>
      </c>
      <c r="W15" s="773">
        <f t="shared" si="2"/>
        <v>100</v>
      </c>
      <c r="X15" s="1808"/>
      <c r="Y15" s="3306" t="s">
        <v>2552</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6"/>
      <c r="M16" s="1127"/>
      <c r="N16" s="1127"/>
      <c r="O16" s="1135"/>
      <c r="P16" s="3307"/>
      <c r="Q16" s="1805"/>
      <c r="R16" s="772"/>
      <c r="S16" s="773"/>
      <c r="T16" s="772"/>
      <c r="U16" s="773"/>
      <c r="V16" s="772"/>
      <c r="W16" s="773"/>
      <c r="X16" s="1808"/>
      <c r="Y16" s="3307"/>
      <c r="Z16" s="1809"/>
      <c r="AA16" s="1806">
        <v>1</v>
      </c>
      <c r="AB16" s="1806">
        <v>1</v>
      </c>
      <c r="AC16" s="1806">
        <v>1</v>
      </c>
    </row>
    <row r="17" spans="1:29" ht="85.5">
      <c r="A17" s="428"/>
      <c r="B17" s="451" t="s">
        <v>2092</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307"/>
      <c r="Q17" s="1805" t="str">
        <f>B17</f>
        <v>交通便捷度</v>
      </c>
      <c r="R17" s="772" t="s">
        <v>17</v>
      </c>
      <c r="S17" s="773">
        <f>F17</f>
        <v>100</v>
      </c>
      <c r="T17" s="772" t="s">
        <v>17</v>
      </c>
      <c r="U17" s="773">
        <f>H17</f>
        <v>100</v>
      </c>
      <c r="V17" s="772" t="s">
        <v>17</v>
      </c>
      <c r="W17" s="773">
        <f>J17</f>
        <v>100</v>
      </c>
      <c r="X17" s="1808"/>
      <c r="Y17" s="3307"/>
      <c r="Z17" s="1809" t="str">
        <f>Q17</f>
        <v>交通便捷度</v>
      </c>
      <c r="AA17" s="1806">
        <f t="shared" si="3"/>
        <v>1</v>
      </c>
      <c r="AB17" s="1806">
        <f t="shared" si="4"/>
        <v>1</v>
      </c>
      <c r="AC17" s="1806">
        <f t="shared" si="5"/>
        <v>1</v>
      </c>
    </row>
    <row r="18" spans="1:29" ht="15">
      <c r="A18" s="428"/>
      <c r="B18" s="456"/>
      <c r="C18" s="2601"/>
      <c r="D18" s="450"/>
      <c r="E18" s="2603"/>
      <c r="F18" s="453"/>
      <c r="G18" s="2602"/>
      <c r="H18" s="448"/>
      <c r="I18" s="2603"/>
      <c r="J18" s="448"/>
      <c r="K18" s="615"/>
      <c r="L18" s="1136"/>
      <c r="M18" s="1127"/>
      <c r="N18" s="1127"/>
      <c r="O18" s="1135"/>
      <c r="P18" s="3307"/>
      <c r="Q18" s="1805"/>
      <c r="R18" s="772"/>
      <c r="S18" s="773"/>
      <c r="T18" s="772"/>
      <c r="U18" s="773"/>
      <c r="V18" s="772"/>
      <c r="W18" s="773"/>
      <c r="X18" s="1808"/>
      <c r="Y18" s="3307"/>
      <c r="Z18" s="1809"/>
      <c r="AA18" s="1806">
        <v>1</v>
      </c>
      <c r="AB18" s="1806">
        <v>1</v>
      </c>
      <c r="AC18" s="1806">
        <v>1</v>
      </c>
    </row>
    <row r="19" spans="1:29" ht="42.75">
      <c r="A19" s="428"/>
      <c r="B19" s="451" t="s">
        <v>2680</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307"/>
      <c r="Q19" s="1805" t="str">
        <f>B19</f>
        <v>公共配套设施</v>
      </c>
      <c r="R19" s="772" t="s">
        <v>17</v>
      </c>
      <c r="S19" s="773">
        <f>F19</f>
        <v>100</v>
      </c>
      <c r="T19" s="772" t="s">
        <v>17</v>
      </c>
      <c r="U19" s="773">
        <f>H19</f>
        <v>100</v>
      </c>
      <c r="V19" s="772" t="s">
        <v>17</v>
      </c>
      <c r="W19" s="773">
        <f>J19</f>
        <v>100</v>
      </c>
      <c r="X19" s="1808"/>
      <c r="Y19" s="3307"/>
      <c r="Z19" s="1809" t="str">
        <f>Q19</f>
        <v>公共配套设施</v>
      </c>
      <c r="AA19" s="1806">
        <f t="shared" si="3"/>
        <v>1</v>
      </c>
      <c r="AB19" s="1806">
        <f t="shared" si="4"/>
        <v>1</v>
      </c>
      <c r="AC19" s="1806">
        <f t="shared" si="5"/>
        <v>1</v>
      </c>
    </row>
    <row r="20" spans="1:29" ht="15">
      <c r="A20" s="428"/>
      <c r="B20" s="456"/>
      <c r="C20" s="447"/>
      <c r="D20" s="448"/>
      <c r="E20" s="2598"/>
      <c r="F20" s="449"/>
      <c r="G20" s="2597"/>
      <c r="H20" s="448"/>
      <c r="I20" s="2598"/>
      <c r="J20" s="448"/>
      <c r="K20" s="615"/>
      <c r="L20" s="1136"/>
      <c r="M20" s="1127"/>
      <c r="N20" s="1127"/>
      <c r="O20" s="1135"/>
      <c r="P20" s="3307"/>
      <c r="Q20" s="1805"/>
      <c r="R20" s="772"/>
      <c r="S20" s="773"/>
      <c r="T20" s="772"/>
      <c r="U20" s="773"/>
      <c r="V20" s="772"/>
      <c r="W20" s="773"/>
      <c r="X20" s="1808"/>
      <c r="Y20" s="3307"/>
      <c r="Z20" s="1809"/>
      <c r="AA20" s="1806">
        <v>1</v>
      </c>
      <c r="AB20" s="1806">
        <v>1</v>
      </c>
      <c r="AC20" s="1806">
        <v>1</v>
      </c>
    </row>
    <row r="21" spans="1:29" ht="28.5">
      <c r="A21" s="428"/>
      <c r="B21" s="1380" t="s">
        <v>2681</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307"/>
      <c r="Q21" s="1805" t="str">
        <f>B21</f>
        <v>基础设施水平</v>
      </c>
      <c r="R21" s="772" t="s">
        <v>17</v>
      </c>
      <c r="S21" s="773">
        <f>F21</f>
        <v>100</v>
      </c>
      <c r="T21" s="772" t="s">
        <v>17</v>
      </c>
      <c r="U21" s="773">
        <f>H21</f>
        <v>100</v>
      </c>
      <c r="V21" s="772" t="s">
        <v>17</v>
      </c>
      <c r="W21" s="773">
        <f>J21</f>
        <v>100</v>
      </c>
      <c r="X21" s="1808"/>
      <c r="Y21" s="3307"/>
      <c r="Z21" s="1809" t="str">
        <f>Q21</f>
        <v>基础设施水平</v>
      </c>
      <c r="AA21" s="1806">
        <f t="shared" ref="AA21" si="8">D21/F21</f>
        <v>1</v>
      </c>
      <c r="AB21" s="1806">
        <f t="shared" ref="AB21" si="9">D21/H21</f>
        <v>1</v>
      </c>
      <c r="AC21" s="1806">
        <f t="shared" ref="AC21" si="10">D21/J21</f>
        <v>1</v>
      </c>
    </row>
    <row r="22" spans="1:29" ht="15">
      <c r="A22" s="428"/>
      <c r="B22" s="1380"/>
      <c r="C22" s="2601"/>
      <c r="D22" s="448"/>
      <c r="E22" s="447"/>
      <c r="F22" s="449"/>
      <c r="G22" s="447"/>
      <c r="H22" s="448"/>
      <c r="I22" s="447"/>
      <c r="J22" s="448"/>
      <c r="K22" s="1379"/>
      <c r="L22" s="1136"/>
      <c r="M22" s="1127"/>
      <c r="N22" s="1127"/>
      <c r="O22" s="1135"/>
      <c r="P22" s="3307"/>
      <c r="Q22" s="1805"/>
      <c r="R22" s="772"/>
      <c r="S22" s="773"/>
      <c r="T22" s="772"/>
      <c r="U22" s="773"/>
      <c r="V22" s="772"/>
      <c r="W22" s="773"/>
      <c r="X22" s="1808"/>
      <c r="Y22" s="3307"/>
      <c r="Z22" s="1809"/>
      <c r="AA22" s="1806">
        <v>1</v>
      </c>
      <c r="AB22" s="1806">
        <v>1</v>
      </c>
      <c r="AC22" s="1806">
        <v>1</v>
      </c>
    </row>
    <row r="23" spans="1:29" ht="71.25">
      <c r="A23" s="428"/>
      <c r="B23" s="451" t="s">
        <v>2682</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307"/>
      <c r="Q23" s="1805" t="str">
        <f>B23</f>
        <v>环境质量</v>
      </c>
      <c r="R23" s="772" t="s">
        <v>17</v>
      </c>
      <c r="S23" s="773">
        <f>F23</f>
        <v>100</v>
      </c>
      <c r="T23" s="772" t="s">
        <v>17</v>
      </c>
      <c r="U23" s="773">
        <f>H23</f>
        <v>100</v>
      </c>
      <c r="V23" s="772" t="s">
        <v>17</v>
      </c>
      <c r="W23" s="773">
        <f>J23</f>
        <v>100</v>
      </c>
      <c r="X23" s="1808"/>
      <c r="Y23" s="3307"/>
      <c r="Z23" s="1809" t="str">
        <f>Q23</f>
        <v>环境质量</v>
      </c>
      <c r="AA23" s="1806">
        <f t="shared" si="3"/>
        <v>1</v>
      </c>
      <c r="AB23" s="1806">
        <f t="shared" si="4"/>
        <v>1</v>
      </c>
      <c r="AC23" s="1806">
        <f t="shared" si="5"/>
        <v>1</v>
      </c>
    </row>
    <row r="24" spans="1:29" ht="15">
      <c r="A24" s="428"/>
      <c r="B24" s="1380"/>
      <c r="C24" s="447"/>
      <c r="D24" s="448"/>
      <c r="E24" s="2598"/>
      <c r="F24" s="449"/>
      <c r="G24" s="2597"/>
      <c r="H24" s="448"/>
      <c r="I24" s="2598"/>
      <c r="J24" s="448"/>
      <c r="K24" s="615"/>
      <c r="L24" s="1136"/>
      <c r="M24" s="1127"/>
      <c r="N24" s="1127"/>
      <c r="O24" s="1135"/>
      <c r="P24" s="3307"/>
      <c r="Q24" s="1805"/>
      <c r="R24" s="772"/>
      <c r="S24" s="773"/>
      <c r="T24" s="772"/>
      <c r="U24" s="773"/>
      <c r="V24" s="772"/>
      <c r="W24" s="773"/>
      <c r="X24" s="1808"/>
      <c r="Y24" s="3307"/>
      <c r="Z24" s="1809"/>
      <c r="AA24" s="1806">
        <v>1</v>
      </c>
      <c r="AB24" s="1806">
        <v>1</v>
      </c>
      <c r="AC24" s="1806">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307"/>
      <c r="Q25" s="1805">
        <f>B25</f>
        <v>111</v>
      </c>
      <c r="R25" s="772" t="s">
        <v>17</v>
      </c>
      <c r="S25" s="773">
        <f>F25</f>
        <v>100</v>
      </c>
      <c r="T25" s="772" t="s">
        <v>17</v>
      </c>
      <c r="U25" s="773">
        <f>H25</f>
        <v>100</v>
      </c>
      <c r="V25" s="772" t="s">
        <v>17</v>
      </c>
      <c r="W25" s="773">
        <f>J25</f>
        <v>100</v>
      </c>
      <c r="X25" s="1808"/>
      <c r="Y25" s="3307"/>
      <c r="Z25" s="1809">
        <f>Q25</f>
        <v>111</v>
      </c>
      <c r="AA25" s="1806">
        <f t="shared" si="3"/>
        <v>1</v>
      </c>
      <c r="AB25" s="1806">
        <f t="shared" si="4"/>
        <v>1</v>
      </c>
      <c r="AC25" s="1806">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307"/>
      <c r="Q26" s="1805">
        <f t="shared" ref="Q26:Q40" si="11">B26</f>
        <v>111</v>
      </c>
      <c r="R26" s="772" t="s">
        <v>17</v>
      </c>
      <c r="S26" s="773">
        <f>F26</f>
        <v>100</v>
      </c>
      <c r="T26" s="772" t="s">
        <v>17</v>
      </c>
      <c r="U26" s="773">
        <f>H26</f>
        <v>100</v>
      </c>
      <c r="V26" s="772" t="s">
        <v>17</v>
      </c>
      <c r="W26" s="773">
        <f>J26</f>
        <v>100</v>
      </c>
      <c r="X26" s="1808"/>
      <c r="Y26" s="3307"/>
      <c r="Z26" s="1809">
        <f>Q26</f>
        <v>111</v>
      </c>
      <c r="AA26" s="1806">
        <f t="shared" si="3"/>
        <v>1</v>
      </c>
      <c r="AB26" s="1806">
        <f t="shared" si="4"/>
        <v>1</v>
      </c>
      <c r="AC26" s="1806">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307"/>
      <c r="Q27" s="1790">
        <f t="shared" si="11"/>
        <v>111</v>
      </c>
      <c r="R27" s="768" t="s">
        <v>17</v>
      </c>
      <c r="S27" s="769">
        <f>F27</f>
        <v>100</v>
      </c>
      <c r="T27" s="768" t="s">
        <v>17</v>
      </c>
      <c r="U27" s="769">
        <f>H27</f>
        <v>100</v>
      </c>
      <c r="V27" s="768" t="s">
        <v>17</v>
      </c>
      <c r="W27" s="769">
        <f>J27</f>
        <v>100</v>
      </c>
      <c r="X27" s="770"/>
      <c r="Y27" s="3307"/>
      <c r="Z27" s="55">
        <f>Q27</f>
        <v>111</v>
      </c>
      <c r="AA27" s="1806">
        <f>D27/F27</f>
        <v>1</v>
      </c>
      <c r="AB27" s="1806">
        <f>D27/H27</f>
        <v>1</v>
      </c>
      <c r="AC27" s="1806">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307"/>
      <c r="Q28" s="1805">
        <f t="shared" si="11"/>
        <v>111</v>
      </c>
      <c r="R28" s="772" t="s">
        <v>17</v>
      </c>
      <c r="S28" s="773">
        <f t="shared" ref="S28:S40" si="12">F28</f>
        <v>100</v>
      </c>
      <c r="T28" s="772" t="s">
        <v>17</v>
      </c>
      <c r="U28" s="773">
        <f t="shared" ref="U28:U40" si="13">H28</f>
        <v>100</v>
      </c>
      <c r="V28" s="772" t="s">
        <v>17</v>
      </c>
      <c r="W28" s="773">
        <f t="shared" ref="W28:W40" si="14">J28</f>
        <v>100</v>
      </c>
      <c r="X28" s="1808"/>
      <c r="Y28" s="3307"/>
      <c r="Z28" s="1809">
        <f t="shared" ref="Z28:Z40" si="15">Q28</f>
        <v>111</v>
      </c>
      <c r="AA28" s="1806">
        <f t="shared" si="3"/>
        <v>1</v>
      </c>
      <c r="AB28" s="1806">
        <f t="shared" si="4"/>
        <v>1</v>
      </c>
      <c r="AC28" s="1806">
        <f t="shared" si="5"/>
        <v>1</v>
      </c>
    </row>
    <row r="29" spans="1:29" ht="28.5">
      <c r="A29" s="466" t="s">
        <v>2555</v>
      </c>
      <c r="B29" s="71" t="s">
        <v>2685</v>
      </c>
      <c r="C29" s="2670"/>
      <c r="D29" s="467">
        <v>100</v>
      </c>
      <c r="E29" s="2670"/>
      <c r="F29" s="461">
        <f>SUMIF(88:88,E29,89:89)-SUMIF(88:88,C29,89:89)+100</f>
        <v>100</v>
      </c>
      <c r="G29" s="2670"/>
      <c r="H29" s="435">
        <f>SUMIF(88:88,G29,89:89)-SUMIF(88:88,C29,89:89)+100</f>
        <v>100</v>
      </c>
      <c r="I29" s="2670"/>
      <c r="J29" s="467">
        <f>SUMIF(88:88,I29,89:89)-SUMIF(88:88,C29,89:89)+100</f>
        <v>100</v>
      </c>
      <c r="K29" s="612"/>
      <c r="L29" s="1136"/>
      <c r="M29" s="1127"/>
      <c r="N29" s="1127"/>
      <c r="O29" s="1135"/>
      <c r="P29" s="3308" t="s">
        <v>2557</v>
      </c>
      <c r="Q29" s="1805" t="str">
        <f t="shared" si="11"/>
        <v>建筑类型</v>
      </c>
      <c r="R29" s="772" t="s">
        <v>17</v>
      </c>
      <c r="S29" s="773">
        <f t="shared" si="12"/>
        <v>100</v>
      </c>
      <c r="T29" s="772" t="s">
        <v>17</v>
      </c>
      <c r="U29" s="773">
        <f t="shared" si="13"/>
        <v>100</v>
      </c>
      <c r="V29" s="772" t="s">
        <v>17</v>
      </c>
      <c r="W29" s="773">
        <f t="shared" si="14"/>
        <v>100</v>
      </c>
      <c r="X29" s="1808"/>
      <c r="Y29" s="3309" t="s">
        <v>2557</v>
      </c>
      <c r="Z29" s="1809" t="str">
        <f t="shared" si="15"/>
        <v>建筑类型</v>
      </c>
      <c r="AA29" s="1806">
        <f t="shared" si="3"/>
        <v>1</v>
      </c>
      <c r="AB29" s="1806">
        <f t="shared" si="4"/>
        <v>1</v>
      </c>
      <c r="AC29" s="1806">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309"/>
      <c r="Q30" s="774" t="str">
        <f t="shared" si="11"/>
        <v>项目建筑规模</v>
      </c>
      <c r="R30" s="775" t="s">
        <v>17</v>
      </c>
      <c r="S30" s="776" t="e">
        <f t="shared" si="12"/>
        <v>#N/A</v>
      </c>
      <c r="T30" s="775" t="s">
        <v>17</v>
      </c>
      <c r="U30" s="776" t="e">
        <f t="shared" si="13"/>
        <v>#N/A</v>
      </c>
      <c r="V30" s="775" t="s">
        <v>17</v>
      </c>
      <c r="W30" s="776" t="e">
        <f t="shared" si="14"/>
        <v>#N/A</v>
      </c>
      <c r="X30" s="777"/>
      <c r="Y30" s="3309"/>
      <c r="Z30" s="778" t="str">
        <f t="shared" si="15"/>
        <v>项目建筑规模</v>
      </c>
      <c r="AA30" s="1806" t="e">
        <f t="shared" si="3"/>
        <v>#N/A</v>
      </c>
      <c r="AB30" s="1806" t="e">
        <f t="shared" si="4"/>
        <v>#N/A</v>
      </c>
      <c r="AC30" s="1806"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309"/>
      <c r="Q31" s="1805" t="str">
        <f t="shared" si="11"/>
        <v>建筑结构</v>
      </c>
      <c r="R31" s="772" t="s">
        <v>17</v>
      </c>
      <c r="S31" s="773">
        <f t="shared" si="12"/>
        <v>100</v>
      </c>
      <c r="T31" s="772" t="s">
        <v>17</v>
      </c>
      <c r="U31" s="773">
        <f t="shared" si="13"/>
        <v>100</v>
      </c>
      <c r="V31" s="772" t="s">
        <v>17</v>
      </c>
      <c r="W31" s="773">
        <f t="shared" si="14"/>
        <v>100</v>
      </c>
      <c r="X31" s="1808"/>
      <c r="Y31" s="3309"/>
      <c r="Z31" s="1809" t="str">
        <f t="shared" si="15"/>
        <v>建筑结构</v>
      </c>
      <c r="AA31" s="1806">
        <f t="shared" si="3"/>
        <v>1</v>
      </c>
      <c r="AB31" s="1806">
        <f t="shared" si="4"/>
        <v>1</v>
      </c>
      <c r="AC31" s="1806">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309"/>
      <c r="Q32" s="1805" t="str">
        <f t="shared" si="11"/>
        <v>公共部分装修</v>
      </c>
      <c r="R32" s="772" t="s">
        <v>17</v>
      </c>
      <c r="S32" s="773">
        <f t="shared" si="12"/>
        <v>100</v>
      </c>
      <c r="T32" s="772" t="s">
        <v>17</v>
      </c>
      <c r="U32" s="773">
        <f t="shared" si="13"/>
        <v>100</v>
      </c>
      <c r="V32" s="772" t="s">
        <v>17</v>
      </c>
      <c r="W32" s="773">
        <f t="shared" si="14"/>
        <v>100</v>
      </c>
      <c r="X32" s="1808"/>
      <c r="Y32" s="3309"/>
      <c r="Z32" s="1809" t="str">
        <f t="shared" si="15"/>
        <v>公共部分装修</v>
      </c>
      <c r="AA32" s="1806">
        <f t="shared" si="3"/>
        <v>1</v>
      </c>
      <c r="AB32" s="1806">
        <f t="shared" si="4"/>
        <v>1</v>
      </c>
      <c r="AC32" s="1806">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309"/>
      <c r="Q33" s="1805" t="str">
        <f t="shared" si="11"/>
        <v>成新度</v>
      </c>
      <c r="R33" s="772" t="s">
        <v>17</v>
      </c>
      <c r="S33" s="773" t="e">
        <f t="shared" si="12"/>
        <v>#N/A</v>
      </c>
      <c r="T33" s="772" t="s">
        <v>17</v>
      </c>
      <c r="U33" s="773" t="e">
        <f t="shared" si="13"/>
        <v>#N/A</v>
      </c>
      <c r="V33" s="772" t="s">
        <v>17</v>
      </c>
      <c r="W33" s="773" t="e">
        <f t="shared" si="14"/>
        <v>#N/A</v>
      </c>
      <c r="X33" s="1808"/>
      <c r="Y33" s="3309"/>
      <c r="Z33" s="1809" t="str">
        <f t="shared" si="15"/>
        <v>成新度</v>
      </c>
      <c r="AA33" s="1806" t="e">
        <f t="shared" si="3"/>
        <v>#N/A</v>
      </c>
      <c r="AB33" s="1806" t="e">
        <f t="shared" si="4"/>
        <v>#N/A</v>
      </c>
      <c r="AC33" s="1806"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309"/>
      <c r="Q34" s="1790" t="str">
        <f t="shared" si="11"/>
        <v>物业管理</v>
      </c>
      <c r="R34" s="768" t="s">
        <v>17</v>
      </c>
      <c r="S34" s="769">
        <f t="shared" si="12"/>
        <v>100</v>
      </c>
      <c r="T34" s="768" t="s">
        <v>17</v>
      </c>
      <c r="U34" s="769">
        <f t="shared" si="13"/>
        <v>100</v>
      </c>
      <c r="V34" s="768" t="s">
        <v>17</v>
      </c>
      <c r="W34" s="769">
        <f t="shared" si="14"/>
        <v>100</v>
      </c>
      <c r="X34" s="770"/>
      <c r="Y34" s="3309"/>
      <c r="Z34" s="55" t="str">
        <f t="shared" si="15"/>
        <v>物业管理</v>
      </c>
      <c r="AA34" s="771">
        <f t="shared" si="3"/>
        <v>1</v>
      </c>
      <c r="AB34" s="771">
        <f t="shared" si="4"/>
        <v>1</v>
      </c>
      <c r="AC34" s="771">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309" t="s">
        <v>2557</v>
      </c>
      <c r="Q35" s="1805" t="str">
        <f t="shared" si="11"/>
        <v>市政基础设施</v>
      </c>
      <c r="R35" s="772" t="s">
        <v>17</v>
      </c>
      <c r="S35" s="773">
        <f t="shared" si="12"/>
        <v>100</v>
      </c>
      <c r="T35" s="772" t="s">
        <v>17</v>
      </c>
      <c r="U35" s="773">
        <f t="shared" si="13"/>
        <v>100</v>
      </c>
      <c r="V35" s="772" t="s">
        <v>17</v>
      </c>
      <c r="W35" s="773">
        <f t="shared" si="14"/>
        <v>100</v>
      </c>
      <c r="X35" s="1808"/>
      <c r="Y35" s="3309" t="s">
        <v>2557</v>
      </c>
      <c r="Z35" s="1809" t="str">
        <f t="shared" si="15"/>
        <v>市政基础设施</v>
      </c>
      <c r="AA35" s="1806">
        <f t="shared" si="3"/>
        <v>1</v>
      </c>
      <c r="AB35" s="1806">
        <f t="shared" si="4"/>
        <v>1</v>
      </c>
      <c r="AC35" s="1806">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309"/>
      <c r="Q36" s="1805" t="str">
        <f t="shared" si="11"/>
        <v>内部装修</v>
      </c>
      <c r="R36" s="772" t="s">
        <v>17</v>
      </c>
      <c r="S36" s="773">
        <f t="shared" si="12"/>
        <v>100</v>
      </c>
      <c r="T36" s="772" t="s">
        <v>17</v>
      </c>
      <c r="U36" s="773">
        <f t="shared" si="13"/>
        <v>100</v>
      </c>
      <c r="V36" s="772" t="s">
        <v>17</v>
      </c>
      <c r="W36" s="773">
        <f t="shared" si="14"/>
        <v>100</v>
      </c>
      <c r="X36" s="1808"/>
      <c r="Y36" s="3309"/>
      <c r="Z36" s="1809" t="str">
        <f t="shared" si="15"/>
        <v>内部装修</v>
      </c>
      <c r="AA36" s="1806">
        <f t="shared" si="3"/>
        <v>1</v>
      </c>
      <c r="AB36" s="1806">
        <f t="shared" si="4"/>
        <v>1</v>
      </c>
      <c r="AC36" s="1806">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309"/>
      <c r="Q37" s="1805" t="str">
        <f t="shared" si="11"/>
        <v>内部装修状况</v>
      </c>
      <c r="R37" s="772" t="s">
        <v>17</v>
      </c>
      <c r="S37" s="773">
        <f t="shared" si="12"/>
        <v>100</v>
      </c>
      <c r="T37" s="772" t="s">
        <v>17</v>
      </c>
      <c r="U37" s="773">
        <f t="shared" si="13"/>
        <v>100</v>
      </c>
      <c r="V37" s="772" t="s">
        <v>17</v>
      </c>
      <c r="W37" s="773">
        <f t="shared" si="14"/>
        <v>100</v>
      </c>
      <c r="X37" s="1808"/>
      <c r="Y37" s="3309"/>
      <c r="Z37" s="1809" t="str">
        <f t="shared" si="15"/>
        <v>内部装修状况</v>
      </c>
      <c r="AA37" s="1806">
        <f t="shared" si="3"/>
        <v>1</v>
      </c>
      <c r="AB37" s="1806">
        <f t="shared" si="4"/>
        <v>1</v>
      </c>
      <c r="AC37" s="1806">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309"/>
      <c r="Q38" s="774">
        <f t="shared" si="11"/>
        <v>111</v>
      </c>
      <c r="R38" s="775" t="s">
        <v>17</v>
      </c>
      <c r="S38" s="776">
        <f t="shared" si="12"/>
        <v>100</v>
      </c>
      <c r="T38" s="775" t="s">
        <v>17</v>
      </c>
      <c r="U38" s="776">
        <f t="shared" si="13"/>
        <v>100</v>
      </c>
      <c r="V38" s="775" t="s">
        <v>17</v>
      </c>
      <c r="W38" s="776">
        <f t="shared" si="14"/>
        <v>100</v>
      </c>
      <c r="X38" s="777"/>
      <c r="Y38" s="3309"/>
      <c r="Z38" s="778">
        <f t="shared" si="15"/>
        <v>111</v>
      </c>
      <c r="AA38" s="1806">
        <f t="shared" si="3"/>
        <v>1</v>
      </c>
      <c r="AB38" s="1806">
        <f t="shared" si="4"/>
        <v>1</v>
      </c>
      <c r="AC38" s="1806">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309"/>
      <c r="Q39" s="1805">
        <f t="shared" si="11"/>
        <v>111</v>
      </c>
      <c r="R39" s="772" t="s">
        <v>17</v>
      </c>
      <c r="S39" s="773">
        <f t="shared" si="12"/>
        <v>100</v>
      </c>
      <c r="T39" s="772" t="s">
        <v>17</v>
      </c>
      <c r="U39" s="773">
        <f t="shared" si="13"/>
        <v>100</v>
      </c>
      <c r="V39" s="772" t="s">
        <v>17</v>
      </c>
      <c r="W39" s="773">
        <f t="shared" si="14"/>
        <v>100</v>
      </c>
      <c r="X39" s="1808"/>
      <c r="Y39" s="3309"/>
      <c r="Z39" s="1809">
        <f t="shared" si="15"/>
        <v>111</v>
      </c>
      <c r="AA39" s="1806">
        <f t="shared" si="3"/>
        <v>1</v>
      </c>
      <c r="AB39" s="1806">
        <f t="shared" si="4"/>
        <v>1</v>
      </c>
      <c r="AC39" s="1806">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329"/>
      <c r="Q40" s="1805">
        <f t="shared" si="11"/>
        <v>111</v>
      </c>
      <c r="R40" s="772" t="s">
        <v>17</v>
      </c>
      <c r="S40" s="773">
        <f t="shared" si="12"/>
        <v>100</v>
      </c>
      <c r="T40" s="772" t="s">
        <v>17</v>
      </c>
      <c r="U40" s="773">
        <f t="shared" si="13"/>
        <v>100</v>
      </c>
      <c r="V40" s="772" t="s">
        <v>17</v>
      </c>
      <c r="W40" s="773">
        <f t="shared" si="14"/>
        <v>100</v>
      </c>
      <c r="X40" s="1808"/>
      <c r="Y40" s="3329"/>
      <c r="Z40" s="1809">
        <f t="shared" si="15"/>
        <v>111</v>
      </c>
      <c r="AA40" s="1806">
        <f t="shared" si="3"/>
        <v>1</v>
      </c>
      <c r="AB40" s="1806">
        <f t="shared" si="4"/>
        <v>1</v>
      </c>
      <c r="AC40" s="1806">
        <f t="shared" si="5"/>
        <v>1</v>
      </c>
    </row>
    <row r="41" spans="1:29" ht="15">
      <c r="A41" s="479" t="s">
        <v>2569</v>
      </c>
      <c r="B41" s="480"/>
      <c r="C41" s="1403" t="s">
        <v>1</v>
      </c>
      <c r="D41" s="1404"/>
      <c r="E41" s="1405"/>
      <c r="F41" s="1406"/>
      <c r="G41" s="1407"/>
      <c r="H41" s="1408"/>
      <c r="I41" s="1405"/>
      <c r="J41" s="1408"/>
      <c r="K41" s="781"/>
      <c r="L41" s="1139"/>
      <c r="M41" s="1140"/>
      <c r="N41" s="1127"/>
      <c r="O41" s="1140"/>
      <c r="P41" s="3291" t="str">
        <f>A41</f>
        <v>成交单价（元/平方米）</v>
      </c>
      <c r="Q41" s="3291"/>
      <c r="R41" s="3325">
        <f>E41</f>
        <v>0</v>
      </c>
      <c r="S41" s="3325"/>
      <c r="T41" s="3325">
        <f>G41</f>
        <v>0</v>
      </c>
      <c r="U41" s="3325"/>
      <c r="V41" s="3325">
        <f>I41</f>
        <v>0</v>
      </c>
      <c r="W41" s="3325"/>
      <c r="X41" s="757"/>
      <c r="Y41" s="779"/>
      <c r="Z41" s="757"/>
      <c r="AA41" s="757"/>
      <c r="AB41" s="757"/>
      <c r="AC41" s="757"/>
    </row>
    <row r="42" spans="1:29" ht="15.75" thickBot="1">
      <c r="A42" s="486" t="s">
        <v>2661</v>
      </c>
      <c r="B42" s="487"/>
      <c r="C42" s="1409" t="e">
        <f>R43</f>
        <v>#DIV/0!</v>
      </c>
      <c r="D42" s="1410"/>
      <c r="E42" s="1411" t="e">
        <f>R42</f>
        <v>#DIV/0!</v>
      </c>
      <c r="F42" s="1411"/>
      <c r="G42" s="1409" t="e">
        <f>T42</f>
        <v>#DIV/0!</v>
      </c>
      <c r="H42" s="1410"/>
      <c r="I42" s="1411" t="e">
        <f>V42</f>
        <v>#DIV/0!</v>
      </c>
      <c r="J42" s="1410"/>
      <c r="K42" s="782"/>
      <c r="L42" s="1139"/>
      <c r="M42" s="1140"/>
      <c r="N42" s="1127"/>
      <c r="O42" s="1140"/>
      <c r="P42" s="3291" t="str">
        <f>A42</f>
        <v>比较价值（元/平方米）</v>
      </c>
      <c r="Q42" s="3291"/>
      <c r="R42" s="3325" t="e">
        <f>IF(F1="售价",ROUND(PRODUCT(R41,AA7:AA40),0),ROUND(PRODUCT(R41,AA7:AA40),1))</f>
        <v>#DIV/0!</v>
      </c>
      <c r="S42" s="3325"/>
      <c r="T42" s="3325" t="e">
        <f>IF(F1="售价",ROUND(PRODUCT(T41,AB7:AB40),0),ROUND(PRODUCT(T41,AB7:AB40),1))</f>
        <v>#DIV/0!</v>
      </c>
      <c r="U42" s="3325"/>
      <c r="V42" s="3325" t="e">
        <f>IF(F1="售价",ROUND(PRODUCT(V41,AC7:AC40),0),ROUND(PRODUCT(V41,AC7:AC40),1))</f>
        <v>#DIV/0!</v>
      </c>
      <c r="W42" s="3325"/>
      <c r="X42" s="757"/>
      <c r="Y42" s="757"/>
      <c r="Z42" s="757"/>
      <c r="AA42" s="757"/>
      <c r="AB42" s="757"/>
      <c r="AC42" s="757"/>
    </row>
    <row r="43" spans="1:29" ht="15.75" thickBot="1">
      <c r="A43" s="492" t="s">
        <v>2662</v>
      </c>
      <c r="B43" s="493"/>
      <c r="C43" s="1413" t="e">
        <f>R43</f>
        <v>#DIV/0!</v>
      </c>
      <c r="D43" s="1413"/>
      <c r="E43" s="1413"/>
      <c r="F43" s="1413"/>
      <c r="G43" s="1413"/>
      <c r="H43" s="1413"/>
      <c r="I43" s="1413"/>
      <c r="J43" s="1413"/>
      <c r="K43" s="783"/>
      <c r="L43" s="1139"/>
      <c r="M43" s="1140"/>
      <c r="N43" s="1140"/>
      <c r="O43" s="1140"/>
      <c r="P43" s="3311" t="str">
        <f>A43</f>
        <v>估价对象XX用房的比较价值（楼面单价，元/平方米）</v>
      </c>
      <c r="Q43" s="3312"/>
      <c r="R43" s="3324" t="e">
        <f>IF(F1="售价",ROUND(AVERAGE(R42:V42),0),ROUND(AVERAGE(R42:V42),1))</f>
        <v>#DIV/0!</v>
      </c>
      <c r="S43" s="3324"/>
      <c r="T43" s="3324"/>
      <c r="U43" s="3324"/>
      <c r="V43" s="3324"/>
      <c r="W43" s="3324"/>
      <c r="X43" s="757"/>
      <c r="Y43" s="757"/>
      <c r="Z43" s="757"/>
      <c r="AA43" s="757"/>
      <c r="AB43" s="757"/>
      <c r="AC43" s="757"/>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1" t="s">
        <v>2666</v>
      </c>
      <c r="B51" s="757"/>
      <c r="C51" s="762"/>
      <c r="D51" s="762"/>
      <c r="E51" s="762"/>
      <c r="F51" s="763"/>
      <c r="G51" s="763"/>
      <c r="H51" s="762"/>
      <c r="I51" s="762"/>
      <c r="J51" s="762"/>
      <c r="K51" s="1156"/>
      <c r="L51" s="1157"/>
      <c r="M51" s="1155"/>
      <c r="N51" s="1155"/>
      <c r="O51" s="1155"/>
      <c r="P51" s="503"/>
      <c r="Q51" s="504"/>
    </row>
    <row r="52" spans="1:17" s="508" customFormat="1" ht="15">
      <c r="A52" s="505" t="s">
        <v>2540</v>
      </c>
      <c r="B52" s="506"/>
      <c r="C52" s="1569" t="str">
        <f>YEAR(C7)&amp;"-"&amp;MONTH(C7)</f>
        <v>2019-11</v>
      </c>
      <c r="D52" s="1570">
        <f>EDATE(C52,-1)</f>
        <v>43739</v>
      </c>
      <c r="E52" s="1570">
        <f t="shared" ref="E52:O52" si="16">EDATE(D52,-1)</f>
        <v>43709</v>
      </c>
      <c r="F52" s="1570">
        <f t="shared" si="16"/>
        <v>43678</v>
      </c>
      <c r="G52" s="1570">
        <f t="shared" si="16"/>
        <v>43647</v>
      </c>
      <c r="H52" s="1570">
        <f t="shared" si="16"/>
        <v>43617</v>
      </c>
      <c r="I52" s="1570">
        <f t="shared" si="16"/>
        <v>43586</v>
      </c>
      <c r="J52" s="1570">
        <f t="shared" si="16"/>
        <v>43556</v>
      </c>
      <c r="K52" s="1570">
        <f t="shared" si="16"/>
        <v>43525</v>
      </c>
      <c r="L52" s="1570">
        <f t="shared" si="16"/>
        <v>43497</v>
      </c>
      <c r="M52" s="1570">
        <f t="shared" si="16"/>
        <v>43466</v>
      </c>
      <c r="N52" s="1570">
        <f t="shared" si="16"/>
        <v>43435</v>
      </c>
      <c r="O52" s="1570">
        <f t="shared" si="16"/>
        <v>43405</v>
      </c>
      <c r="P52" s="507"/>
    </row>
    <row r="53" spans="1:17" s="117" customFormat="1" ht="15">
      <c r="A53" s="509"/>
      <c r="B53" s="510"/>
      <c r="C53" s="1568">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47"/>
      <c r="O55" s="1147"/>
      <c r="P55" s="526"/>
      <c r="Q55" s="504"/>
    </row>
    <row r="56" spans="1:17" s="117" customFormat="1" ht="15.75" thickBot="1">
      <c r="A56" s="521"/>
      <c r="B56" s="510"/>
      <c r="C56" s="638">
        <v>100</v>
      </c>
      <c r="D56" s="512"/>
      <c r="E56" s="512"/>
      <c r="F56" s="512"/>
      <c r="G56" s="512"/>
      <c r="H56" s="512"/>
      <c r="I56" s="512"/>
      <c r="J56" s="512"/>
      <c r="K56" s="512"/>
      <c r="L56" s="512"/>
      <c r="M56" s="514"/>
      <c r="N56" s="1147"/>
      <c r="O56" s="1147"/>
      <c r="P56" s="504"/>
      <c r="Q56" s="504"/>
    </row>
    <row r="57" spans="1:17">
      <c r="A57" s="527" t="s">
        <v>2580</v>
      </c>
      <c r="B57" s="528" t="s">
        <v>2546</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2681</v>
      </c>
      <c r="C76" s="659" t="s">
        <v>2667</v>
      </c>
      <c r="D76" s="659" t="s">
        <v>2668</v>
      </c>
      <c r="E76" s="659" t="s">
        <v>2669</v>
      </c>
      <c r="F76" s="659" t="s">
        <v>2670</v>
      </c>
      <c r="G76" s="659" t="s">
        <v>2671</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49"/>
      <c r="O77" s="1149"/>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27"/>
      <c r="B87" s="569"/>
      <c r="C87" s="570"/>
      <c r="D87" s="570"/>
      <c r="E87" s="570"/>
      <c r="F87" s="570"/>
      <c r="G87" s="591"/>
      <c r="H87" s="591"/>
      <c r="I87" s="591"/>
      <c r="J87" s="591"/>
      <c r="K87" s="591"/>
      <c r="L87" s="591"/>
      <c r="M87" s="592"/>
      <c r="N87" s="1149"/>
      <c r="O87" s="1149"/>
      <c r="P87" s="45"/>
      <c r="Q87" s="504"/>
    </row>
    <row r="88" spans="1:17">
      <c r="A88" s="527" t="s">
        <v>2555</v>
      </c>
      <c r="B88" s="528" t="s">
        <v>2604</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2606</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2608</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2"/>
      <c r="J98" s="622"/>
      <c r="K98" s="623"/>
      <c r="L98" s="624"/>
      <c r="M98" s="625"/>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2609</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2610</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2612</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5" t="s">
        <v>2698</v>
      </c>
      <c r="C106" s="578" t="s">
        <v>2589</v>
      </c>
      <c r="D106" s="578" t="s">
        <v>2590</v>
      </c>
      <c r="E106" s="578" t="s">
        <v>2591</v>
      </c>
      <c r="F106" s="578" t="s">
        <v>2592</v>
      </c>
      <c r="G106" s="578" t="s">
        <v>2593</v>
      </c>
      <c r="H106" s="539"/>
      <c r="I106" s="539"/>
      <c r="J106" s="539"/>
      <c r="K106" s="540"/>
      <c r="L106" s="541"/>
      <c r="M106" s="542"/>
      <c r="N106" s="1149"/>
      <c r="O106" s="1149"/>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27"/>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23" sqref="I2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2699</v>
      </c>
      <c r="B1" s="1614"/>
      <c r="C1" s="1615" t="s">
        <v>2522</v>
      </c>
      <c r="D1" s="1616"/>
      <c r="E1" s="1617"/>
      <c r="F1" s="2577"/>
      <c r="G1" s="1618" t="s">
        <v>2635</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2322</v>
      </c>
      <c r="B2" s="1414" t="e">
        <f ca="1">IF(C2="——",IF(B37="元/平方米",ROUND(C39*D3/10000,0),ROUND(F3*C39/10000,0)),IF(B37="元/平方米",ROUND(C39*D3/10000,0),ROUND(F3*C39/10000,0))-D2)</f>
        <v>#DIV/0!</v>
      </c>
      <c r="C2" s="2579"/>
      <c r="D2" s="1120" t="e">
        <f ca="1">SUMIF(INDIRECT("'"&amp;F2&amp;"'"&amp;"!A:A"),"承租人权益价值",INDIRECT("'"&amp;F2&amp;"'"&amp;"!c:c"))</f>
        <v>#REF!</v>
      </c>
      <c r="E2" s="2580" t="s">
        <v>2323</v>
      </c>
      <c r="F2" s="2581"/>
      <c r="G2" s="1121"/>
      <c r="H2" s="1121"/>
      <c r="I2" s="1121"/>
      <c r="J2" s="1121"/>
      <c r="K2" s="1123"/>
      <c r="L2" s="1124"/>
      <c r="M2" s="1125"/>
      <c r="N2" s="1125"/>
      <c r="O2" s="1125"/>
      <c r="P2" s="1415"/>
      <c r="Q2" s="766"/>
      <c r="R2" s="766"/>
      <c r="S2" s="766"/>
      <c r="T2" s="766"/>
      <c r="U2" s="766"/>
      <c r="V2" s="766"/>
      <c r="W2" s="766"/>
      <c r="X2" s="766"/>
      <c r="Y2" s="766"/>
      <c r="Z2" s="766"/>
      <c r="AA2" s="766"/>
      <c r="AB2" s="766"/>
      <c r="AC2" s="767"/>
    </row>
    <row r="3" spans="1:29" s="398" customFormat="1" ht="28.5" customHeight="1" thickBot="1">
      <c r="A3" s="247" t="s">
        <v>2324</v>
      </c>
      <c r="B3" s="609" t="e">
        <f ca="1">IF(AND(C2="——",B37="元/平方米"),C39,ROUND(B2*10000/D3,0))</f>
        <v>#DIV/0!</v>
      </c>
      <c r="C3" s="400" t="s">
        <v>2636</v>
      </c>
      <c r="D3" s="399">
        <f>SUMIF('数据-汇总表'!$C19:$C33,D1,'数据-汇总表'!$E19:$E33)</f>
        <v>0</v>
      </c>
      <c r="E3" s="400" t="s">
        <v>2700</v>
      </c>
      <c r="F3" s="399">
        <f>SUMIF('数据-取费表'!A5:A15,D1,'数据-取费表'!AH5:AH15)</f>
        <v>0</v>
      </c>
      <c r="G3" s="1121"/>
      <c r="H3" s="1121"/>
      <c r="I3" s="1121"/>
      <c r="J3" s="1121"/>
      <c r="K3" s="1123"/>
      <c r="L3" s="1124"/>
      <c r="M3" s="1125"/>
      <c r="N3" s="1125"/>
      <c r="O3" s="1125"/>
      <c r="P3" s="1415"/>
      <c r="Q3" s="766"/>
      <c r="R3" s="766"/>
      <c r="S3" s="766"/>
      <c r="T3" s="766"/>
      <c r="U3" s="766"/>
      <c r="V3" s="766"/>
      <c r="W3" s="766"/>
      <c r="X3" s="766"/>
      <c r="Y3" s="766"/>
      <c r="Z3" s="766"/>
      <c r="AA3" s="766"/>
      <c r="AB3" s="784"/>
      <c r="AC3" s="780"/>
    </row>
    <row r="4" spans="1:29" ht="15">
      <c r="A4" s="401" t="s">
        <v>2637</v>
      </c>
      <c r="B4" s="402"/>
      <c r="C4" s="3292" t="s">
        <v>2638</v>
      </c>
      <c r="D4" s="3293"/>
      <c r="E4" s="3294" t="s">
        <v>2639</v>
      </c>
      <c r="F4" s="3295"/>
      <c r="G4" s="3292" t="s">
        <v>2640</v>
      </c>
      <c r="H4" s="3293"/>
      <c r="I4" s="3292" t="s">
        <v>2641</v>
      </c>
      <c r="J4" s="3293"/>
      <c r="K4" s="610" t="s">
        <v>2642</v>
      </c>
      <c r="L4" s="1126"/>
      <c r="M4" s="1127"/>
      <c r="N4" s="1127"/>
      <c r="O4" s="1127"/>
      <c r="P4" s="3296" t="s">
        <v>2643</v>
      </c>
      <c r="Q4" s="3297"/>
      <c r="R4" s="3279" t="s">
        <v>2639</v>
      </c>
      <c r="S4" s="3280"/>
      <c r="T4" s="3279" t="s">
        <v>2640</v>
      </c>
      <c r="U4" s="3280"/>
      <c r="V4" s="3304" t="s">
        <v>2641</v>
      </c>
      <c r="W4" s="3304"/>
      <c r="X4" s="1808"/>
      <c r="Y4" s="3279" t="s">
        <v>2643</v>
      </c>
      <c r="Z4" s="3280"/>
      <c r="AA4" s="3274" t="s">
        <v>2639</v>
      </c>
      <c r="AB4" s="3275" t="s">
        <v>2640</v>
      </c>
      <c r="AC4" s="3274" t="s">
        <v>2641</v>
      </c>
    </row>
    <row r="5" spans="1:29" ht="15">
      <c r="A5" s="404"/>
      <c r="B5" s="405"/>
      <c r="C5" s="3285" t="s">
        <v>2534</v>
      </c>
      <c r="D5" s="3286"/>
      <c r="E5" s="3283" t="s">
        <v>2535</v>
      </c>
      <c r="F5" s="3284"/>
      <c r="G5" s="3285" t="s">
        <v>2536</v>
      </c>
      <c r="H5" s="3286"/>
      <c r="I5" s="3285" t="s">
        <v>2537</v>
      </c>
      <c r="J5" s="3286"/>
      <c r="K5" s="610"/>
      <c r="L5" s="1126"/>
      <c r="M5" s="1127"/>
      <c r="N5" s="1127"/>
      <c r="O5" s="1127"/>
      <c r="P5" s="3298"/>
      <c r="Q5" s="3299"/>
      <c r="R5" s="3281"/>
      <c r="S5" s="3282"/>
      <c r="T5" s="3281"/>
      <c r="U5" s="3282"/>
      <c r="V5" s="3304"/>
      <c r="W5" s="3304"/>
      <c r="X5" s="1808"/>
      <c r="Y5" s="3281"/>
      <c r="Z5" s="3282"/>
      <c r="AA5" s="3275"/>
      <c r="AB5" s="3275"/>
      <c r="AC5" s="3275"/>
    </row>
    <row r="6" spans="1:29" ht="15.75" thickBot="1">
      <c r="A6" s="406"/>
      <c r="B6" s="407"/>
      <c r="C6" s="3287" t="s">
        <v>2538</v>
      </c>
      <c r="D6" s="3288"/>
      <c r="E6" s="3289" t="s">
        <v>2538</v>
      </c>
      <c r="F6" s="3290"/>
      <c r="G6" s="3287" t="s">
        <v>2538</v>
      </c>
      <c r="H6" s="3288"/>
      <c r="I6" s="3287" t="s">
        <v>2538</v>
      </c>
      <c r="J6" s="3288"/>
      <c r="K6" s="610" t="s">
        <v>2539</v>
      </c>
      <c r="L6" s="1126"/>
      <c r="M6" s="1127"/>
      <c r="N6" s="1127"/>
      <c r="O6" s="1127"/>
      <c r="P6" s="3300"/>
      <c r="Q6" s="3301"/>
      <c r="R6" s="3281"/>
      <c r="S6" s="3282"/>
      <c r="T6" s="3302"/>
      <c r="U6" s="3303"/>
      <c r="V6" s="3304"/>
      <c r="W6" s="3304"/>
      <c r="X6" s="1808"/>
      <c r="Y6" s="3302"/>
      <c r="Z6" s="3303"/>
      <c r="AA6" s="3276"/>
      <c r="AB6" s="3276"/>
      <c r="AC6" s="3276"/>
    </row>
    <row r="7" spans="1:29" s="117" customFormat="1" ht="15.75" thickBot="1">
      <c r="A7" s="408" t="s">
        <v>2540</v>
      </c>
      <c r="B7" s="409"/>
      <c r="C7" s="410">
        <f>'数据-取费表'!B2</f>
        <v>43796</v>
      </c>
      <c r="D7" s="411">
        <v>100</v>
      </c>
      <c r="E7" s="412"/>
      <c r="F7" s="413">
        <f>SUMIF(48:48,YEAR(E7)&amp;"-"&amp;MONTH(E7),49:49)</f>
        <v>0</v>
      </c>
      <c r="G7" s="412"/>
      <c r="H7" s="411">
        <f>SUMIF(48:48,YEAR(G7)&amp;"-"&amp;MONTH(G7),49:49)</f>
        <v>0</v>
      </c>
      <c r="I7" s="412"/>
      <c r="J7" s="411">
        <f>SUMIF(48:48,YEAR(I7)&amp;"-"&amp;MONTH(I7),49:49)</f>
        <v>0</v>
      </c>
      <c r="K7" s="611"/>
      <c r="L7" s="1128"/>
      <c r="M7" s="1129"/>
      <c r="N7" s="1129"/>
      <c r="O7" s="1129"/>
      <c r="P7" s="3277" t="s">
        <v>2541</v>
      </c>
      <c r="Q7" s="3305"/>
      <c r="R7" s="768" t="s">
        <v>17</v>
      </c>
      <c r="S7" s="769">
        <f t="shared" ref="S7:S14" si="0">F7</f>
        <v>0</v>
      </c>
      <c r="T7" s="768" t="s">
        <v>17</v>
      </c>
      <c r="U7" s="769">
        <f t="shared" ref="U7:U14" si="1">H7</f>
        <v>0</v>
      </c>
      <c r="V7" s="768" t="s">
        <v>17</v>
      </c>
      <c r="W7" s="769">
        <f t="shared" ref="W7:W14" si="2">J7</f>
        <v>0</v>
      </c>
      <c r="X7" s="770"/>
      <c r="Y7" s="3277" t="s">
        <v>2541</v>
      </c>
      <c r="Z7" s="3278"/>
      <c r="AA7" s="771" t="e">
        <f>D7/F7</f>
        <v>#DIV/0!</v>
      </c>
      <c r="AB7" s="771" t="e">
        <f>D7/H7</f>
        <v>#DIV/0!</v>
      </c>
      <c r="AC7" s="771"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277" t="s">
        <v>2544</v>
      </c>
      <c r="Q8" s="3278"/>
      <c r="R8" s="768" t="s">
        <v>17</v>
      </c>
      <c r="S8" s="769">
        <f t="shared" si="0"/>
        <v>0</v>
      </c>
      <c r="T8" s="768" t="s">
        <v>17</v>
      </c>
      <c r="U8" s="769">
        <f t="shared" si="1"/>
        <v>0</v>
      </c>
      <c r="V8" s="768" t="s">
        <v>17</v>
      </c>
      <c r="W8" s="769">
        <f t="shared" si="2"/>
        <v>0</v>
      </c>
      <c r="X8" s="770"/>
      <c r="Y8" s="3277" t="s">
        <v>2544</v>
      </c>
      <c r="Z8" s="3278"/>
      <c r="AA8" s="771" t="e">
        <f t="shared" ref="AA8:AA36" si="3">D8/F8</f>
        <v>#DIV/0!</v>
      </c>
      <c r="AB8" s="771" t="e">
        <f t="shared" ref="AB8:AB36" si="4">D8/H8</f>
        <v>#DIV/0!</v>
      </c>
      <c r="AC8" s="771" t="e">
        <f t="shared" ref="AC8:AC36" si="5">D8/J8</f>
        <v>#DIV/0!</v>
      </c>
    </row>
    <row r="9" spans="1:29" s="117" customFormat="1">
      <c r="A9" s="68" t="s">
        <v>2545</v>
      </c>
      <c r="B9" s="639" t="s">
        <v>2546</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291" t="s">
        <v>2547</v>
      </c>
      <c r="Q9" s="1790" t="str">
        <f t="shared" ref="Q9:Q14" si="6">B9</f>
        <v>用途</v>
      </c>
      <c r="R9" s="768" t="s">
        <v>17</v>
      </c>
      <c r="S9" s="769">
        <f t="shared" si="0"/>
        <v>100</v>
      </c>
      <c r="T9" s="768" t="s">
        <v>17</v>
      </c>
      <c r="U9" s="769">
        <f t="shared" si="1"/>
        <v>100</v>
      </c>
      <c r="V9" s="768" t="s">
        <v>17</v>
      </c>
      <c r="W9" s="769">
        <f t="shared" si="2"/>
        <v>100</v>
      </c>
      <c r="X9" s="770"/>
      <c r="Y9" s="3136" t="s">
        <v>2548</v>
      </c>
      <c r="Z9" s="55" t="str">
        <f t="shared" ref="Z9:Z14" si="7">Q9</f>
        <v>用途</v>
      </c>
      <c r="AA9" s="771">
        <f t="shared" si="3"/>
        <v>1</v>
      </c>
      <c r="AB9" s="771">
        <f t="shared" si="4"/>
        <v>1</v>
      </c>
      <c r="AC9" s="771">
        <f t="shared" si="5"/>
        <v>1</v>
      </c>
    </row>
    <row r="10" spans="1:29" s="427" customFormat="1" ht="27">
      <c r="A10" s="640"/>
      <c r="B10" s="641" t="s">
        <v>2549</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291"/>
      <c r="Q10" s="1790" t="str">
        <f t="shared" si="6"/>
        <v>土地使用年限（年）</v>
      </c>
      <c r="R10" s="768" t="s">
        <v>17</v>
      </c>
      <c r="S10" s="769">
        <f t="shared" si="0"/>
        <v>100</v>
      </c>
      <c r="T10" s="768" t="s">
        <v>17</v>
      </c>
      <c r="U10" s="769">
        <f t="shared" si="1"/>
        <v>100</v>
      </c>
      <c r="V10" s="768" t="s">
        <v>17</v>
      </c>
      <c r="W10" s="769">
        <f t="shared" si="2"/>
        <v>100</v>
      </c>
      <c r="X10" s="770"/>
      <c r="Y10" s="3136"/>
      <c r="Z10" s="55" t="str">
        <f t="shared" si="7"/>
        <v>土地使用年限（年）</v>
      </c>
      <c r="AA10" s="771">
        <f t="shared" si="3"/>
        <v>1</v>
      </c>
      <c r="AB10" s="771">
        <f t="shared" si="4"/>
        <v>1</v>
      </c>
      <c r="AC10" s="771">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91"/>
      <c r="Q11" s="1790">
        <f t="shared" si="6"/>
        <v>111</v>
      </c>
      <c r="R11" s="768" t="s">
        <v>17</v>
      </c>
      <c r="S11" s="769">
        <f t="shared" si="0"/>
        <v>100</v>
      </c>
      <c r="T11" s="768" t="s">
        <v>17</v>
      </c>
      <c r="U11" s="769">
        <f t="shared" si="1"/>
        <v>100</v>
      </c>
      <c r="V11" s="768" t="s">
        <v>17</v>
      </c>
      <c r="W11" s="769">
        <f t="shared" si="2"/>
        <v>100</v>
      </c>
      <c r="X11" s="770"/>
      <c r="Y11" s="3136"/>
      <c r="Z11" s="55">
        <f t="shared" si="7"/>
        <v>111</v>
      </c>
      <c r="AA11" s="771">
        <f t="shared" si="3"/>
        <v>1</v>
      </c>
      <c r="AB11" s="771">
        <f t="shared" si="4"/>
        <v>1</v>
      </c>
      <c r="AC11" s="771">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91"/>
      <c r="Q12" s="1790">
        <f t="shared" si="6"/>
        <v>111</v>
      </c>
      <c r="R12" s="768" t="s">
        <v>17</v>
      </c>
      <c r="S12" s="769">
        <f t="shared" si="0"/>
        <v>100</v>
      </c>
      <c r="T12" s="768" t="s">
        <v>17</v>
      </c>
      <c r="U12" s="769">
        <f t="shared" si="1"/>
        <v>100</v>
      </c>
      <c r="V12" s="768" t="s">
        <v>17</v>
      </c>
      <c r="W12" s="769">
        <f t="shared" si="2"/>
        <v>100</v>
      </c>
      <c r="X12" s="770"/>
      <c r="Y12" s="3136"/>
      <c r="Z12" s="55">
        <f t="shared" si="7"/>
        <v>111</v>
      </c>
      <c r="AA12" s="771">
        <f>D12/F12</f>
        <v>1</v>
      </c>
      <c r="AB12" s="771">
        <f>D12/H12</f>
        <v>1</v>
      </c>
      <c r="AC12" s="771">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91"/>
      <c r="Q13" s="1790">
        <f t="shared" si="6"/>
        <v>111</v>
      </c>
      <c r="R13" s="768" t="s">
        <v>17</v>
      </c>
      <c r="S13" s="769">
        <f t="shared" si="0"/>
        <v>100</v>
      </c>
      <c r="T13" s="768" t="s">
        <v>17</v>
      </c>
      <c r="U13" s="769">
        <f t="shared" si="1"/>
        <v>100</v>
      </c>
      <c r="V13" s="768" t="s">
        <v>17</v>
      </c>
      <c r="W13" s="769">
        <f t="shared" si="2"/>
        <v>100</v>
      </c>
      <c r="X13" s="770"/>
      <c r="Y13" s="3136"/>
      <c r="Z13" s="55">
        <f t="shared" si="7"/>
        <v>111</v>
      </c>
      <c r="AA13" s="771">
        <f t="shared" si="3"/>
        <v>1</v>
      </c>
      <c r="AB13" s="771">
        <f t="shared" si="4"/>
        <v>1</v>
      </c>
      <c r="AC13" s="771">
        <f t="shared" si="5"/>
        <v>1</v>
      </c>
    </row>
    <row r="14" spans="1:29" ht="85.5">
      <c r="A14" s="401" t="s">
        <v>2551</v>
      </c>
      <c r="B14" s="628" t="s">
        <v>2701</v>
      </c>
      <c r="C14" s="268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306" t="s">
        <v>2552</v>
      </c>
      <c r="Q14" s="1805" t="str">
        <f t="shared" si="6"/>
        <v>交通便捷度</v>
      </c>
      <c r="R14" s="772" t="s">
        <v>17</v>
      </c>
      <c r="S14" s="773">
        <f t="shared" si="0"/>
        <v>100</v>
      </c>
      <c r="T14" s="772" t="s">
        <v>17</v>
      </c>
      <c r="U14" s="773">
        <f t="shared" si="1"/>
        <v>100</v>
      </c>
      <c r="V14" s="772" t="s">
        <v>17</v>
      </c>
      <c r="W14" s="773">
        <f t="shared" si="2"/>
        <v>100</v>
      </c>
      <c r="X14" s="1808"/>
      <c r="Y14" s="3306" t="s">
        <v>2552</v>
      </c>
      <c r="Z14" s="1809" t="str">
        <f t="shared" si="7"/>
        <v>交通便捷度</v>
      </c>
      <c r="AA14" s="1806">
        <f t="shared" si="3"/>
        <v>1</v>
      </c>
      <c r="AB14" s="1806">
        <f t="shared" si="4"/>
        <v>1</v>
      </c>
      <c r="AC14" s="1806">
        <f t="shared" si="5"/>
        <v>1</v>
      </c>
    </row>
    <row r="15" spans="1:29" ht="15">
      <c r="A15" s="404"/>
      <c r="B15" s="646"/>
      <c r="C15" s="447"/>
      <c r="D15" s="448"/>
      <c r="E15" s="447"/>
      <c r="F15" s="449"/>
      <c r="G15" s="447"/>
      <c r="H15" s="450"/>
      <c r="I15" s="447"/>
      <c r="J15" s="448"/>
      <c r="K15" s="615"/>
      <c r="L15" s="1136"/>
      <c r="M15" s="1127"/>
      <c r="N15" s="1127"/>
      <c r="O15" s="1127"/>
      <c r="P15" s="3307"/>
      <c r="Q15" s="1805"/>
      <c r="R15" s="772"/>
      <c r="S15" s="773"/>
      <c r="T15" s="772"/>
      <c r="U15" s="773"/>
      <c r="V15" s="772"/>
      <c r="W15" s="773"/>
      <c r="X15" s="1808"/>
      <c r="Y15" s="3307"/>
      <c r="Z15" s="1809"/>
      <c r="AA15" s="1806">
        <v>1</v>
      </c>
      <c r="AB15" s="1806">
        <v>1</v>
      </c>
      <c r="AC15" s="1806">
        <v>1</v>
      </c>
    </row>
    <row r="16" spans="1:29" ht="42.75">
      <c r="A16" s="404"/>
      <c r="B16" s="630" t="s">
        <v>2680</v>
      </c>
      <c r="C16" s="260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307"/>
      <c r="Q16" s="1805" t="str">
        <f>B16</f>
        <v>公共配套设施</v>
      </c>
      <c r="R16" s="772" t="s">
        <v>17</v>
      </c>
      <c r="S16" s="773">
        <f>F16</f>
        <v>100</v>
      </c>
      <c r="T16" s="772" t="s">
        <v>17</v>
      </c>
      <c r="U16" s="773">
        <f>H16</f>
        <v>100</v>
      </c>
      <c r="V16" s="772" t="s">
        <v>17</v>
      </c>
      <c r="W16" s="773">
        <f>J16</f>
        <v>100</v>
      </c>
      <c r="X16" s="1808"/>
      <c r="Y16" s="3307"/>
      <c r="Z16" s="1809" t="str">
        <f>Q16</f>
        <v>公共配套设施</v>
      </c>
      <c r="AA16" s="1806">
        <f t="shared" si="3"/>
        <v>1</v>
      </c>
      <c r="AB16" s="1806">
        <f t="shared" si="4"/>
        <v>1</v>
      </c>
      <c r="AC16" s="1806">
        <f t="shared" si="5"/>
        <v>1</v>
      </c>
    </row>
    <row r="17" spans="1:29" ht="15">
      <c r="A17" s="404"/>
      <c r="B17" s="631"/>
      <c r="C17" s="2601"/>
      <c r="D17" s="448"/>
      <c r="E17" s="447"/>
      <c r="F17" s="449"/>
      <c r="G17" s="447"/>
      <c r="H17" s="448"/>
      <c r="I17" s="447"/>
      <c r="J17" s="448"/>
      <c r="K17" s="615"/>
      <c r="L17" s="1136"/>
      <c r="M17" s="1127"/>
      <c r="N17" s="1127"/>
      <c r="O17" s="1127"/>
      <c r="P17" s="3307"/>
      <c r="Q17" s="1805"/>
      <c r="R17" s="772"/>
      <c r="S17" s="773"/>
      <c r="T17" s="772"/>
      <c r="U17" s="773"/>
      <c r="V17" s="772"/>
      <c r="W17" s="773"/>
      <c r="X17" s="1808"/>
      <c r="Y17" s="3307"/>
      <c r="Z17" s="1809"/>
      <c r="AA17" s="1806">
        <v>1</v>
      </c>
      <c r="AB17" s="1806">
        <v>1</v>
      </c>
      <c r="AC17" s="1806">
        <v>1</v>
      </c>
    </row>
    <row r="18" spans="1:29" ht="28.5">
      <c r="A18" s="404"/>
      <c r="B18" s="632" t="s">
        <v>2681</v>
      </c>
      <c r="C18" s="260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307"/>
      <c r="Q18" s="1805" t="str">
        <f>B18</f>
        <v>基础设施水平</v>
      </c>
      <c r="R18" s="772" t="s">
        <v>17</v>
      </c>
      <c r="S18" s="773">
        <f>F18</f>
        <v>100</v>
      </c>
      <c r="T18" s="772" t="s">
        <v>17</v>
      </c>
      <c r="U18" s="773">
        <f>H18</f>
        <v>100</v>
      </c>
      <c r="V18" s="772" t="s">
        <v>17</v>
      </c>
      <c r="W18" s="773">
        <f>J18</f>
        <v>100</v>
      </c>
      <c r="X18" s="1808"/>
      <c r="Y18" s="3307"/>
      <c r="Z18" s="1809" t="str">
        <f>Q18</f>
        <v>基础设施水平</v>
      </c>
      <c r="AA18" s="1806">
        <f t="shared" ref="AA18" si="8">D18/F18</f>
        <v>1</v>
      </c>
      <c r="AB18" s="1806">
        <f t="shared" ref="AB18" si="9">D18/H18</f>
        <v>1</v>
      </c>
      <c r="AC18" s="1806">
        <f t="shared" ref="AC18" si="10">D18/J18</f>
        <v>1</v>
      </c>
    </row>
    <row r="19" spans="1:29" ht="15">
      <c r="A19" s="404"/>
      <c r="B19" s="632"/>
      <c r="C19" s="2601"/>
      <c r="D19" s="450"/>
      <c r="E19" s="2601"/>
      <c r="F19" s="453"/>
      <c r="G19" s="2601"/>
      <c r="H19" s="448"/>
      <c r="I19" s="447"/>
      <c r="J19" s="448"/>
      <c r="K19" s="1379"/>
      <c r="L19" s="1136"/>
      <c r="M19" s="1127"/>
      <c r="N19" s="1127"/>
      <c r="O19" s="1127"/>
      <c r="P19" s="3307"/>
      <c r="Q19" s="1805"/>
      <c r="R19" s="772"/>
      <c r="S19" s="773"/>
      <c r="T19" s="772"/>
      <c r="U19" s="773"/>
      <c r="V19" s="772"/>
      <c r="W19" s="773"/>
      <c r="X19" s="1808"/>
      <c r="Y19" s="3307"/>
      <c r="Z19" s="1809"/>
      <c r="AA19" s="1806">
        <v>1</v>
      </c>
      <c r="AB19" s="1806">
        <v>1</v>
      </c>
      <c r="AC19" s="1806">
        <v>1</v>
      </c>
    </row>
    <row r="20" spans="1:29" ht="57">
      <c r="A20" s="404"/>
      <c r="B20" s="630" t="s">
        <v>2702</v>
      </c>
      <c r="C20" s="260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307"/>
      <c r="Q20" s="1805" t="str">
        <f>B20</f>
        <v>自然及人文环境</v>
      </c>
      <c r="R20" s="772" t="s">
        <v>17</v>
      </c>
      <c r="S20" s="773">
        <f>F20</f>
        <v>100</v>
      </c>
      <c r="T20" s="772" t="s">
        <v>17</v>
      </c>
      <c r="U20" s="773">
        <f>H20</f>
        <v>100</v>
      </c>
      <c r="V20" s="772" t="s">
        <v>17</v>
      </c>
      <c r="W20" s="773">
        <f>J20</f>
        <v>100</v>
      </c>
      <c r="X20" s="1808"/>
      <c r="Y20" s="3307"/>
      <c r="Z20" s="1809" t="str">
        <f>Q20</f>
        <v>自然及人文环境</v>
      </c>
      <c r="AA20" s="1806">
        <f t="shared" si="3"/>
        <v>1</v>
      </c>
      <c r="AB20" s="1806">
        <f t="shared" si="4"/>
        <v>1</v>
      </c>
      <c r="AC20" s="1806">
        <f t="shared" si="5"/>
        <v>1</v>
      </c>
    </row>
    <row r="21" spans="1:29" ht="15">
      <c r="A21" s="404"/>
      <c r="B21" s="631"/>
      <c r="C21" s="447"/>
      <c r="D21" s="448"/>
      <c r="E21" s="447"/>
      <c r="F21" s="449"/>
      <c r="G21" s="447"/>
      <c r="H21" s="448"/>
      <c r="I21" s="447"/>
      <c r="J21" s="448"/>
      <c r="K21" s="615"/>
      <c r="L21" s="1136"/>
      <c r="M21" s="1127"/>
      <c r="N21" s="1127"/>
      <c r="O21" s="1127"/>
      <c r="P21" s="3307"/>
      <c r="Q21" s="1805"/>
      <c r="R21" s="772"/>
      <c r="S21" s="773"/>
      <c r="T21" s="772"/>
      <c r="U21" s="773"/>
      <c r="V21" s="772"/>
      <c r="W21" s="773"/>
      <c r="X21" s="1808"/>
      <c r="Y21" s="3307"/>
      <c r="Z21" s="1809"/>
      <c r="AA21" s="1806">
        <v>1</v>
      </c>
      <c r="AB21" s="1806">
        <v>1</v>
      </c>
      <c r="AC21" s="1806">
        <v>1</v>
      </c>
    </row>
    <row r="22" spans="1:29" ht="15">
      <c r="A22" s="404"/>
      <c r="B22" s="630" t="s">
        <v>2703</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307"/>
      <c r="Q22" s="1805" t="str">
        <f>B22</f>
        <v>楼层</v>
      </c>
      <c r="R22" s="772" t="s">
        <v>17</v>
      </c>
      <c r="S22" s="773">
        <f>F22</f>
        <v>100</v>
      </c>
      <c r="T22" s="772" t="s">
        <v>17</v>
      </c>
      <c r="U22" s="773">
        <f>H22</f>
        <v>100</v>
      </c>
      <c r="V22" s="772" t="s">
        <v>17</v>
      </c>
      <c r="W22" s="773">
        <f>J22</f>
        <v>100</v>
      </c>
      <c r="X22" s="1808"/>
      <c r="Y22" s="3307"/>
      <c r="Z22" s="1809" t="str">
        <f>Q22</f>
        <v>楼层</v>
      </c>
      <c r="AA22" s="1806">
        <f t="shared" si="3"/>
        <v>1</v>
      </c>
      <c r="AB22" s="1806">
        <f t="shared" si="4"/>
        <v>1</v>
      </c>
      <c r="AC22" s="1806">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307"/>
      <c r="Q23" s="1805">
        <f>B23</f>
        <v>111</v>
      </c>
      <c r="R23" s="772" t="s">
        <v>17</v>
      </c>
      <c r="S23" s="773">
        <f>F23</f>
        <v>100</v>
      </c>
      <c r="T23" s="772" t="s">
        <v>17</v>
      </c>
      <c r="U23" s="773">
        <f>H23</f>
        <v>100</v>
      </c>
      <c r="V23" s="772" t="s">
        <v>17</v>
      </c>
      <c r="W23" s="773">
        <f>J23</f>
        <v>100</v>
      </c>
      <c r="X23" s="1808"/>
      <c r="Y23" s="3307"/>
      <c r="Z23" s="1809">
        <f>Q23</f>
        <v>111</v>
      </c>
      <c r="AA23" s="1806">
        <f t="shared" si="3"/>
        <v>1</v>
      </c>
      <c r="AB23" s="1806">
        <f t="shared" si="4"/>
        <v>1</v>
      </c>
      <c r="AC23" s="1806">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307"/>
      <c r="Q24" s="1805">
        <f t="shared" ref="Q24:Q36" si="11">B24</f>
        <v>111</v>
      </c>
      <c r="R24" s="772" t="s">
        <v>17</v>
      </c>
      <c r="S24" s="773">
        <f>F24</f>
        <v>100</v>
      </c>
      <c r="T24" s="772" t="s">
        <v>17</v>
      </c>
      <c r="U24" s="773">
        <f>H24</f>
        <v>100</v>
      </c>
      <c r="V24" s="772" t="s">
        <v>17</v>
      </c>
      <c r="W24" s="773">
        <f>J24</f>
        <v>100</v>
      </c>
      <c r="X24" s="1808"/>
      <c r="Y24" s="3307"/>
      <c r="Z24" s="1809">
        <f>Q24</f>
        <v>111</v>
      </c>
      <c r="AA24" s="1806">
        <f t="shared" si="3"/>
        <v>1</v>
      </c>
      <c r="AB24" s="1806">
        <f t="shared" si="4"/>
        <v>1</v>
      </c>
      <c r="AC24" s="1806">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28"/>
      <c r="M25" s="1129"/>
      <c r="N25" s="1129"/>
      <c r="O25" s="1129"/>
      <c r="P25" s="3307"/>
      <c r="Q25" s="1790">
        <f t="shared" si="11"/>
        <v>111</v>
      </c>
      <c r="R25" s="768" t="s">
        <v>17</v>
      </c>
      <c r="S25" s="769">
        <f>F25</f>
        <v>100</v>
      </c>
      <c r="T25" s="768" t="s">
        <v>17</v>
      </c>
      <c r="U25" s="769">
        <f>H25</f>
        <v>100</v>
      </c>
      <c r="V25" s="768" t="s">
        <v>17</v>
      </c>
      <c r="W25" s="769">
        <f>J25</f>
        <v>100</v>
      </c>
      <c r="X25" s="770"/>
      <c r="Y25" s="3307"/>
      <c r="Z25" s="55">
        <f>Q25</f>
        <v>111</v>
      </c>
      <c r="AA25" s="1806">
        <f>D25/F25</f>
        <v>1</v>
      </c>
      <c r="AB25" s="1806">
        <f>D25/H25</f>
        <v>1</v>
      </c>
      <c r="AC25" s="1806">
        <f>D25/J25</f>
        <v>1</v>
      </c>
    </row>
    <row r="26" spans="1:29" ht="28.5">
      <c r="A26" s="651" t="s">
        <v>2555</v>
      </c>
      <c r="B26" s="70" t="s">
        <v>2704</v>
      </c>
      <c r="C26" s="2685">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308" t="s">
        <v>2557</v>
      </c>
      <c r="Q26" s="1805" t="str">
        <f t="shared" si="11"/>
        <v>配套类型</v>
      </c>
      <c r="R26" s="772" t="s">
        <v>17</v>
      </c>
      <c r="S26" s="773">
        <f t="shared" ref="S26:S36" si="12">F26</f>
        <v>100</v>
      </c>
      <c r="T26" s="772" t="s">
        <v>17</v>
      </c>
      <c r="U26" s="773">
        <f t="shared" ref="U26:U36" si="13">H26</f>
        <v>100</v>
      </c>
      <c r="V26" s="772" t="s">
        <v>17</v>
      </c>
      <c r="W26" s="773">
        <f t="shared" ref="W26:W36" si="14">J26</f>
        <v>100</v>
      </c>
      <c r="X26" s="1808"/>
      <c r="Y26" s="3309" t="s">
        <v>2557</v>
      </c>
      <c r="Z26" s="1809" t="str">
        <f t="shared" ref="Z26:Z36" si="15">Q26</f>
        <v>配套类型</v>
      </c>
      <c r="AA26" s="1806">
        <f t="shared" si="3"/>
        <v>1</v>
      </c>
      <c r="AB26" s="1806">
        <f t="shared" si="4"/>
        <v>1</v>
      </c>
      <c r="AC26" s="1806">
        <f t="shared" si="5"/>
        <v>1</v>
      </c>
    </row>
    <row r="27" spans="1:29" s="471" customFormat="1" ht="15">
      <c r="A27" s="652"/>
      <c r="B27" s="653" t="s">
        <v>2705</v>
      </c>
      <c r="C27" s="654"/>
      <c r="D27" s="136">
        <v>100</v>
      </c>
      <c r="E27" s="654"/>
      <c r="F27" s="461">
        <f>SUMIF(81:81,E27,82:82)-SUMIF(81:81,C27,82:82)+100</f>
        <v>100</v>
      </c>
      <c r="G27" s="654"/>
      <c r="H27" s="435">
        <f>SUMIF(81:81,G27,82:82)-SUMIF(81:81,C27,82:82)+100</f>
        <v>100</v>
      </c>
      <c r="I27" s="654"/>
      <c r="J27" s="435">
        <f>SUMIF(81:81,I27,82:82)-SUMIF(81:81,C27,82:82)+100</f>
        <v>100</v>
      </c>
      <c r="K27" s="613"/>
      <c r="L27" s="1134"/>
      <c r="M27" s="1137"/>
      <c r="N27" s="1137"/>
      <c r="O27" s="1137"/>
      <c r="P27" s="3309"/>
      <c r="Q27" s="774" t="str">
        <f t="shared" si="11"/>
        <v>项目停车位配比</v>
      </c>
      <c r="R27" s="775" t="s">
        <v>17</v>
      </c>
      <c r="S27" s="776">
        <f t="shared" si="12"/>
        <v>100</v>
      </c>
      <c r="T27" s="775" t="s">
        <v>17</v>
      </c>
      <c r="U27" s="776">
        <f t="shared" si="13"/>
        <v>100</v>
      </c>
      <c r="V27" s="775" t="s">
        <v>17</v>
      </c>
      <c r="W27" s="776">
        <f t="shared" si="14"/>
        <v>100</v>
      </c>
      <c r="X27" s="777"/>
      <c r="Y27" s="3309"/>
      <c r="Z27" s="778" t="str">
        <f t="shared" si="15"/>
        <v>项目停车位配比</v>
      </c>
      <c r="AA27" s="1806">
        <f t="shared" si="3"/>
        <v>1</v>
      </c>
      <c r="AB27" s="1806">
        <f t="shared" si="4"/>
        <v>1</v>
      </c>
      <c r="AC27" s="1806">
        <f t="shared" si="5"/>
        <v>1</v>
      </c>
    </row>
    <row r="28" spans="1:29" ht="15">
      <c r="A28" s="655"/>
      <c r="B28" s="653" t="s">
        <v>2706</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309"/>
      <c r="Q28" s="1805" t="str">
        <f t="shared" si="11"/>
        <v>公共部分装修</v>
      </c>
      <c r="R28" s="772" t="s">
        <v>17</v>
      </c>
      <c r="S28" s="773">
        <f t="shared" si="12"/>
        <v>100</v>
      </c>
      <c r="T28" s="772" t="s">
        <v>17</v>
      </c>
      <c r="U28" s="773">
        <f t="shared" si="13"/>
        <v>100</v>
      </c>
      <c r="V28" s="772" t="s">
        <v>17</v>
      </c>
      <c r="W28" s="773">
        <f t="shared" si="14"/>
        <v>100</v>
      </c>
      <c r="X28" s="1808"/>
      <c r="Y28" s="3309"/>
      <c r="Z28" s="1809" t="str">
        <f t="shared" si="15"/>
        <v>公共部分装修</v>
      </c>
      <c r="AA28" s="1806">
        <f t="shared" si="3"/>
        <v>1</v>
      </c>
      <c r="AB28" s="1806">
        <f t="shared" si="4"/>
        <v>1</v>
      </c>
      <c r="AC28" s="1806">
        <f t="shared" si="5"/>
        <v>1</v>
      </c>
    </row>
    <row r="29" spans="1:29" ht="15">
      <c r="A29" s="655"/>
      <c r="B29" s="653"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309"/>
      <c r="Q29" s="1805" t="str">
        <f t="shared" si="11"/>
        <v>成新率</v>
      </c>
      <c r="R29" s="772" t="s">
        <v>17</v>
      </c>
      <c r="S29" s="773" t="e">
        <f t="shared" si="12"/>
        <v>#N/A</v>
      </c>
      <c r="T29" s="772" t="s">
        <v>17</v>
      </c>
      <c r="U29" s="773" t="e">
        <f t="shared" si="13"/>
        <v>#N/A</v>
      </c>
      <c r="V29" s="772" t="s">
        <v>17</v>
      </c>
      <c r="W29" s="773" t="e">
        <f t="shared" si="14"/>
        <v>#N/A</v>
      </c>
      <c r="X29" s="1808"/>
      <c r="Y29" s="3309"/>
      <c r="Z29" s="1809" t="str">
        <f t="shared" si="15"/>
        <v>成新率</v>
      </c>
      <c r="AA29" s="1806" t="e">
        <f t="shared" si="3"/>
        <v>#N/A</v>
      </c>
      <c r="AB29" s="1806" t="e">
        <f t="shared" si="4"/>
        <v>#N/A</v>
      </c>
      <c r="AC29" s="1806" t="e">
        <f t="shared" si="5"/>
        <v>#N/A</v>
      </c>
    </row>
    <row r="30" spans="1:29" ht="15">
      <c r="A30" s="655"/>
      <c r="B30" s="653" t="s">
        <v>2708</v>
      </c>
      <c r="C30" s="656"/>
      <c r="D30" s="435">
        <v>100</v>
      </c>
      <c r="E30" s="656"/>
      <c r="F30" s="461">
        <f>SUMIF(88:88,E30,89:89)-SUMIF(88:88,C30,89:89)+100</f>
        <v>100</v>
      </c>
      <c r="G30" s="656"/>
      <c r="H30" s="435">
        <f>SUMIF(88:88,E30,89:89)-SUMIF(88:88,C30,89:89)+100</f>
        <v>100</v>
      </c>
      <c r="I30" s="656"/>
      <c r="J30" s="435">
        <f>SUMIF(88:88,E30,89:89)-SUMIF(88:88,C30,89:89)+100</f>
        <v>100</v>
      </c>
      <c r="K30" s="612"/>
      <c r="L30" s="1136"/>
      <c r="M30" s="1127"/>
      <c r="N30" s="1127"/>
      <c r="O30" s="1127"/>
      <c r="P30" s="3309"/>
      <c r="Q30" s="1805" t="str">
        <f t="shared" si="11"/>
        <v>物业等级</v>
      </c>
      <c r="R30" s="772" t="s">
        <v>17</v>
      </c>
      <c r="S30" s="773">
        <f t="shared" si="12"/>
        <v>100</v>
      </c>
      <c r="T30" s="772" t="s">
        <v>17</v>
      </c>
      <c r="U30" s="773">
        <f t="shared" si="13"/>
        <v>100</v>
      </c>
      <c r="V30" s="772" t="s">
        <v>17</v>
      </c>
      <c r="W30" s="773">
        <f t="shared" si="14"/>
        <v>100</v>
      </c>
      <c r="X30" s="1808"/>
      <c r="Y30" s="3309"/>
      <c r="Z30" s="1809" t="str">
        <f t="shared" si="15"/>
        <v>物业等级</v>
      </c>
      <c r="AA30" s="1806">
        <f t="shared" si="3"/>
        <v>1</v>
      </c>
      <c r="AB30" s="1806">
        <f t="shared" si="4"/>
        <v>1</v>
      </c>
      <c r="AC30" s="1806">
        <f t="shared" si="5"/>
        <v>1</v>
      </c>
    </row>
    <row r="31" spans="1:29" s="117" customFormat="1" ht="15">
      <c r="A31" s="657"/>
      <c r="B31" s="653"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309"/>
      <c r="Q31" s="1790" t="str">
        <f t="shared" si="11"/>
        <v>停车位面积</v>
      </c>
      <c r="R31" s="768" t="s">
        <v>17</v>
      </c>
      <c r="S31" s="769" t="e">
        <f t="shared" si="12"/>
        <v>#N/A</v>
      </c>
      <c r="T31" s="768" t="s">
        <v>17</v>
      </c>
      <c r="U31" s="769" t="e">
        <f t="shared" si="13"/>
        <v>#N/A</v>
      </c>
      <c r="V31" s="768" t="s">
        <v>17</v>
      </c>
      <c r="W31" s="769" t="e">
        <f t="shared" si="14"/>
        <v>#N/A</v>
      </c>
      <c r="X31" s="770"/>
      <c r="Y31" s="3309"/>
      <c r="Z31" s="55" t="str">
        <f t="shared" si="15"/>
        <v>停车位面积</v>
      </c>
      <c r="AA31" s="771" t="e">
        <f t="shared" si="3"/>
        <v>#N/A</v>
      </c>
      <c r="AB31" s="771" t="e">
        <f t="shared" si="4"/>
        <v>#N/A</v>
      </c>
      <c r="AC31" s="771" t="e">
        <f t="shared" si="5"/>
        <v>#N/A</v>
      </c>
    </row>
    <row r="32" spans="1:29" ht="15">
      <c r="A32" s="655"/>
      <c r="B32" s="653" t="s">
        <v>2710</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309" t="s">
        <v>2557</v>
      </c>
      <c r="Q32" s="1805" t="str">
        <f t="shared" si="11"/>
        <v>车位类型</v>
      </c>
      <c r="R32" s="772" t="s">
        <v>17</v>
      </c>
      <c r="S32" s="773">
        <f t="shared" si="12"/>
        <v>100</v>
      </c>
      <c r="T32" s="772" t="s">
        <v>17</v>
      </c>
      <c r="U32" s="773">
        <f t="shared" si="13"/>
        <v>100</v>
      </c>
      <c r="V32" s="772" t="s">
        <v>17</v>
      </c>
      <c r="W32" s="773">
        <f t="shared" si="14"/>
        <v>100</v>
      </c>
      <c r="X32" s="1808"/>
      <c r="Y32" s="3309" t="s">
        <v>2557</v>
      </c>
      <c r="Z32" s="1809" t="str">
        <f t="shared" si="15"/>
        <v>车位类型</v>
      </c>
      <c r="AA32" s="1806">
        <f t="shared" si="3"/>
        <v>1</v>
      </c>
      <c r="AB32" s="1806">
        <f t="shared" si="4"/>
        <v>1</v>
      </c>
      <c r="AC32" s="1806">
        <f t="shared" si="5"/>
        <v>1</v>
      </c>
    </row>
    <row r="33" spans="1:29" ht="15">
      <c r="A33" s="655"/>
      <c r="B33" s="653" t="s">
        <v>2711</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309"/>
      <c r="Q33" s="1805" t="str">
        <f t="shared" si="11"/>
        <v>是否直接入户</v>
      </c>
      <c r="R33" s="772" t="s">
        <v>17</v>
      </c>
      <c r="S33" s="773">
        <f t="shared" si="12"/>
        <v>100</v>
      </c>
      <c r="T33" s="772" t="s">
        <v>17</v>
      </c>
      <c r="U33" s="773">
        <f t="shared" si="13"/>
        <v>100</v>
      </c>
      <c r="V33" s="772" t="s">
        <v>17</v>
      </c>
      <c r="W33" s="773">
        <f t="shared" si="14"/>
        <v>100</v>
      </c>
      <c r="X33" s="1808"/>
      <c r="Y33" s="3309"/>
      <c r="Z33" s="1809" t="str">
        <f t="shared" si="15"/>
        <v>是否直接入户</v>
      </c>
      <c r="AA33" s="1806">
        <f t="shared" si="3"/>
        <v>1</v>
      </c>
      <c r="AB33" s="1806">
        <f t="shared" si="4"/>
        <v>1</v>
      </c>
      <c r="AC33" s="1806">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309"/>
      <c r="Q34" s="1805">
        <f t="shared" si="11"/>
        <v>111</v>
      </c>
      <c r="R34" s="772" t="s">
        <v>17</v>
      </c>
      <c r="S34" s="773">
        <f t="shared" si="12"/>
        <v>100</v>
      </c>
      <c r="T34" s="772" t="s">
        <v>17</v>
      </c>
      <c r="U34" s="773">
        <f t="shared" si="13"/>
        <v>100</v>
      </c>
      <c r="V34" s="772" t="s">
        <v>17</v>
      </c>
      <c r="W34" s="773">
        <f t="shared" si="14"/>
        <v>100</v>
      </c>
      <c r="X34" s="1808"/>
      <c r="Y34" s="3309"/>
      <c r="Z34" s="1809">
        <f t="shared" si="15"/>
        <v>111</v>
      </c>
      <c r="AA34" s="1806">
        <f t="shared" si="3"/>
        <v>1</v>
      </c>
      <c r="AB34" s="1806">
        <f t="shared" si="4"/>
        <v>1</v>
      </c>
      <c r="AC34" s="1806">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309"/>
      <c r="Q35" s="774">
        <f t="shared" si="11"/>
        <v>111</v>
      </c>
      <c r="R35" s="775" t="s">
        <v>17</v>
      </c>
      <c r="S35" s="776">
        <f t="shared" si="12"/>
        <v>100</v>
      </c>
      <c r="T35" s="775" t="s">
        <v>17</v>
      </c>
      <c r="U35" s="776">
        <f t="shared" si="13"/>
        <v>100</v>
      </c>
      <c r="V35" s="775" t="s">
        <v>17</v>
      </c>
      <c r="W35" s="776">
        <f t="shared" si="14"/>
        <v>100</v>
      </c>
      <c r="X35" s="777"/>
      <c r="Y35" s="3309"/>
      <c r="Z35" s="778">
        <f t="shared" si="15"/>
        <v>111</v>
      </c>
      <c r="AA35" s="1806">
        <f t="shared" si="3"/>
        <v>1</v>
      </c>
      <c r="AB35" s="1806">
        <f t="shared" si="4"/>
        <v>1</v>
      </c>
      <c r="AC35" s="1806">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309"/>
      <c r="Q36" s="1805">
        <f t="shared" si="11"/>
        <v>111</v>
      </c>
      <c r="R36" s="772" t="s">
        <v>17</v>
      </c>
      <c r="S36" s="773">
        <f t="shared" si="12"/>
        <v>100</v>
      </c>
      <c r="T36" s="772" t="s">
        <v>17</v>
      </c>
      <c r="U36" s="773">
        <f t="shared" si="13"/>
        <v>100</v>
      </c>
      <c r="V36" s="772" t="s">
        <v>17</v>
      </c>
      <c r="W36" s="773">
        <f t="shared" si="14"/>
        <v>100</v>
      </c>
      <c r="X36" s="1808"/>
      <c r="Y36" s="3309"/>
      <c r="Z36" s="1809">
        <f t="shared" si="15"/>
        <v>111</v>
      </c>
      <c r="AA36" s="1806">
        <f t="shared" si="3"/>
        <v>1</v>
      </c>
      <c r="AB36" s="1806">
        <f t="shared" si="4"/>
        <v>1</v>
      </c>
      <c r="AC36" s="1806">
        <f t="shared" si="5"/>
        <v>1</v>
      </c>
    </row>
    <row r="37" spans="1:29" ht="15">
      <c r="A37" s="479" t="s">
        <v>2712</v>
      </c>
      <c r="B37" s="2686" t="s">
        <v>2713</v>
      </c>
      <c r="C37" s="1403" t="s">
        <v>1</v>
      </c>
      <c r="D37" s="1404"/>
      <c r="E37" s="1405"/>
      <c r="F37" s="1406"/>
      <c r="G37" s="1407"/>
      <c r="H37" s="1408"/>
      <c r="I37" s="1405"/>
      <c r="J37" s="1408"/>
      <c r="K37" s="618"/>
      <c r="L37" s="1139"/>
      <c r="M37" s="1140"/>
      <c r="N37" s="1127"/>
      <c r="O37" s="1140"/>
      <c r="P37" s="3291" t="str">
        <f>A37</f>
        <v>成交单价</v>
      </c>
      <c r="Q37" s="3291"/>
      <c r="R37" s="3325">
        <f>E37</f>
        <v>0</v>
      </c>
      <c r="S37" s="3325"/>
      <c r="T37" s="3325">
        <f>G37</f>
        <v>0</v>
      </c>
      <c r="U37" s="3325"/>
      <c r="V37" s="3325">
        <f>I37</f>
        <v>0</v>
      </c>
      <c r="W37" s="3325"/>
      <c r="X37" s="757"/>
      <c r="Y37" s="779"/>
      <c r="Z37" s="757"/>
      <c r="AA37" s="757"/>
      <c r="AB37" s="757"/>
      <c r="AC37" s="757"/>
    </row>
    <row r="38" spans="1:29" ht="15.75" thickBot="1">
      <c r="A38" s="486" t="s">
        <v>2714</v>
      </c>
      <c r="B38" s="487" t="str">
        <f>B37</f>
        <v>元/车位</v>
      </c>
      <c r="C38" s="1409" t="e">
        <f>R39</f>
        <v>#DIV/0!</v>
      </c>
      <c r="D38" s="1410"/>
      <c r="E38" s="1411" t="e">
        <f>R38</f>
        <v>#DIV/0!</v>
      </c>
      <c r="F38" s="1411"/>
      <c r="G38" s="1409" t="e">
        <f>T38</f>
        <v>#DIV/0!</v>
      </c>
      <c r="H38" s="1410"/>
      <c r="I38" s="1411" t="e">
        <f>V38</f>
        <v>#DIV/0!</v>
      </c>
      <c r="J38" s="1410"/>
      <c r="K38" s="619"/>
      <c r="L38" s="1139"/>
      <c r="M38" s="1140"/>
      <c r="N38" s="1140"/>
      <c r="O38" s="1140"/>
      <c r="P38" s="3291" t="str">
        <f>A38</f>
        <v>比较价值（元/平方米）</v>
      </c>
      <c r="Q38" s="3291"/>
      <c r="R38" s="3325" t="e">
        <f>IF(F1="售价",ROUND(PRODUCT(R37,AA7:AA36),0),ROUND(PRODUCT(R37,AA7:AA36),1))</f>
        <v>#DIV/0!</v>
      </c>
      <c r="S38" s="3325"/>
      <c r="T38" s="3325" t="e">
        <f>IF(F1="售价",ROUND(PRODUCT(T37,AB7:AB36),0),ROUND(PRODUCT(T37,AB7:AB36),1))</f>
        <v>#DIV/0!</v>
      </c>
      <c r="U38" s="3325"/>
      <c r="V38" s="3325" t="e">
        <f>IF(F1="售价",ROUND(PRODUCT(V37,AC7:AC36),0),ROUND(PRODUCT(V37,AC7:AC36),1))</f>
        <v>#DIV/0!</v>
      </c>
      <c r="W38" s="3325"/>
      <c r="X38" s="757"/>
      <c r="Y38" s="757"/>
      <c r="Z38" s="757"/>
      <c r="AA38" s="757"/>
      <c r="AB38" s="757"/>
      <c r="AC38" s="757"/>
    </row>
    <row r="39" spans="1:29" ht="15.75" thickBot="1">
      <c r="A39" s="492" t="s">
        <v>2715</v>
      </c>
      <c r="B39" s="493"/>
      <c r="C39" s="1413" t="e">
        <f>R39</f>
        <v>#DIV/0!</v>
      </c>
      <c r="D39" s="1413"/>
      <c r="E39" s="1413"/>
      <c r="F39" s="1413"/>
      <c r="G39" s="1413"/>
      <c r="H39" s="1413"/>
      <c r="I39" s="1413"/>
      <c r="J39" s="1413"/>
      <c r="K39" s="620"/>
      <c r="L39" s="1139"/>
      <c r="M39" s="1140"/>
      <c r="N39" s="1140"/>
      <c r="O39" s="1140"/>
      <c r="P39" s="3311" t="str">
        <f>A39</f>
        <v>估价对象XX用房的比较价值（楼面单价，元/平方米）</v>
      </c>
      <c r="Q39" s="3312"/>
      <c r="R39" s="3324" t="e">
        <f>IF(F1="售价",ROUND(AVERAGE(R38:V38),0),ROUND(AVERAGE(R38:V38),1))</f>
        <v>#DIV/0!</v>
      </c>
      <c r="S39" s="3324"/>
      <c r="T39" s="3324"/>
      <c r="U39" s="3324"/>
      <c r="V39" s="3324"/>
      <c r="W39" s="3324"/>
      <c r="X39" s="757"/>
      <c r="Y39" s="757"/>
      <c r="Z39" s="757"/>
      <c r="AA39" s="757"/>
      <c r="AB39" s="757"/>
      <c r="AC39" s="757"/>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2719</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2720</v>
      </c>
      <c r="B48" s="506"/>
      <c r="C48" s="1569" t="str">
        <f>YEAR(C7)&amp;"-"&amp;MONTH(C7)</f>
        <v>2019-11</v>
      </c>
      <c r="D48" s="1570">
        <f>EDATE(C48,-1)</f>
        <v>43739</v>
      </c>
      <c r="E48" s="1570">
        <f t="shared" ref="E48:O48" si="16">EDATE(D48,-1)</f>
        <v>43709</v>
      </c>
      <c r="F48" s="1570">
        <f t="shared" si="16"/>
        <v>43678</v>
      </c>
      <c r="G48" s="1570">
        <f t="shared" si="16"/>
        <v>43647</v>
      </c>
      <c r="H48" s="1570">
        <f t="shared" si="16"/>
        <v>43617</v>
      </c>
      <c r="I48" s="1570">
        <f t="shared" si="16"/>
        <v>43586</v>
      </c>
      <c r="J48" s="1570">
        <f t="shared" si="16"/>
        <v>43556</v>
      </c>
      <c r="K48" s="1570">
        <f t="shared" si="16"/>
        <v>43525</v>
      </c>
      <c r="L48" s="1570">
        <f t="shared" si="16"/>
        <v>43497</v>
      </c>
      <c r="M48" s="1570">
        <f t="shared" si="16"/>
        <v>43466</v>
      </c>
      <c r="N48" s="1570">
        <f t="shared" si="16"/>
        <v>43435</v>
      </c>
      <c r="O48" s="1570">
        <f t="shared" si="16"/>
        <v>43405</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2577</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2542</v>
      </c>
      <c r="B51" s="510"/>
      <c r="C51" s="522" t="s">
        <v>2644</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8">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2580</v>
      </c>
      <c r="B53" s="528" t="s">
        <v>2546</v>
      </c>
      <c r="C53" s="529">
        <f>C9</f>
        <v>0</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59">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2595</v>
      </c>
      <c r="C65" s="578" t="s">
        <v>2589</v>
      </c>
      <c r="D65" s="578" t="s">
        <v>2590</v>
      </c>
      <c r="E65" s="578" t="s">
        <v>2591</v>
      </c>
      <c r="F65" s="578" t="s">
        <v>2592</v>
      </c>
      <c r="G65" s="578" t="s">
        <v>2593</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2681</v>
      </c>
      <c r="C67" s="659" t="s">
        <v>2667</v>
      </c>
      <c r="D67" s="659" t="s">
        <v>2668</v>
      </c>
      <c r="E67" s="659" t="s">
        <v>2669</v>
      </c>
      <c r="F67" s="659" t="s">
        <v>2670</v>
      </c>
      <c r="G67" s="659" t="s">
        <v>2671</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2601</v>
      </c>
      <c r="C69" s="578" t="s">
        <v>2589</v>
      </c>
      <c r="D69" s="578" t="s">
        <v>2590</v>
      </c>
      <c r="E69" s="578" t="s">
        <v>2591</v>
      </c>
      <c r="F69" s="578" t="s">
        <v>2592</v>
      </c>
      <c r="G69" s="578" t="s">
        <v>2593</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2721</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2555</v>
      </c>
      <c r="B79" s="528" t="s">
        <v>2722</v>
      </c>
      <c r="C79" s="529">
        <f>C26</f>
        <v>0</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2723</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2608</v>
      </c>
      <c r="C83" s="554"/>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2725</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2727</v>
      </c>
      <c r="C93" s="554"/>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2728</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5">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23" sqref="I2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2699</v>
      </c>
      <c r="B1" s="1614"/>
      <c r="C1" s="1615" t="s">
        <v>2522</v>
      </c>
      <c r="D1" s="1616"/>
      <c r="E1" s="1625"/>
      <c r="F1" s="2577"/>
      <c r="G1" s="1626" t="s">
        <v>2635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2322</v>
      </c>
      <c r="B2" s="1414" t="e">
        <f ca="1">IF(C2="——",ROUND(C37*D3/10000,0),ROUND(C37*D3/10000,0)-D2)</f>
        <v>#DIV/0!</v>
      </c>
      <c r="C2" s="2579"/>
      <c r="D2" s="1120" t="e">
        <f ca="1">SUMIF(INDIRECT("'"&amp;F2&amp;"'"&amp;"!A:A"),"承租人权益价值",INDIRECT("'"&amp;F2&amp;"'"&amp;"!c:c"))</f>
        <v>#REF!</v>
      </c>
      <c r="E2" s="2580" t="s">
        <v>2323</v>
      </c>
      <c r="F2" s="2581"/>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8" customFormat="1" ht="28.5" customHeight="1" thickBot="1">
      <c r="A3" s="247" t="s">
        <v>2324</v>
      </c>
      <c r="B3" s="609" t="e">
        <f ca="1">IF(C2="——",C37,ROUND(B2*10000/D3,0))</f>
        <v>#DIV/0!</v>
      </c>
      <c r="C3" s="400" t="s">
        <v>2636</v>
      </c>
      <c r="D3" s="399">
        <f>SUMIF('数据-汇总表'!$C19:$C33,D1,'数据-汇总表'!$E19:$E33)</f>
        <v>0</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1" t="s">
        <v>2637</v>
      </c>
      <c r="B4" s="402"/>
      <c r="C4" s="3292" t="s">
        <v>2638</v>
      </c>
      <c r="D4" s="3293"/>
      <c r="E4" s="3294" t="s">
        <v>2639</v>
      </c>
      <c r="F4" s="3295"/>
      <c r="G4" s="3292" t="s">
        <v>2640</v>
      </c>
      <c r="H4" s="3293"/>
      <c r="I4" s="3292" t="s">
        <v>2641</v>
      </c>
      <c r="J4" s="3293"/>
      <c r="K4" s="610" t="s">
        <v>2642</v>
      </c>
      <c r="L4" s="1126"/>
      <c r="M4" s="1127"/>
      <c r="N4" s="1127"/>
      <c r="O4" s="1127"/>
      <c r="P4" s="3296" t="s">
        <v>2643</v>
      </c>
      <c r="Q4" s="3297"/>
      <c r="R4" s="3279" t="s">
        <v>2639</v>
      </c>
      <c r="S4" s="3280"/>
      <c r="T4" s="3279" t="s">
        <v>2640</v>
      </c>
      <c r="U4" s="3280"/>
      <c r="V4" s="3304" t="s">
        <v>2641</v>
      </c>
      <c r="W4" s="3304"/>
      <c r="X4" s="1808"/>
      <c r="Y4" s="3279" t="s">
        <v>2643</v>
      </c>
      <c r="Z4" s="3280"/>
      <c r="AA4" s="3274" t="s">
        <v>2639</v>
      </c>
      <c r="AB4" s="3275" t="s">
        <v>2640</v>
      </c>
      <c r="AC4" s="3274" t="s">
        <v>2641</v>
      </c>
    </row>
    <row r="5" spans="1:29" ht="15">
      <c r="A5" s="404"/>
      <c r="B5" s="405"/>
      <c r="C5" s="3285" t="s">
        <v>2534</v>
      </c>
      <c r="D5" s="3286"/>
      <c r="E5" s="3283" t="s">
        <v>2535</v>
      </c>
      <c r="F5" s="3284"/>
      <c r="G5" s="3285" t="s">
        <v>2536</v>
      </c>
      <c r="H5" s="3286"/>
      <c r="I5" s="3285" t="s">
        <v>2537</v>
      </c>
      <c r="J5" s="3286"/>
      <c r="K5" s="610"/>
      <c r="L5" s="1126"/>
      <c r="M5" s="1127"/>
      <c r="N5" s="1127"/>
      <c r="O5" s="1127"/>
      <c r="P5" s="3298"/>
      <c r="Q5" s="3299"/>
      <c r="R5" s="3281"/>
      <c r="S5" s="3282"/>
      <c r="T5" s="3281"/>
      <c r="U5" s="3282"/>
      <c r="V5" s="3304"/>
      <c r="W5" s="3304"/>
      <c r="X5" s="1808"/>
      <c r="Y5" s="3281"/>
      <c r="Z5" s="3282"/>
      <c r="AA5" s="3275"/>
      <c r="AB5" s="3275"/>
      <c r="AC5" s="3275"/>
    </row>
    <row r="6" spans="1:29" ht="15.75" thickBot="1">
      <c r="A6" s="406"/>
      <c r="B6" s="407"/>
      <c r="C6" s="3287" t="s">
        <v>2538</v>
      </c>
      <c r="D6" s="3288"/>
      <c r="E6" s="3289" t="s">
        <v>2538</v>
      </c>
      <c r="F6" s="3290"/>
      <c r="G6" s="3287" t="s">
        <v>2538</v>
      </c>
      <c r="H6" s="3288"/>
      <c r="I6" s="3287" t="s">
        <v>2538</v>
      </c>
      <c r="J6" s="3288"/>
      <c r="K6" s="610" t="s">
        <v>2539</v>
      </c>
      <c r="L6" s="1126"/>
      <c r="M6" s="1127"/>
      <c r="N6" s="1127"/>
      <c r="O6" s="1127"/>
      <c r="P6" s="3300"/>
      <c r="Q6" s="3301"/>
      <c r="R6" s="3281"/>
      <c r="S6" s="3282"/>
      <c r="T6" s="3302"/>
      <c r="U6" s="3303"/>
      <c r="V6" s="3304"/>
      <c r="W6" s="3304"/>
      <c r="X6" s="1808"/>
      <c r="Y6" s="3302"/>
      <c r="Z6" s="3303"/>
      <c r="AA6" s="3276"/>
      <c r="AB6" s="3276"/>
      <c r="AC6" s="3276"/>
    </row>
    <row r="7" spans="1:29" s="117" customFormat="1" ht="15.75" thickBot="1">
      <c r="A7" s="408" t="s">
        <v>2540</v>
      </c>
      <c r="B7" s="409"/>
      <c r="C7" s="410">
        <f>'数据-取费表'!B2</f>
        <v>43796</v>
      </c>
      <c r="D7" s="411">
        <v>100</v>
      </c>
      <c r="E7" s="412"/>
      <c r="F7" s="413">
        <f>SUMIF(46:46,YEAR(E7)&amp;"-"&amp;MONTH(E7),47:47)</f>
        <v>0</v>
      </c>
      <c r="G7" s="2687"/>
      <c r="H7" s="411">
        <f>SUMIF(46:46,YEAR(G7)&amp;"-"&amp;MONTH(G7),47:47)</f>
        <v>0</v>
      </c>
      <c r="I7" s="412"/>
      <c r="J7" s="411">
        <f>SUMIF(46:46,YEAR(I7)&amp;"-"&amp;MONTH(I7),47:47)</f>
        <v>0</v>
      </c>
      <c r="K7" s="611"/>
      <c r="L7" s="1128"/>
      <c r="M7" s="1129"/>
      <c r="N7" s="1129"/>
      <c r="O7" s="1129"/>
      <c r="P7" s="3277" t="s">
        <v>2541</v>
      </c>
      <c r="Q7" s="3305"/>
      <c r="R7" s="768" t="s">
        <v>17</v>
      </c>
      <c r="S7" s="769">
        <f t="shared" ref="S7:S14" si="0">F7</f>
        <v>0</v>
      </c>
      <c r="T7" s="768" t="s">
        <v>17</v>
      </c>
      <c r="U7" s="769">
        <f t="shared" ref="U7:U14" si="1">H7</f>
        <v>0</v>
      </c>
      <c r="V7" s="768" t="s">
        <v>17</v>
      </c>
      <c r="W7" s="769">
        <f t="shared" ref="W7:W14" si="2">J7</f>
        <v>0</v>
      </c>
      <c r="X7" s="770"/>
      <c r="Y7" s="3277" t="s">
        <v>2541</v>
      </c>
      <c r="Z7" s="3278"/>
      <c r="AA7" s="771" t="e">
        <f>D7/F7</f>
        <v>#DIV/0!</v>
      </c>
      <c r="AB7" s="771" t="e">
        <f>D7/H7</f>
        <v>#DIV/0!</v>
      </c>
      <c r="AC7" s="771"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77" t="s">
        <v>2544</v>
      </c>
      <c r="Q8" s="3278"/>
      <c r="R8" s="768" t="s">
        <v>17</v>
      </c>
      <c r="S8" s="769">
        <f t="shared" si="0"/>
        <v>0</v>
      </c>
      <c r="T8" s="768" t="s">
        <v>17</v>
      </c>
      <c r="U8" s="769">
        <f t="shared" si="1"/>
        <v>0</v>
      </c>
      <c r="V8" s="768" t="s">
        <v>17</v>
      </c>
      <c r="W8" s="769">
        <f t="shared" si="2"/>
        <v>0</v>
      </c>
      <c r="X8" s="770"/>
      <c r="Y8" s="3277" t="s">
        <v>2544</v>
      </c>
      <c r="Z8" s="3278"/>
      <c r="AA8" s="771" t="e">
        <f t="shared" ref="AA8:AA34" si="3">D8/F8</f>
        <v>#DIV/0!</v>
      </c>
      <c r="AB8" s="771" t="e">
        <f t="shared" ref="AB8:AB34" si="4">D8/H8</f>
        <v>#DIV/0!</v>
      </c>
      <c r="AC8" s="771"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91" t="s">
        <v>2547</v>
      </c>
      <c r="Q9" s="1790" t="str">
        <f t="shared" ref="Q9:Q14" si="6">B9</f>
        <v>用途</v>
      </c>
      <c r="R9" s="768" t="s">
        <v>17</v>
      </c>
      <c r="S9" s="769">
        <f t="shared" si="0"/>
        <v>100</v>
      </c>
      <c r="T9" s="768" t="s">
        <v>17</v>
      </c>
      <c r="U9" s="769">
        <f t="shared" si="1"/>
        <v>100</v>
      </c>
      <c r="V9" s="768" t="s">
        <v>17</v>
      </c>
      <c r="W9" s="769">
        <f t="shared" si="2"/>
        <v>100</v>
      </c>
      <c r="X9" s="770"/>
      <c r="Y9" s="3136" t="s">
        <v>2548</v>
      </c>
      <c r="Z9" s="55" t="str">
        <f t="shared" ref="Z9:Z14" si="7">Q9</f>
        <v>用途</v>
      </c>
      <c r="AA9" s="771">
        <f t="shared" si="3"/>
        <v>1</v>
      </c>
      <c r="AB9" s="771">
        <f t="shared" si="4"/>
        <v>1</v>
      </c>
      <c r="AC9" s="771">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91"/>
      <c r="Q10" s="1790" t="str">
        <f t="shared" si="6"/>
        <v>土地使用年限（年）</v>
      </c>
      <c r="R10" s="768" t="s">
        <v>17</v>
      </c>
      <c r="S10" s="769">
        <f t="shared" si="0"/>
        <v>100</v>
      </c>
      <c r="T10" s="768" t="s">
        <v>17</v>
      </c>
      <c r="U10" s="769">
        <f t="shared" si="1"/>
        <v>100</v>
      </c>
      <c r="V10" s="768" t="s">
        <v>17</v>
      </c>
      <c r="W10" s="769">
        <f t="shared" si="2"/>
        <v>100</v>
      </c>
      <c r="X10" s="770"/>
      <c r="Y10" s="3136"/>
      <c r="Z10" s="55" t="str">
        <f t="shared" si="7"/>
        <v>土地使用年限（年）</v>
      </c>
      <c r="AA10" s="771">
        <f t="shared" si="3"/>
        <v>1</v>
      </c>
      <c r="AB10" s="771">
        <f t="shared" si="4"/>
        <v>1</v>
      </c>
      <c r="AC10" s="771">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91"/>
      <c r="Q11" s="1790">
        <f t="shared" si="6"/>
        <v>111</v>
      </c>
      <c r="R11" s="768" t="s">
        <v>17</v>
      </c>
      <c r="S11" s="769">
        <f t="shared" si="0"/>
        <v>100</v>
      </c>
      <c r="T11" s="768" t="s">
        <v>17</v>
      </c>
      <c r="U11" s="769">
        <f t="shared" si="1"/>
        <v>100</v>
      </c>
      <c r="V11" s="768" t="s">
        <v>17</v>
      </c>
      <c r="W11" s="769">
        <f t="shared" si="2"/>
        <v>100</v>
      </c>
      <c r="X11" s="770"/>
      <c r="Y11" s="3136"/>
      <c r="Z11" s="55">
        <f t="shared" si="7"/>
        <v>111</v>
      </c>
      <c r="AA11" s="771">
        <f t="shared" si="3"/>
        <v>1</v>
      </c>
      <c r="AB11" s="771">
        <f t="shared" si="4"/>
        <v>1</v>
      </c>
      <c r="AC11" s="771">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91"/>
      <c r="Q12" s="1790">
        <f t="shared" si="6"/>
        <v>111</v>
      </c>
      <c r="R12" s="768" t="s">
        <v>17</v>
      </c>
      <c r="S12" s="769">
        <f t="shared" si="0"/>
        <v>100</v>
      </c>
      <c r="T12" s="768" t="s">
        <v>17</v>
      </c>
      <c r="U12" s="769">
        <f t="shared" si="1"/>
        <v>100</v>
      </c>
      <c r="V12" s="768" t="s">
        <v>17</v>
      </c>
      <c r="W12" s="769">
        <f t="shared" si="2"/>
        <v>100</v>
      </c>
      <c r="X12" s="770"/>
      <c r="Y12" s="3136"/>
      <c r="Z12" s="55">
        <f t="shared" si="7"/>
        <v>111</v>
      </c>
      <c r="AA12" s="771">
        <f>D12/F12</f>
        <v>1</v>
      </c>
      <c r="AB12" s="771">
        <f>D12/H12</f>
        <v>1</v>
      </c>
      <c r="AC12" s="771">
        <f>D12/J12</f>
        <v>1</v>
      </c>
    </row>
    <row r="13" spans="1:29" ht="15.75" thickBot="1">
      <c r="A13" s="428"/>
      <c r="B13" s="2593">
        <v>111</v>
      </c>
      <c r="C13" s="434"/>
      <c r="D13" s="435">
        <v>100</v>
      </c>
      <c r="E13" s="469"/>
      <c r="F13" s="425">
        <f>SUMIF(59:59,E13,60:60)-SUMIF(59:59,C13,60:60)+100</f>
        <v>100</v>
      </c>
      <c r="G13" s="2688"/>
      <c r="H13" s="438">
        <f>SUMIF(59:59,G13,60:60)-SUMIF(59:59,C13,60:60)+100</f>
        <v>100</v>
      </c>
      <c r="I13" s="469"/>
      <c r="J13" s="435">
        <f>SUMIF(59:59,I13,60:60)-SUMIF(59:59,C13,60:60)+100</f>
        <v>100</v>
      </c>
      <c r="K13" s="613"/>
      <c r="L13" s="1136"/>
      <c r="M13" s="1127"/>
      <c r="N13" s="1127"/>
      <c r="O13" s="1135"/>
      <c r="P13" s="3291"/>
      <c r="Q13" s="1790">
        <f t="shared" si="6"/>
        <v>111</v>
      </c>
      <c r="R13" s="768" t="s">
        <v>17</v>
      </c>
      <c r="S13" s="769">
        <f t="shared" si="0"/>
        <v>100</v>
      </c>
      <c r="T13" s="768" t="s">
        <v>17</v>
      </c>
      <c r="U13" s="769">
        <f t="shared" si="1"/>
        <v>100</v>
      </c>
      <c r="V13" s="768" t="s">
        <v>17</v>
      </c>
      <c r="W13" s="769">
        <f t="shared" si="2"/>
        <v>100</v>
      </c>
      <c r="X13" s="770"/>
      <c r="Y13" s="3136"/>
      <c r="Z13" s="55">
        <f t="shared" si="7"/>
        <v>111</v>
      </c>
      <c r="AA13" s="771">
        <f t="shared" si="3"/>
        <v>1</v>
      </c>
      <c r="AB13" s="771">
        <f t="shared" si="4"/>
        <v>1</v>
      </c>
      <c r="AC13" s="771">
        <f t="shared" si="5"/>
        <v>1</v>
      </c>
    </row>
    <row r="14" spans="1:29" ht="85.5">
      <c r="A14" s="440" t="s">
        <v>2551</v>
      </c>
      <c r="B14" s="69" t="s">
        <v>2701</v>
      </c>
      <c r="C14" s="268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306" t="s">
        <v>2552</v>
      </c>
      <c r="Q14" s="1805" t="str">
        <f t="shared" si="6"/>
        <v>交通便捷度</v>
      </c>
      <c r="R14" s="772" t="s">
        <v>17</v>
      </c>
      <c r="S14" s="773">
        <f t="shared" si="0"/>
        <v>100</v>
      </c>
      <c r="T14" s="772" t="s">
        <v>17</v>
      </c>
      <c r="U14" s="773">
        <f t="shared" si="1"/>
        <v>100</v>
      </c>
      <c r="V14" s="772" t="s">
        <v>17</v>
      </c>
      <c r="W14" s="773">
        <f t="shared" si="2"/>
        <v>100</v>
      </c>
      <c r="X14" s="1808"/>
      <c r="Y14" s="3306" t="s">
        <v>2552</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6"/>
      <c r="M15" s="1127"/>
      <c r="N15" s="1127"/>
      <c r="O15" s="1135"/>
      <c r="P15" s="3307"/>
      <c r="Q15" s="1805"/>
      <c r="R15" s="772"/>
      <c r="S15" s="773"/>
      <c r="T15" s="772"/>
      <c r="U15" s="773"/>
      <c r="V15" s="772"/>
      <c r="W15" s="773"/>
      <c r="X15" s="1808"/>
      <c r="Y15" s="3307"/>
      <c r="Z15" s="1809"/>
      <c r="AA15" s="1806">
        <v>1</v>
      </c>
      <c r="AB15" s="1806">
        <v>1</v>
      </c>
      <c r="AC15" s="1806">
        <v>1</v>
      </c>
    </row>
    <row r="16" spans="1:29" ht="42.75">
      <c r="A16" s="428"/>
      <c r="B16" s="451" t="s">
        <v>2680</v>
      </c>
      <c r="C16" s="260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307"/>
      <c r="Q16" s="1805" t="str">
        <f>B16</f>
        <v>公共配套设施</v>
      </c>
      <c r="R16" s="772" t="s">
        <v>17</v>
      </c>
      <c r="S16" s="773">
        <f>F16</f>
        <v>100</v>
      </c>
      <c r="T16" s="772" t="s">
        <v>17</v>
      </c>
      <c r="U16" s="773">
        <f>H16</f>
        <v>100</v>
      </c>
      <c r="V16" s="772" t="s">
        <v>17</v>
      </c>
      <c r="W16" s="773">
        <f>J16</f>
        <v>100</v>
      </c>
      <c r="X16" s="1808"/>
      <c r="Y16" s="3307"/>
      <c r="Z16" s="1809" t="str">
        <f>Q16</f>
        <v>公共配套设施</v>
      </c>
      <c r="AA16" s="1806">
        <f t="shared" si="3"/>
        <v>1</v>
      </c>
      <c r="AB16" s="1806">
        <f t="shared" si="4"/>
        <v>1</v>
      </c>
      <c r="AC16" s="1806">
        <f t="shared" si="5"/>
        <v>1</v>
      </c>
    </row>
    <row r="17" spans="1:29" ht="15">
      <c r="A17" s="428"/>
      <c r="B17" s="456"/>
      <c r="C17" s="2601"/>
      <c r="D17" s="448"/>
      <c r="E17" s="447"/>
      <c r="F17" s="449"/>
      <c r="G17" s="447"/>
      <c r="H17" s="448"/>
      <c r="I17" s="447"/>
      <c r="J17" s="448"/>
      <c r="K17" s="615"/>
      <c r="L17" s="1136"/>
      <c r="M17" s="1127"/>
      <c r="N17" s="1127"/>
      <c r="O17" s="1135"/>
      <c r="P17" s="3307"/>
      <c r="Q17" s="1805"/>
      <c r="R17" s="772"/>
      <c r="S17" s="773"/>
      <c r="T17" s="772"/>
      <c r="U17" s="773"/>
      <c r="V17" s="772"/>
      <c r="W17" s="773"/>
      <c r="X17" s="1808"/>
      <c r="Y17" s="3307"/>
      <c r="Z17" s="1809"/>
      <c r="AA17" s="1806">
        <v>1</v>
      </c>
      <c r="AB17" s="1806">
        <v>1</v>
      </c>
      <c r="AC17" s="1806">
        <v>1</v>
      </c>
    </row>
    <row r="18" spans="1:29" ht="28.5">
      <c r="A18" s="428"/>
      <c r="B18" s="1380" t="s">
        <v>2681</v>
      </c>
      <c r="C18" s="260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307"/>
      <c r="Q18" s="1805" t="str">
        <f>B18</f>
        <v>基础设施水平</v>
      </c>
      <c r="R18" s="772" t="s">
        <v>17</v>
      </c>
      <c r="S18" s="773">
        <f>F18</f>
        <v>100</v>
      </c>
      <c r="T18" s="772" t="s">
        <v>17</v>
      </c>
      <c r="U18" s="773">
        <f>H18</f>
        <v>100</v>
      </c>
      <c r="V18" s="772" t="s">
        <v>17</v>
      </c>
      <c r="W18" s="773">
        <f>J18</f>
        <v>100</v>
      </c>
      <c r="X18" s="1808"/>
      <c r="Y18" s="3307"/>
      <c r="Z18" s="1809" t="str">
        <f>Q18</f>
        <v>基础设施水平</v>
      </c>
      <c r="AA18" s="1806">
        <f t="shared" ref="AA18" si="8">D18/F18</f>
        <v>1</v>
      </c>
      <c r="AB18" s="1806">
        <f t="shared" ref="AB18" si="9">D18/H18</f>
        <v>1</v>
      </c>
      <c r="AC18" s="1806">
        <f t="shared" ref="AC18" si="10">D18/J18</f>
        <v>1</v>
      </c>
    </row>
    <row r="19" spans="1:29" ht="15">
      <c r="A19" s="428"/>
      <c r="B19" s="1380"/>
      <c r="C19" s="2601"/>
      <c r="D19" s="450"/>
      <c r="E19" s="2601"/>
      <c r="F19" s="453"/>
      <c r="G19" s="2601"/>
      <c r="H19" s="448"/>
      <c r="I19" s="447"/>
      <c r="J19" s="448"/>
      <c r="K19" s="1379"/>
      <c r="L19" s="1136"/>
      <c r="M19" s="1127"/>
      <c r="N19" s="1127"/>
      <c r="O19" s="1135"/>
      <c r="P19" s="3307"/>
      <c r="Q19" s="1805"/>
      <c r="R19" s="772"/>
      <c r="S19" s="773"/>
      <c r="T19" s="772"/>
      <c r="U19" s="773"/>
      <c r="V19" s="772"/>
      <c r="W19" s="773"/>
      <c r="X19" s="1808"/>
      <c r="Y19" s="3307"/>
      <c r="Z19" s="1809"/>
      <c r="AA19" s="1806">
        <v>1</v>
      </c>
      <c r="AB19" s="1806">
        <v>1</v>
      </c>
      <c r="AC19" s="1806">
        <v>1</v>
      </c>
    </row>
    <row r="20" spans="1:29" ht="57">
      <c r="A20" s="428"/>
      <c r="B20" s="451" t="s">
        <v>2702</v>
      </c>
      <c r="C20" s="260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307"/>
      <c r="Q20" s="1805" t="str">
        <f>B20</f>
        <v>自然及人文环境</v>
      </c>
      <c r="R20" s="772" t="s">
        <v>17</v>
      </c>
      <c r="S20" s="773">
        <f>F20</f>
        <v>100</v>
      </c>
      <c r="T20" s="772" t="s">
        <v>17</v>
      </c>
      <c r="U20" s="773">
        <f>H20</f>
        <v>100</v>
      </c>
      <c r="V20" s="772" t="s">
        <v>17</v>
      </c>
      <c r="W20" s="773">
        <f>J20</f>
        <v>100</v>
      </c>
      <c r="X20" s="1808"/>
      <c r="Y20" s="3307"/>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6"/>
      <c r="M21" s="1127"/>
      <c r="N21" s="1127"/>
      <c r="O21" s="1135"/>
      <c r="P21" s="3307"/>
      <c r="Q21" s="1805"/>
      <c r="R21" s="772"/>
      <c r="S21" s="773"/>
      <c r="T21" s="772"/>
      <c r="U21" s="773"/>
      <c r="V21" s="772"/>
      <c r="W21" s="773"/>
      <c r="X21" s="1808"/>
      <c r="Y21" s="3307"/>
      <c r="Z21" s="1809"/>
      <c r="AA21" s="1806">
        <v>1</v>
      </c>
      <c r="AB21" s="1806">
        <v>1</v>
      </c>
      <c r="AC21" s="1806">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307"/>
      <c r="Q22" s="1805" t="str">
        <f>B22</f>
        <v>楼层</v>
      </c>
      <c r="R22" s="772" t="s">
        <v>17</v>
      </c>
      <c r="S22" s="773">
        <f>F22</f>
        <v>100</v>
      </c>
      <c r="T22" s="772" t="s">
        <v>17</v>
      </c>
      <c r="U22" s="773">
        <f>H22</f>
        <v>100</v>
      </c>
      <c r="V22" s="772" t="s">
        <v>17</v>
      </c>
      <c r="W22" s="773">
        <f>J22</f>
        <v>100</v>
      </c>
      <c r="X22" s="1808"/>
      <c r="Y22" s="3307"/>
      <c r="Z22" s="1809" t="str">
        <f>Q22</f>
        <v>楼层</v>
      </c>
      <c r="AA22" s="1806">
        <f t="shared" si="3"/>
        <v>1</v>
      </c>
      <c r="AB22" s="1806">
        <f t="shared" si="4"/>
        <v>1</v>
      </c>
      <c r="AC22" s="1806">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307"/>
      <c r="Q23" s="1805">
        <f>B23</f>
        <v>111</v>
      </c>
      <c r="R23" s="772" t="s">
        <v>17</v>
      </c>
      <c r="S23" s="773">
        <f>F23</f>
        <v>100</v>
      </c>
      <c r="T23" s="772" t="s">
        <v>17</v>
      </c>
      <c r="U23" s="773">
        <f>H23</f>
        <v>100</v>
      </c>
      <c r="V23" s="772" t="s">
        <v>17</v>
      </c>
      <c r="W23" s="773">
        <f>J23</f>
        <v>100</v>
      </c>
      <c r="X23" s="1808"/>
      <c r="Y23" s="3307"/>
      <c r="Z23" s="1809">
        <f>Q23</f>
        <v>111</v>
      </c>
      <c r="AA23" s="1806">
        <f t="shared" si="3"/>
        <v>1</v>
      </c>
      <c r="AB23" s="1806">
        <f t="shared" si="4"/>
        <v>1</v>
      </c>
      <c r="AC23" s="1806">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307"/>
      <c r="Q24" s="1805">
        <f t="shared" ref="Q24:Q34" si="11">B24</f>
        <v>111</v>
      </c>
      <c r="R24" s="772" t="s">
        <v>17</v>
      </c>
      <c r="S24" s="773">
        <f>F24</f>
        <v>100</v>
      </c>
      <c r="T24" s="772" t="s">
        <v>17</v>
      </c>
      <c r="U24" s="773">
        <f>H24</f>
        <v>100</v>
      </c>
      <c r="V24" s="772" t="s">
        <v>17</v>
      </c>
      <c r="W24" s="773">
        <f>J24</f>
        <v>100</v>
      </c>
      <c r="X24" s="1808"/>
      <c r="Y24" s="3307"/>
      <c r="Z24" s="1809">
        <f>Q24</f>
        <v>111</v>
      </c>
      <c r="AA24" s="1806">
        <f t="shared" si="3"/>
        <v>1</v>
      </c>
      <c r="AB24" s="1806">
        <f t="shared" si="4"/>
        <v>1</v>
      </c>
      <c r="AC24" s="1806">
        <f t="shared" si="5"/>
        <v>1</v>
      </c>
    </row>
    <row r="25" spans="1:29" s="117" customFormat="1" ht="15.75" thickBot="1">
      <c r="A25" s="431"/>
      <c r="B25" s="2593">
        <v>111</v>
      </c>
      <c r="C25" s="2689"/>
      <c r="D25" s="664">
        <v>100</v>
      </c>
      <c r="E25" s="2689"/>
      <c r="F25" s="665">
        <f>SUMIF(75:75,E25,76:76)-SUMIF(75:75,C25,76:76)+100</f>
        <v>100</v>
      </c>
      <c r="G25" s="2689"/>
      <c r="H25" s="664">
        <f>SUMIF(75:75,G25,76:76)-SUMIF(75:75,C25,76:76)+100</f>
        <v>100</v>
      </c>
      <c r="I25" s="2689"/>
      <c r="J25" s="664">
        <f>SUMIF(75:75,I25,76:76)-SUMIF(75:75,C25,76:76)+100</f>
        <v>100</v>
      </c>
      <c r="K25" s="613"/>
      <c r="L25" s="1128"/>
      <c r="M25" s="1129"/>
      <c r="N25" s="1129"/>
      <c r="O25" s="1130"/>
      <c r="P25" s="3307"/>
      <c r="Q25" s="1790">
        <f t="shared" si="11"/>
        <v>111</v>
      </c>
      <c r="R25" s="768" t="s">
        <v>17</v>
      </c>
      <c r="S25" s="769">
        <f>F25</f>
        <v>100</v>
      </c>
      <c r="T25" s="768" t="s">
        <v>17</v>
      </c>
      <c r="U25" s="769">
        <f>H25</f>
        <v>100</v>
      </c>
      <c r="V25" s="768" t="s">
        <v>17</v>
      </c>
      <c r="W25" s="769">
        <f>J25</f>
        <v>100</v>
      </c>
      <c r="X25" s="770"/>
      <c r="Y25" s="3307"/>
      <c r="Z25" s="55">
        <f>Q25</f>
        <v>111</v>
      </c>
      <c r="AA25" s="1806">
        <f>D25/F25</f>
        <v>1</v>
      </c>
      <c r="AB25" s="1806">
        <f>D25/H25</f>
        <v>1</v>
      </c>
      <c r="AC25" s="1806">
        <f>D25/J25</f>
        <v>1</v>
      </c>
    </row>
    <row r="26" spans="1:29" ht="28.5">
      <c r="A26" s="466" t="s">
        <v>2555</v>
      </c>
      <c r="B26" s="71" t="s">
        <v>2706</v>
      </c>
      <c r="C26" s="2670"/>
      <c r="D26" s="467">
        <v>100</v>
      </c>
      <c r="E26" s="2670"/>
      <c r="F26" s="666">
        <f>SUMIF(77:77,E26,78:78)-SUMIF(77:77,C26,78:78)+100</f>
        <v>100</v>
      </c>
      <c r="G26" s="2670"/>
      <c r="H26" s="467">
        <f>SUMIF(77:77,G26,78:78)-SUMIF(77:77,C26,78:78)+100</f>
        <v>100</v>
      </c>
      <c r="I26" s="2670"/>
      <c r="J26" s="467">
        <f>SUMIF(77:77,I26,78:78)-SUMIF(77:77,C26,78:78)+100</f>
        <v>100</v>
      </c>
      <c r="K26" s="612"/>
      <c r="L26" s="1136"/>
      <c r="M26" s="1127"/>
      <c r="N26" s="1127"/>
      <c r="O26" s="1135"/>
      <c r="P26" s="3308" t="s">
        <v>2557</v>
      </c>
      <c r="Q26" s="1805" t="str">
        <f t="shared" si="11"/>
        <v>公共部分装修</v>
      </c>
      <c r="R26" s="772" t="s">
        <v>17</v>
      </c>
      <c r="S26" s="773">
        <f t="shared" ref="S26:S34" si="12">F26</f>
        <v>100</v>
      </c>
      <c r="T26" s="772" t="s">
        <v>17</v>
      </c>
      <c r="U26" s="773">
        <f t="shared" ref="U26:U34" si="13">H26</f>
        <v>100</v>
      </c>
      <c r="V26" s="772" t="s">
        <v>17</v>
      </c>
      <c r="W26" s="773">
        <f t="shared" ref="W26:W34" si="14">J26</f>
        <v>100</v>
      </c>
      <c r="X26" s="1808"/>
      <c r="Y26" s="3309" t="s">
        <v>2557</v>
      </c>
      <c r="Z26" s="1809" t="str">
        <f t="shared" ref="Z26:Z34" si="15">Q26</f>
        <v>公共部分装修</v>
      </c>
      <c r="AA26" s="1806">
        <f t="shared" si="3"/>
        <v>1</v>
      </c>
      <c r="AB26" s="1806">
        <f t="shared" si="4"/>
        <v>1</v>
      </c>
      <c r="AC26" s="1806">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309"/>
      <c r="Q27" s="774" t="str">
        <f t="shared" si="11"/>
        <v>成新率</v>
      </c>
      <c r="R27" s="775" t="s">
        <v>17</v>
      </c>
      <c r="S27" s="776" t="e">
        <f t="shared" si="12"/>
        <v>#N/A</v>
      </c>
      <c r="T27" s="775" t="s">
        <v>17</v>
      </c>
      <c r="U27" s="776" t="e">
        <f t="shared" si="13"/>
        <v>#N/A</v>
      </c>
      <c r="V27" s="775" t="s">
        <v>17</v>
      </c>
      <c r="W27" s="776" t="e">
        <f t="shared" si="14"/>
        <v>#N/A</v>
      </c>
      <c r="X27" s="777"/>
      <c r="Y27" s="3309"/>
      <c r="Z27" s="778" t="str">
        <f t="shared" si="15"/>
        <v>成新率</v>
      </c>
      <c r="AA27" s="1806" t="e">
        <f t="shared" si="3"/>
        <v>#N/A</v>
      </c>
      <c r="AB27" s="1806" t="e">
        <f t="shared" si="4"/>
        <v>#N/A</v>
      </c>
      <c r="AC27" s="1806"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309"/>
      <c r="Q28" s="1805" t="str">
        <f t="shared" si="11"/>
        <v>物业等级</v>
      </c>
      <c r="R28" s="772" t="s">
        <v>17</v>
      </c>
      <c r="S28" s="773">
        <f t="shared" si="12"/>
        <v>100</v>
      </c>
      <c r="T28" s="772" t="s">
        <v>17</v>
      </c>
      <c r="U28" s="773">
        <f t="shared" si="13"/>
        <v>100</v>
      </c>
      <c r="V28" s="772" t="s">
        <v>17</v>
      </c>
      <c r="W28" s="773">
        <f t="shared" si="14"/>
        <v>100</v>
      </c>
      <c r="X28" s="1808"/>
      <c r="Y28" s="3309"/>
      <c r="Z28" s="1809" t="str">
        <f t="shared" si="15"/>
        <v>物业等级</v>
      </c>
      <c r="AA28" s="1806">
        <f t="shared" si="3"/>
        <v>1</v>
      </c>
      <c r="AB28" s="1806">
        <f t="shared" si="4"/>
        <v>1</v>
      </c>
      <c r="AC28" s="1806">
        <f t="shared" si="5"/>
        <v>1</v>
      </c>
    </row>
    <row r="29" spans="1:29" ht="15">
      <c r="A29" s="472"/>
      <c r="B29" s="422" t="s">
        <v>2729</v>
      </c>
      <c r="C29" s="656"/>
      <c r="D29" s="435">
        <v>100</v>
      </c>
      <c r="E29" s="656"/>
      <c r="F29" s="461">
        <f>SUMIF(84:84,E29,85:85)-SUMIF(84:84,C29,85:85)+100</f>
        <v>100</v>
      </c>
      <c r="G29" s="656"/>
      <c r="H29" s="435">
        <f>SUMIF(84:84,G29,85:85)-SUMIF(84:84,C29,85:85)+100</f>
        <v>100</v>
      </c>
      <c r="I29" s="656"/>
      <c r="J29" s="435">
        <f>SUMIF(84:84,I29,85:85)-SUMIF(84:84,C29,85:85)+100</f>
        <v>100</v>
      </c>
      <c r="K29" s="612"/>
      <c r="L29" s="1136"/>
      <c r="M29" s="1127"/>
      <c r="N29" s="1127"/>
      <c r="O29" s="1135"/>
      <c r="P29" s="3309"/>
      <c r="Q29" s="1805" t="str">
        <f t="shared" si="11"/>
        <v>有无电梯</v>
      </c>
      <c r="R29" s="772" t="s">
        <v>17</v>
      </c>
      <c r="S29" s="773">
        <f t="shared" si="12"/>
        <v>100</v>
      </c>
      <c r="T29" s="772" t="s">
        <v>17</v>
      </c>
      <c r="U29" s="773">
        <f t="shared" si="13"/>
        <v>100</v>
      </c>
      <c r="V29" s="772" t="s">
        <v>17</v>
      </c>
      <c r="W29" s="773">
        <f t="shared" si="14"/>
        <v>100</v>
      </c>
      <c r="X29" s="1808"/>
      <c r="Y29" s="3309"/>
      <c r="Z29" s="1809" t="str">
        <f t="shared" si="15"/>
        <v>有无电梯</v>
      </c>
      <c r="AA29" s="1806">
        <f t="shared" si="3"/>
        <v>1</v>
      </c>
      <c r="AB29" s="1806">
        <f t="shared" si="4"/>
        <v>1</v>
      </c>
      <c r="AC29" s="1806">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309"/>
      <c r="Q30" s="1805" t="str">
        <f t="shared" si="11"/>
        <v>建筑面积</v>
      </c>
      <c r="R30" s="772" t="s">
        <v>17</v>
      </c>
      <c r="S30" s="773" t="e">
        <f t="shared" si="12"/>
        <v>#N/A</v>
      </c>
      <c r="T30" s="772" t="s">
        <v>17</v>
      </c>
      <c r="U30" s="773" t="e">
        <f t="shared" si="13"/>
        <v>#N/A</v>
      </c>
      <c r="V30" s="772" t="s">
        <v>17</v>
      </c>
      <c r="W30" s="773" t="e">
        <f t="shared" si="14"/>
        <v>#N/A</v>
      </c>
      <c r="X30" s="1808"/>
      <c r="Y30" s="3309"/>
      <c r="Z30" s="1809" t="str">
        <f t="shared" si="15"/>
        <v>建筑面积</v>
      </c>
      <c r="AA30" s="1806" t="e">
        <f t="shared" si="3"/>
        <v>#N/A</v>
      </c>
      <c r="AB30" s="1806" t="e">
        <f t="shared" si="4"/>
        <v>#N/A</v>
      </c>
      <c r="AC30" s="1806" t="e">
        <f t="shared" si="5"/>
        <v>#N/A</v>
      </c>
    </row>
    <row r="31" spans="1:29" s="117" customFormat="1" ht="15">
      <c r="A31" s="473"/>
      <c r="B31" s="422" t="s">
        <v>2731</v>
      </c>
      <c r="C31" s="656"/>
      <c r="D31" s="136">
        <v>100</v>
      </c>
      <c r="E31" s="656"/>
      <c r="F31" s="461">
        <f>SUMIF(89:89,E31,90:90)-SUMIF(89:89,C31,90:90)+100</f>
        <v>100</v>
      </c>
      <c r="G31" s="656"/>
      <c r="H31" s="435">
        <f>SUMIF(89:89,G31,90:90)-SUMIF(89:89,C31,90:90)+100</f>
        <v>100</v>
      </c>
      <c r="I31" s="656"/>
      <c r="J31" s="435">
        <f>SUMIF(89:89,I31,90:90)-SUMIF(89:89,C31,90:90)+100</f>
        <v>100</v>
      </c>
      <c r="K31" s="612"/>
      <c r="L31" s="1128"/>
      <c r="M31" s="1129"/>
      <c r="N31" s="1129"/>
      <c r="O31" s="1130"/>
      <c r="P31" s="3309"/>
      <c r="Q31" s="1790" t="str">
        <f t="shared" si="11"/>
        <v>是否封闭</v>
      </c>
      <c r="R31" s="768" t="s">
        <v>17</v>
      </c>
      <c r="S31" s="769">
        <f t="shared" si="12"/>
        <v>100</v>
      </c>
      <c r="T31" s="768" t="s">
        <v>17</v>
      </c>
      <c r="U31" s="769">
        <f t="shared" si="13"/>
        <v>100</v>
      </c>
      <c r="V31" s="768" t="s">
        <v>17</v>
      </c>
      <c r="W31" s="769">
        <f t="shared" si="14"/>
        <v>100</v>
      </c>
      <c r="X31" s="770"/>
      <c r="Y31" s="3309"/>
      <c r="Z31" s="55" t="str">
        <f t="shared" si="15"/>
        <v>是否封闭</v>
      </c>
      <c r="AA31" s="771">
        <f t="shared" si="3"/>
        <v>1</v>
      </c>
      <c r="AB31" s="771">
        <f t="shared" si="4"/>
        <v>1</v>
      </c>
      <c r="AC31" s="771">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309" t="s">
        <v>2557</v>
      </c>
      <c r="Q32" s="1805">
        <f t="shared" si="11"/>
        <v>111</v>
      </c>
      <c r="R32" s="772" t="s">
        <v>17</v>
      </c>
      <c r="S32" s="773">
        <f t="shared" si="12"/>
        <v>100</v>
      </c>
      <c r="T32" s="772" t="s">
        <v>17</v>
      </c>
      <c r="U32" s="773">
        <f t="shared" si="13"/>
        <v>100</v>
      </c>
      <c r="V32" s="772" t="s">
        <v>17</v>
      </c>
      <c r="W32" s="773">
        <f t="shared" si="14"/>
        <v>100</v>
      </c>
      <c r="X32" s="1808"/>
      <c r="Y32" s="3309" t="s">
        <v>2557</v>
      </c>
      <c r="Z32" s="1809">
        <f t="shared" si="15"/>
        <v>111</v>
      </c>
      <c r="AA32" s="1806">
        <f t="shared" si="3"/>
        <v>1</v>
      </c>
      <c r="AB32" s="1806">
        <f t="shared" si="4"/>
        <v>1</v>
      </c>
      <c r="AC32" s="1806">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309"/>
      <c r="Q33" s="1805">
        <f t="shared" si="11"/>
        <v>111</v>
      </c>
      <c r="R33" s="772" t="s">
        <v>17</v>
      </c>
      <c r="S33" s="773">
        <f t="shared" si="12"/>
        <v>100</v>
      </c>
      <c r="T33" s="772" t="s">
        <v>17</v>
      </c>
      <c r="U33" s="773">
        <f t="shared" si="13"/>
        <v>100</v>
      </c>
      <c r="V33" s="772" t="s">
        <v>17</v>
      </c>
      <c r="W33" s="773">
        <f t="shared" si="14"/>
        <v>100</v>
      </c>
      <c r="X33" s="1808"/>
      <c r="Y33" s="3309"/>
      <c r="Z33" s="1809">
        <f t="shared" si="15"/>
        <v>111</v>
      </c>
      <c r="AA33" s="1806">
        <f t="shared" si="3"/>
        <v>1</v>
      </c>
      <c r="AB33" s="1806">
        <f t="shared" si="4"/>
        <v>1</v>
      </c>
      <c r="AC33" s="1806">
        <f t="shared" si="5"/>
        <v>1</v>
      </c>
    </row>
    <row r="34" spans="1:29" ht="15.75" thickBot="1">
      <c r="A34" s="478"/>
      <c r="B34" s="2595">
        <v>111</v>
      </c>
      <c r="C34" s="437"/>
      <c r="D34" s="438">
        <v>100</v>
      </c>
      <c r="E34" s="2688"/>
      <c r="F34" s="439">
        <f>SUMIF(95:95,E34,96:96)-SUMIF(95:95,C34,96:96)+100</f>
        <v>100</v>
      </c>
      <c r="G34" s="2688"/>
      <c r="H34" s="438">
        <f>SUMIF(95:95,G34,96:96)-SUMIF(95:95,C34,96:96)+100</f>
        <v>100</v>
      </c>
      <c r="I34" s="2688"/>
      <c r="J34" s="438">
        <f>SUMIF(95:95,I34,96:96)-SUMIF(95:95,C34,96:96)+100</f>
        <v>100</v>
      </c>
      <c r="K34" s="613"/>
      <c r="L34" s="1136"/>
      <c r="M34" s="1127"/>
      <c r="N34" s="1127"/>
      <c r="O34" s="1135"/>
      <c r="P34" s="3309"/>
      <c r="Q34" s="1805">
        <f t="shared" si="11"/>
        <v>111</v>
      </c>
      <c r="R34" s="772" t="s">
        <v>17</v>
      </c>
      <c r="S34" s="773">
        <f t="shared" si="12"/>
        <v>100</v>
      </c>
      <c r="T34" s="772" t="s">
        <v>17</v>
      </c>
      <c r="U34" s="773">
        <f t="shared" si="13"/>
        <v>100</v>
      </c>
      <c r="V34" s="772" t="s">
        <v>17</v>
      </c>
      <c r="W34" s="773">
        <f t="shared" si="14"/>
        <v>100</v>
      </c>
      <c r="X34" s="1808"/>
      <c r="Y34" s="3309"/>
      <c r="Z34" s="1809">
        <f t="shared" si="15"/>
        <v>111</v>
      </c>
      <c r="AA34" s="1806">
        <f t="shared" si="3"/>
        <v>1</v>
      </c>
      <c r="AB34" s="1806">
        <f t="shared" si="4"/>
        <v>1</v>
      </c>
      <c r="AC34" s="1806">
        <f t="shared" si="5"/>
        <v>1</v>
      </c>
    </row>
    <row r="35" spans="1:29" ht="15">
      <c r="A35" s="479" t="s">
        <v>2569</v>
      </c>
      <c r="B35" s="480"/>
      <c r="C35" s="1403" t="s">
        <v>1</v>
      </c>
      <c r="D35" s="1404"/>
      <c r="E35" s="1405"/>
      <c r="F35" s="1406"/>
      <c r="G35" s="1407"/>
      <c r="H35" s="1408"/>
      <c r="I35" s="1405"/>
      <c r="J35" s="1408"/>
      <c r="K35" s="781"/>
      <c r="L35" s="1139"/>
      <c r="M35" s="1140"/>
      <c r="N35" s="1127"/>
      <c r="O35" s="1140"/>
      <c r="P35" s="3291" t="str">
        <f>A35</f>
        <v>成交单价（元/平方米）</v>
      </c>
      <c r="Q35" s="3291"/>
      <c r="R35" s="3325">
        <f>E35</f>
        <v>0</v>
      </c>
      <c r="S35" s="3325"/>
      <c r="T35" s="3325">
        <f>G35</f>
        <v>0</v>
      </c>
      <c r="U35" s="3325"/>
      <c r="V35" s="3325">
        <f>I35</f>
        <v>0</v>
      </c>
      <c r="W35" s="3325"/>
      <c r="X35" s="757"/>
      <c r="Y35" s="779"/>
      <c r="Z35" s="757"/>
      <c r="AA35" s="757"/>
      <c r="AB35" s="757"/>
      <c r="AC35" s="757"/>
    </row>
    <row r="36" spans="1:29" ht="15.75" thickBot="1">
      <c r="A36" s="486" t="s">
        <v>2661</v>
      </c>
      <c r="B36" s="487"/>
      <c r="C36" s="1409" t="e">
        <f>R37</f>
        <v>#DIV/0!</v>
      </c>
      <c r="D36" s="1410"/>
      <c r="E36" s="1411" t="e">
        <f>R36</f>
        <v>#DIV/0!</v>
      </c>
      <c r="F36" s="1411"/>
      <c r="G36" s="1409" t="e">
        <f>T36</f>
        <v>#DIV/0!</v>
      </c>
      <c r="H36" s="1410"/>
      <c r="I36" s="1411" t="e">
        <f>V36</f>
        <v>#DIV/0!</v>
      </c>
      <c r="J36" s="1410"/>
      <c r="K36" s="782"/>
      <c r="L36" s="1139"/>
      <c r="M36" s="1140"/>
      <c r="N36" s="1127"/>
      <c r="O36" s="1140"/>
      <c r="P36" s="3291" t="str">
        <f>A36</f>
        <v>比较价值（元/平方米）</v>
      </c>
      <c r="Q36" s="3291"/>
      <c r="R36" s="3325" t="e">
        <f>IF(F1="售价",ROUND(PRODUCT(R35,AA7:AA34),0),ROUND(PRODUCT(R35,AA7:AA34),1))</f>
        <v>#DIV/0!</v>
      </c>
      <c r="S36" s="3325"/>
      <c r="T36" s="3325" t="e">
        <f>IF(F1="售价",ROUND(PRODUCT(T35,AB7:AB34),0),ROUND(PRODUCT(T35,AB7:AB34),1))</f>
        <v>#DIV/0!</v>
      </c>
      <c r="U36" s="3325"/>
      <c r="V36" s="3325" t="e">
        <f>IF(F1="售价",ROUND(PRODUCT(V35,AC7:AC34),0),ROUND(PRODUCT(V35,AC7:AC34),1))</f>
        <v>#DIV/0!</v>
      </c>
      <c r="W36" s="3325"/>
      <c r="X36" s="757"/>
      <c r="Y36" s="757"/>
      <c r="Z36" s="757"/>
      <c r="AA36" s="757"/>
      <c r="AB36" s="757"/>
      <c r="AC36" s="757"/>
    </row>
    <row r="37" spans="1:29" ht="15.75" thickBot="1">
      <c r="A37" s="492" t="s">
        <v>2662</v>
      </c>
      <c r="B37" s="493"/>
      <c r="C37" s="1413" t="e">
        <f>R37</f>
        <v>#DIV/0!</v>
      </c>
      <c r="D37" s="1413"/>
      <c r="E37" s="1413"/>
      <c r="F37" s="1413"/>
      <c r="G37" s="1413"/>
      <c r="H37" s="1413"/>
      <c r="I37" s="1413"/>
      <c r="J37" s="1413"/>
      <c r="K37" s="783"/>
      <c r="L37" s="1139"/>
      <c r="M37" s="1140"/>
      <c r="N37" s="1140"/>
      <c r="O37" s="1140"/>
      <c r="P37" s="3311" t="str">
        <f>A37</f>
        <v>估价对象XX用房的比较价值（楼面单价，元/平方米）</v>
      </c>
      <c r="Q37" s="3312"/>
      <c r="R37" s="3324" t="e">
        <f>IF(F1="售价",ROUND(AVERAGE(R36:V36),0),ROUND(AVERAGE(R36:V36),1))</f>
        <v>#DIV/0!</v>
      </c>
      <c r="S37" s="3324"/>
      <c r="T37" s="3324"/>
      <c r="U37" s="3324"/>
      <c r="V37" s="3324"/>
      <c r="W37" s="3324"/>
      <c r="X37" s="757"/>
      <c r="Y37" s="757"/>
      <c r="Z37" s="757"/>
      <c r="AA37" s="757"/>
      <c r="AB37" s="757"/>
      <c r="AC37" s="757"/>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1" t="s">
        <v>2666</v>
      </c>
      <c r="B45" s="757"/>
      <c r="C45" s="762"/>
      <c r="D45" s="762"/>
      <c r="E45" s="762"/>
      <c r="F45" s="763"/>
      <c r="G45" s="763"/>
      <c r="H45" s="762"/>
      <c r="I45" s="762"/>
      <c r="J45" s="762"/>
      <c r="K45" s="764"/>
      <c r="L45" s="765"/>
      <c r="M45" s="762"/>
      <c r="N45" s="762"/>
      <c r="O45" s="762"/>
      <c r="P45" s="503"/>
      <c r="Q45" s="504"/>
    </row>
    <row r="46" spans="1:29" s="508" customFormat="1" ht="15">
      <c r="A46" s="505" t="s">
        <v>2540</v>
      </c>
      <c r="B46" s="506"/>
      <c r="C46" s="1569" t="str">
        <f>YEAR(C7)&amp;"-"&amp;MONTH(C7)</f>
        <v>2019-11</v>
      </c>
      <c r="D46" s="1570">
        <f>EDATE(C46,-1)</f>
        <v>43739</v>
      </c>
      <c r="E46" s="1570">
        <f t="shared" ref="E46:O46" si="16">EDATE(D46,-1)</f>
        <v>43709</v>
      </c>
      <c r="F46" s="1570">
        <f t="shared" si="16"/>
        <v>43678</v>
      </c>
      <c r="G46" s="1570">
        <f t="shared" si="16"/>
        <v>43647</v>
      </c>
      <c r="H46" s="1570">
        <f t="shared" si="16"/>
        <v>43617</v>
      </c>
      <c r="I46" s="1570">
        <f t="shared" si="16"/>
        <v>43586</v>
      </c>
      <c r="J46" s="1570">
        <f t="shared" si="16"/>
        <v>43556</v>
      </c>
      <c r="K46" s="1570">
        <f t="shared" si="16"/>
        <v>43525</v>
      </c>
      <c r="L46" s="1570">
        <f t="shared" si="16"/>
        <v>43497</v>
      </c>
      <c r="M46" s="1570">
        <f t="shared" si="16"/>
        <v>43466</v>
      </c>
      <c r="N46" s="1570">
        <f t="shared" si="16"/>
        <v>43435</v>
      </c>
      <c r="O46" s="1570">
        <f t="shared" si="16"/>
        <v>43405</v>
      </c>
      <c r="P46" s="507"/>
    </row>
    <row r="47" spans="1:29" s="117" customFormat="1" ht="15">
      <c r="A47" s="509"/>
      <c r="B47" s="510"/>
      <c r="C47" s="1568">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47"/>
      <c r="O49" s="1147"/>
      <c r="P49" s="526"/>
      <c r="Q49" s="504"/>
    </row>
    <row r="50" spans="1:17" s="117" customFormat="1" ht="15.75" thickBot="1">
      <c r="A50" s="521"/>
      <c r="B50" s="510"/>
      <c r="C50" s="638">
        <v>100</v>
      </c>
      <c r="D50" s="512"/>
      <c r="E50" s="512"/>
      <c r="F50" s="512"/>
      <c r="G50" s="512"/>
      <c r="H50" s="512"/>
      <c r="I50" s="512"/>
      <c r="J50" s="512"/>
      <c r="K50" s="512"/>
      <c r="L50" s="512"/>
      <c r="M50" s="514"/>
      <c r="N50" s="1147"/>
      <c r="O50" s="1147"/>
      <c r="P50" s="504"/>
      <c r="Q50" s="504"/>
    </row>
    <row r="51" spans="1:17">
      <c r="A51" s="527" t="s">
        <v>2580</v>
      </c>
      <c r="B51" s="528" t="s">
        <v>2546</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59">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2681</v>
      </c>
      <c r="C65" s="659" t="s">
        <v>2667</v>
      </c>
      <c r="D65" s="659" t="s">
        <v>2668</v>
      </c>
      <c r="E65" s="659" t="s">
        <v>2669</v>
      </c>
      <c r="F65" s="659" t="s">
        <v>2670</v>
      </c>
      <c r="G65" s="659" t="s">
        <v>2671</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49"/>
      <c r="O66" s="1149"/>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2721</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2555</v>
      </c>
      <c r="B77" s="528" t="s">
        <v>2608</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59"/>
      <c r="J80" s="659"/>
      <c r="K80" s="667"/>
      <c r="L80" s="668"/>
      <c r="M80" s="669"/>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2725</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2733</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2735</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5">
        <f>B34</f>
        <v>111</v>
      </c>
      <c r="C95" s="549"/>
      <c r="D95" s="549"/>
      <c r="E95" s="549"/>
      <c r="F95" s="549"/>
      <c r="G95" s="554"/>
      <c r="H95" s="555"/>
      <c r="I95" s="555"/>
      <c r="J95" s="555"/>
      <c r="K95" s="555"/>
      <c r="L95" s="556"/>
      <c r="M95" s="557"/>
      <c r="N95" s="1149"/>
      <c r="O95" s="1149"/>
      <c r="P95" s="636"/>
      <c r="Q95" s="637"/>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2322</v>
      </c>
      <c r="B2" s="670" t="e">
        <f>F61</f>
        <v>#DIV/0!</v>
      </c>
      <c r="C2" s="1121"/>
      <c r="D2" s="1121"/>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8" customFormat="1" ht="28.5" customHeight="1" thickBot="1">
      <c r="A3" s="247" t="s">
        <v>2324</v>
      </c>
      <c r="B3" s="609" t="e">
        <f>ROUND(IF(D3="",B2*10000/'数据-汇总表'!E3,B2*10000/D3),0)</f>
        <v>#DIV/0!</v>
      </c>
      <c r="C3" s="247" t="s">
        <v>2738</v>
      </c>
      <c r="D3" s="1578"/>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1" t="s">
        <v>2637</v>
      </c>
      <c r="B4" s="402"/>
      <c r="C4" s="3292" t="s">
        <v>2638</v>
      </c>
      <c r="D4" s="3293"/>
      <c r="E4" s="3294" t="s">
        <v>2639</v>
      </c>
      <c r="F4" s="3295"/>
      <c r="G4" s="3292" t="s">
        <v>2640</v>
      </c>
      <c r="H4" s="3293"/>
      <c r="I4" s="3292" t="s">
        <v>2641</v>
      </c>
      <c r="J4" s="3293"/>
      <c r="K4" s="610" t="s">
        <v>2642</v>
      </c>
      <c r="L4" s="1126"/>
      <c r="M4" s="1127"/>
      <c r="N4" s="1127"/>
      <c r="O4" s="1127"/>
      <c r="P4" s="3296" t="s">
        <v>2643</v>
      </c>
      <c r="Q4" s="3297"/>
      <c r="R4" s="3279" t="s">
        <v>2639</v>
      </c>
      <c r="S4" s="3280"/>
      <c r="T4" s="3279" t="s">
        <v>2640</v>
      </c>
      <c r="U4" s="3280"/>
      <c r="V4" s="3304" t="s">
        <v>2641</v>
      </c>
      <c r="W4" s="3304"/>
      <c r="X4" s="1808"/>
      <c r="Y4" s="3279" t="s">
        <v>2643</v>
      </c>
      <c r="Z4" s="3280"/>
      <c r="AA4" s="3274" t="s">
        <v>2639</v>
      </c>
      <c r="AB4" s="3275" t="s">
        <v>2640</v>
      </c>
      <c r="AC4" s="3274" t="s">
        <v>2641</v>
      </c>
    </row>
    <row r="5" spans="1:29" ht="15">
      <c r="A5" s="404"/>
      <c r="B5" s="405"/>
      <c r="C5" s="3285" t="s">
        <v>2534</v>
      </c>
      <c r="D5" s="3286"/>
      <c r="E5" s="3283" t="s">
        <v>2535</v>
      </c>
      <c r="F5" s="3284"/>
      <c r="G5" s="3285" t="s">
        <v>2536</v>
      </c>
      <c r="H5" s="3286"/>
      <c r="I5" s="3285" t="s">
        <v>2537</v>
      </c>
      <c r="J5" s="3286"/>
      <c r="K5" s="610"/>
      <c r="L5" s="1126"/>
      <c r="M5" s="1127"/>
      <c r="N5" s="1127"/>
      <c r="O5" s="1127"/>
      <c r="P5" s="3298"/>
      <c r="Q5" s="3299"/>
      <c r="R5" s="3281"/>
      <c r="S5" s="3282"/>
      <c r="T5" s="3281"/>
      <c r="U5" s="3282"/>
      <c r="V5" s="3304"/>
      <c r="W5" s="3304"/>
      <c r="X5" s="1808"/>
      <c r="Y5" s="3281"/>
      <c r="Z5" s="3282"/>
      <c r="AA5" s="3275"/>
      <c r="AB5" s="3275"/>
      <c r="AC5" s="3275"/>
    </row>
    <row r="6" spans="1:29" ht="15.75" thickBot="1">
      <c r="A6" s="406"/>
      <c r="B6" s="407"/>
      <c r="C6" s="3374" t="s">
        <v>2789</v>
      </c>
      <c r="D6" s="3375"/>
      <c r="E6" s="3376" t="s">
        <v>2789</v>
      </c>
      <c r="F6" s="3377"/>
      <c r="G6" s="3374" t="s">
        <v>2789</v>
      </c>
      <c r="H6" s="3375"/>
      <c r="I6" s="3374" t="s">
        <v>2789</v>
      </c>
      <c r="J6" s="3375"/>
      <c r="K6" s="610" t="s">
        <v>2539</v>
      </c>
      <c r="L6" s="1126"/>
      <c r="M6" s="1127"/>
      <c r="N6" s="1127"/>
      <c r="O6" s="1127"/>
      <c r="P6" s="3300"/>
      <c r="Q6" s="3301"/>
      <c r="R6" s="3281"/>
      <c r="S6" s="3282"/>
      <c r="T6" s="3302"/>
      <c r="U6" s="3303"/>
      <c r="V6" s="3304"/>
      <c r="W6" s="3304"/>
      <c r="X6" s="1808"/>
      <c r="Y6" s="3302"/>
      <c r="Z6" s="3303"/>
      <c r="AA6" s="3276"/>
      <c r="AB6" s="3276"/>
      <c r="AC6" s="3276"/>
    </row>
    <row r="7" spans="1:29" s="117" customFormat="1" ht="15.75" thickBot="1">
      <c r="A7" s="408" t="s">
        <v>2540</v>
      </c>
      <c r="B7" s="409"/>
      <c r="C7" s="410">
        <f>'数据-取费表'!B2</f>
        <v>43796</v>
      </c>
      <c r="D7" s="411">
        <v>100</v>
      </c>
      <c r="E7" s="412"/>
      <c r="F7" s="413">
        <f>SUMIF(65:65,YEAR(E7)&amp;"-"&amp;INT((MONTH(E7)+2)/3),66:66)</f>
        <v>0</v>
      </c>
      <c r="G7" s="2687"/>
      <c r="H7" s="411">
        <f>SUMIF(65:65,YEAR(G7)&amp;"-"&amp;INT((MONTH(G7)+2)/3),66:66)</f>
        <v>0</v>
      </c>
      <c r="I7" s="2687"/>
      <c r="J7" s="411">
        <f>SUMIF(65:65,YEAR(I7)&amp;"-"&amp;INT((MONTH(I7)+2)/3),66:66)</f>
        <v>0</v>
      </c>
      <c r="K7" s="611"/>
      <c r="L7" s="1128"/>
      <c r="M7" s="1129"/>
      <c r="N7" s="1129"/>
      <c r="O7" s="1129"/>
      <c r="P7" s="3277" t="s">
        <v>2541</v>
      </c>
      <c r="Q7" s="3305"/>
      <c r="R7" s="768" t="s">
        <v>17</v>
      </c>
      <c r="S7" s="769">
        <f t="shared" ref="S7:S15" si="0">F7</f>
        <v>0</v>
      </c>
      <c r="T7" s="768" t="s">
        <v>17</v>
      </c>
      <c r="U7" s="769">
        <f t="shared" ref="U7:U15" si="1">H7</f>
        <v>0</v>
      </c>
      <c r="V7" s="768" t="s">
        <v>17</v>
      </c>
      <c r="W7" s="769">
        <f t="shared" ref="W7:W15" si="2">J7</f>
        <v>0</v>
      </c>
      <c r="X7" s="770"/>
      <c r="Y7" s="3277" t="s">
        <v>2541</v>
      </c>
      <c r="Z7" s="3278"/>
      <c r="AA7" s="771" t="e">
        <f>D7/F7</f>
        <v>#DIV/0!</v>
      </c>
      <c r="AB7" s="771" t="e">
        <f>D7/H7</f>
        <v>#DIV/0!</v>
      </c>
      <c r="AC7" s="771"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77" t="s">
        <v>2544</v>
      </c>
      <c r="Q8" s="3278"/>
      <c r="R8" s="768" t="s">
        <v>17</v>
      </c>
      <c r="S8" s="769">
        <f t="shared" si="0"/>
        <v>0</v>
      </c>
      <c r="T8" s="768" t="s">
        <v>17</v>
      </c>
      <c r="U8" s="769">
        <f t="shared" si="1"/>
        <v>0</v>
      </c>
      <c r="V8" s="768" t="s">
        <v>17</v>
      </c>
      <c r="W8" s="769">
        <f t="shared" si="2"/>
        <v>0</v>
      </c>
      <c r="X8" s="770"/>
      <c r="Y8" s="3277" t="s">
        <v>2544</v>
      </c>
      <c r="Z8" s="3278"/>
      <c r="AA8" s="771" t="e">
        <f t="shared" ref="AA8:AA40" si="3">D8/F8</f>
        <v>#DIV/0!</v>
      </c>
      <c r="AB8" s="771" t="e">
        <f t="shared" ref="AB8:AB40" si="4">D8/H8</f>
        <v>#DIV/0!</v>
      </c>
      <c r="AC8" s="771" t="e">
        <f t="shared" ref="AC8:AC40" si="5">D8/J8</f>
        <v>#DIV/0!</v>
      </c>
    </row>
    <row r="9" spans="1:29" s="117" customFormat="1">
      <c r="A9" s="415" t="s">
        <v>2545</v>
      </c>
      <c r="B9" s="71" t="s">
        <v>2546</v>
      </c>
      <c r="C9" s="2690"/>
      <c r="D9" s="135">
        <v>100</v>
      </c>
      <c r="E9" s="2690"/>
      <c r="F9" s="135">
        <f>SUMIF(70:70,E9,71:71)-SUMIF(70:70,C9,71:71)+100</f>
        <v>100</v>
      </c>
      <c r="G9" s="2690"/>
      <c r="H9" s="135">
        <f>SUMIF(70:70,G9,71:71)-SUMIF(70:70,C9,71:71)+100</f>
        <v>100</v>
      </c>
      <c r="I9" s="2690"/>
      <c r="J9" s="135">
        <f>SUMIF(70:70,I9,71:71)-SUMIF(70:70,C9,71:71)+100</f>
        <v>100</v>
      </c>
      <c r="K9" s="611"/>
      <c r="L9" s="1128"/>
      <c r="M9" s="1129"/>
      <c r="N9" s="1129"/>
      <c r="O9" s="1130"/>
      <c r="P9" s="3291" t="s">
        <v>2547</v>
      </c>
      <c r="Q9" s="1790" t="str">
        <f t="shared" ref="Q9:Q15" si="6">B9</f>
        <v>用途</v>
      </c>
      <c r="R9" s="768" t="s">
        <v>17</v>
      </c>
      <c r="S9" s="769">
        <f t="shared" si="0"/>
        <v>100</v>
      </c>
      <c r="T9" s="768" t="s">
        <v>17</v>
      </c>
      <c r="U9" s="769">
        <f t="shared" si="1"/>
        <v>100</v>
      </c>
      <c r="V9" s="768" t="s">
        <v>17</v>
      </c>
      <c r="W9" s="769">
        <f t="shared" si="2"/>
        <v>100</v>
      </c>
      <c r="X9" s="770"/>
      <c r="Y9" s="3136" t="s">
        <v>2548</v>
      </c>
      <c r="Z9" s="55" t="str">
        <f t="shared" ref="Z9:Z15" si="7">Q9</f>
        <v>用途</v>
      </c>
      <c r="AA9" s="771">
        <f t="shared" si="3"/>
        <v>1</v>
      </c>
      <c r="AB9" s="771">
        <f t="shared" si="4"/>
        <v>1</v>
      </c>
      <c r="AC9" s="771">
        <f t="shared" si="5"/>
        <v>1</v>
      </c>
    </row>
    <row r="10" spans="1:29" s="427" customFormat="1" ht="27">
      <c r="A10" s="421"/>
      <c r="B10" s="422" t="s">
        <v>2549</v>
      </c>
      <c r="C10" s="432"/>
      <c r="D10" s="136">
        <v>100</v>
      </c>
      <c r="E10" s="432"/>
      <c r="F10" s="136">
        <f>ROUND(100/'数据-取费表'!G16,0)</f>
        <v>109</v>
      </c>
      <c r="G10" s="432"/>
      <c r="H10" s="136">
        <f>ROUND(100/'数据-取费表'!G16,0)</f>
        <v>109</v>
      </c>
      <c r="I10" s="432"/>
      <c r="J10" s="136">
        <f>ROUND(100/'数据-取费表'!G16,0)</f>
        <v>109</v>
      </c>
      <c r="K10" s="671"/>
      <c r="L10" s="1131"/>
      <c r="M10" s="1132"/>
      <c r="N10" s="1132"/>
      <c r="O10" s="1133"/>
      <c r="P10" s="3291"/>
      <c r="Q10" s="1790" t="str">
        <f t="shared" si="6"/>
        <v>土地使用年限（年）</v>
      </c>
      <c r="R10" s="768" t="s">
        <v>17</v>
      </c>
      <c r="S10" s="769">
        <f t="shared" si="0"/>
        <v>109</v>
      </c>
      <c r="T10" s="768" t="s">
        <v>17</v>
      </c>
      <c r="U10" s="769">
        <f t="shared" si="1"/>
        <v>109</v>
      </c>
      <c r="V10" s="768" t="s">
        <v>17</v>
      </c>
      <c r="W10" s="769">
        <f t="shared" si="2"/>
        <v>109</v>
      </c>
      <c r="X10" s="770"/>
      <c r="Y10" s="3136"/>
      <c r="Z10" s="55" t="str">
        <f t="shared" si="7"/>
        <v>土地使用年限（年）</v>
      </c>
      <c r="AA10" s="771">
        <f t="shared" si="3"/>
        <v>0.91743119266055051</v>
      </c>
      <c r="AB10" s="771">
        <f t="shared" si="4"/>
        <v>0.91743119266055051</v>
      </c>
      <c r="AC10" s="771">
        <f t="shared" si="5"/>
        <v>0.91743119266055051</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4"/>
      <c r="M11" s="1127"/>
      <c r="N11" s="1127"/>
      <c r="O11" s="1135"/>
      <c r="P11" s="3291"/>
      <c r="Q11" s="1790" t="str">
        <f t="shared" si="6"/>
        <v>容积率</v>
      </c>
      <c r="R11" s="768" t="s">
        <v>17</v>
      </c>
      <c r="S11" s="769" t="e">
        <f t="shared" si="0"/>
        <v>#N/A</v>
      </c>
      <c r="T11" s="768" t="s">
        <v>17</v>
      </c>
      <c r="U11" s="769" t="e">
        <f t="shared" si="1"/>
        <v>#N/A</v>
      </c>
      <c r="V11" s="768" t="s">
        <v>17</v>
      </c>
      <c r="W11" s="769" t="e">
        <f t="shared" si="2"/>
        <v>#N/A</v>
      </c>
      <c r="X11" s="770"/>
      <c r="Y11" s="3136"/>
      <c r="Z11" s="55" t="str">
        <f t="shared" si="7"/>
        <v>容积率</v>
      </c>
      <c r="AA11" s="771" t="e">
        <f t="shared" si="3"/>
        <v>#N/A</v>
      </c>
      <c r="AB11" s="771" t="e">
        <f t="shared" si="4"/>
        <v>#N/A</v>
      </c>
      <c r="AC11" s="771" t="e">
        <f t="shared" si="5"/>
        <v>#N/A</v>
      </c>
    </row>
    <row r="12" spans="1:29" s="117" customFormat="1" ht="15">
      <c r="A12" s="431"/>
      <c r="B12" s="2593">
        <v>111</v>
      </c>
      <c r="C12" s="432"/>
      <c r="D12" s="433">
        <v>100</v>
      </c>
      <c r="E12" s="549"/>
      <c r="F12" s="136">
        <f>SUMIF(77:77,E12,78:78)-SUMIF(77:77,C12,78:78)+100</f>
        <v>100</v>
      </c>
      <c r="G12" s="673"/>
      <c r="H12" s="136">
        <f>SUMIF(77:77,G12,78:78)-SUMIF(77:77,C12,78:78)+100</f>
        <v>100</v>
      </c>
      <c r="I12" s="549"/>
      <c r="J12" s="136">
        <f>SUMIF(77:77,I12,78:78)-SUMIF(77:77,C12,78:78)+100</f>
        <v>100</v>
      </c>
      <c r="K12" s="671"/>
      <c r="L12" s="1128"/>
      <c r="M12" s="1129"/>
      <c r="N12" s="1129"/>
      <c r="O12" s="1130"/>
      <c r="P12" s="3291"/>
      <c r="Q12" s="1790">
        <f t="shared" si="6"/>
        <v>111</v>
      </c>
      <c r="R12" s="768" t="s">
        <v>17</v>
      </c>
      <c r="S12" s="769">
        <f t="shared" si="0"/>
        <v>100</v>
      </c>
      <c r="T12" s="768" t="s">
        <v>17</v>
      </c>
      <c r="U12" s="769">
        <f t="shared" si="1"/>
        <v>100</v>
      </c>
      <c r="V12" s="768" t="s">
        <v>17</v>
      </c>
      <c r="W12" s="769">
        <f t="shared" si="2"/>
        <v>100</v>
      </c>
      <c r="X12" s="770"/>
      <c r="Y12" s="3136"/>
      <c r="Z12" s="55">
        <f t="shared" si="7"/>
        <v>111</v>
      </c>
      <c r="AA12" s="771">
        <f>D12/F12</f>
        <v>1</v>
      </c>
      <c r="AB12" s="771">
        <f>D12/H12</f>
        <v>1</v>
      </c>
      <c r="AC12" s="771">
        <f>D12/J12</f>
        <v>1</v>
      </c>
    </row>
    <row r="13" spans="1:29" ht="15">
      <c r="A13" s="428"/>
      <c r="B13" s="2593">
        <v>111</v>
      </c>
      <c r="C13" s="434"/>
      <c r="D13" s="435">
        <v>100</v>
      </c>
      <c r="E13" s="549"/>
      <c r="F13" s="136">
        <f>SUMIF(79:79,E13,80:80)-SUMIF(79:79,C13,80:80)+100</f>
        <v>100</v>
      </c>
      <c r="G13" s="673"/>
      <c r="H13" s="435">
        <f>SUMIF(79:79,G13,80:80)-SUMIF(79:79,C13,80:80)+100</f>
        <v>100</v>
      </c>
      <c r="I13" s="549"/>
      <c r="J13" s="435">
        <f>SUMIF(79:79,I13,80:80)-SUMIF(79:79,C13,80:80)+100</f>
        <v>100</v>
      </c>
      <c r="K13" s="671"/>
      <c r="L13" s="1136"/>
      <c r="M13" s="1127"/>
      <c r="N13" s="1127"/>
      <c r="O13" s="1135"/>
      <c r="P13" s="3291"/>
      <c r="Q13" s="1790">
        <f t="shared" si="6"/>
        <v>111</v>
      </c>
      <c r="R13" s="768" t="s">
        <v>17</v>
      </c>
      <c r="S13" s="769">
        <f t="shared" si="0"/>
        <v>100</v>
      </c>
      <c r="T13" s="768" t="s">
        <v>17</v>
      </c>
      <c r="U13" s="769">
        <f t="shared" si="1"/>
        <v>100</v>
      </c>
      <c r="V13" s="768" t="s">
        <v>17</v>
      </c>
      <c r="W13" s="769">
        <f t="shared" si="2"/>
        <v>100</v>
      </c>
      <c r="X13" s="770"/>
      <c r="Y13" s="3136"/>
      <c r="Z13" s="55">
        <f t="shared" si="7"/>
        <v>111</v>
      </c>
      <c r="AA13" s="771">
        <f t="shared" si="3"/>
        <v>1</v>
      </c>
      <c r="AB13" s="771">
        <f t="shared" si="4"/>
        <v>1</v>
      </c>
      <c r="AC13" s="771">
        <f t="shared" si="5"/>
        <v>1</v>
      </c>
    </row>
    <row r="14" spans="1:29" ht="15.75" thickBot="1">
      <c r="A14" s="436"/>
      <c r="B14" s="2595">
        <v>111</v>
      </c>
      <c r="C14" s="437"/>
      <c r="D14" s="438">
        <v>100</v>
      </c>
      <c r="E14" s="549"/>
      <c r="F14" s="438">
        <f>SUMIF(81:81,E14,82:82)-SUMIF(81:81,C14,82:82)+100</f>
        <v>100</v>
      </c>
      <c r="G14" s="673"/>
      <c r="H14" s="438">
        <f>SUMIF(81:81,G14,82:82)-SUMIF(81:81,C14,82:82)+100</f>
        <v>100</v>
      </c>
      <c r="I14" s="549"/>
      <c r="J14" s="438">
        <f>SUMIF(81:81,I14,82:82)-SUMIF(81:81,C14,82:82)+100</f>
        <v>100</v>
      </c>
      <c r="K14" s="671"/>
      <c r="L14" s="1136"/>
      <c r="M14" s="1127"/>
      <c r="N14" s="1127"/>
      <c r="O14" s="1135"/>
      <c r="P14" s="3291"/>
      <c r="Q14" s="1790">
        <f t="shared" si="6"/>
        <v>111</v>
      </c>
      <c r="R14" s="768" t="s">
        <v>17</v>
      </c>
      <c r="S14" s="769">
        <f t="shared" si="0"/>
        <v>100</v>
      </c>
      <c r="T14" s="768" t="s">
        <v>17</v>
      </c>
      <c r="U14" s="769">
        <f t="shared" si="1"/>
        <v>100</v>
      </c>
      <c r="V14" s="768" t="s">
        <v>17</v>
      </c>
      <c r="W14" s="769">
        <f t="shared" si="2"/>
        <v>100</v>
      </c>
      <c r="X14" s="770"/>
      <c r="Y14" s="3136"/>
      <c r="Z14" s="55">
        <f t="shared" si="7"/>
        <v>111</v>
      </c>
      <c r="AA14" s="771">
        <f t="shared" si="3"/>
        <v>1</v>
      </c>
      <c r="AB14" s="771">
        <f t="shared" si="4"/>
        <v>1</v>
      </c>
      <c r="AC14" s="771">
        <f t="shared" si="5"/>
        <v>1</v>
      </c>
    </row>
    <row r="15" spans="1:29" ht="57">
      <c r="A15" s="440" t="s">
        <v>2551</v>
      </c>
      <c r="B15" s="628" t="s">
        <v>2790</v>
      </c>
      <c r="C15" s="268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36"/>
      <c r="M15" s="1127"/>
      <c r="N15" s="1127"/>
      <c r="O15" s="1135"/>
      <c r="P15" s="3306" t="s">
        <v>2552</v>
      </c>
      <c r="Q15" s="1805" t="str">
        <f t="shared" si="6"/>
        <v>产业集聚程度</v>
      </c>
      <c r="R15" s="772" t="s">
        <v>17</v>
      </c>
      <c r="S15" s="773">
        <f t="shared" si="0"/>
        <v>100</v>
      </c>
      <c r="T15" s="772" t="s">
        <v>17</v>
      </c>
      <c r="U15" s="773">
        <f t="shared" si="1"/>
        <v>100</v>
      </c>
      <c r="V15" s="772" t="s">
        <v>17</v>
      </c>
      <c r="W15" s="773">
        <f t="shared" si="2"/>
        <v>100</v>
      </c>
      <c r="X15" s="1808"/>
      <c r="Y15" s="3306" t="s">
        <v>2552</v>
      </c>
      <c r="Z15" s="1809" t="str">
        <f t="shared" si="7"/>
        <v>产业集聚程度</v>
      </c>
      <c r="AA15" s="1806">
        <f t="shared" si="3"/>
        <v>1</v>
      </c>
      <c r="AB15" s="1806">
        <f t="shared" si="4"/>
        <v>1</v>
      </c>
      <c r="AC15" s="1806">
        <f t="shared" si="5"/>
        <v>1</v>
      </c>
    </row>
    <row r="16" spans="1:29" ht="15">
      <c r="A16" s="428"/>
      <c r="B16" s="629"/>
      <c r="C16" s="447"/>
      <c r="D16" s="448"/>
      <c r="E16" s="2604"/>
      <c r="F16" s="448"/>
      <c r="G16" s="2604"/>
      <c r="H16" s="450"/>
      <c r="I16" s="2604"/>
      <c r="J16" s="448"/>
      <c r="K16" s="671"/>
      <c r="L16" s="1136"/>
      <c r="M16" s="1127"/>
      <c r="N16" s="1127"/>
      <c r="O16" s="1135"/>
      <c r="P16" s="3307"/>
      <c r="Q16" s="1805"/>
      <c r="R16" s="772"/>
      <c r="S16" s="773"/>
      <c r="T16" s="772"/>
      <c r="U16" s="773"/>
      <c r="V16" s="772"/>
      <c r="W16" s="773"/>
      <c r="X16" s="1808"/>
      <c r="Y16" s="3307"/>
      <c r="Z16" s="1809"/>
      <c r="AA16" s="1806">
        <v>1</v>
      </c>
      <c r="AB16" s="1806">
        <v>1</v>
      </c>
      <c r="AC16" s="1806">
        <v>1</v>
      </c>
    </row>
    <row r="17" spans="1:29" ht="85.5">
      <c r="A17" s="428"/>
      <c r="B17" s="630" t="s">
        <v>2701</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36"/>
      <c r="M17" s="1127"/>
      <c r="N17" s="1127"/>
      <c r="O17" s="1135"/>
      <c r="P17" s="3307"/>
      <c r="Q17" s="1805" t="str">
        <f>B17</f>
        <v>交通便捷度</v>
      </c>
      <c r="R17" s="772" t="s">
        <v>17</v>
      </c>
      <c r="S17" s="773">
        <f>F17</f>
        <v>100</v>
      </c>
      <c r="T17" s="772" t="s">
        <v>17</v>
      </c>
      <c r="U17" s="773">
        <f>H17</f>
        <v>100</v>
      </c>
      <c r="V17" s="772" t="s">
        <v>17</v>
      </c>
      <c r="W17" s="773">
        <f>J17</f>
        <v>100</v>
      </c>
      <c r="X17" s="1808"/>
      <c r="Y17" s="3307"/>
      <c r="Z17" s="1809" t="str">
        <f>Q17</f>
        <v>交通便捷度</v>
      </c>
      <c r="AA17" s="1806">
        <f t="shared" si="3"/>
        <v>1</v>
      </c>
      <c r="AB17" s="1806">
        <f t="shared" si="4"/>
        <v>1</v>
      </c>
      <c r="AC17" s="1806">
        <f t="shared" si="5"/>
        <v>1</v>
      </c>
    </row>
    <row r="18" spans="1:29" ht="15">
      <c r="A18" s="428"/>
      <c r="B18" s="631"/>
      <c r="C18" s="447"/>
      <c r="D18" s="448"/>
      <c r="E18" s="2598"/>
      <c r="F18" s="448"/>
      <c r="G18" s="2598"/>
      <c r="H18" s="448"/>
      <c r="I18" s="2597"/>
      <c r="J18" s="448"/>
      <c r="K18" s="671"/>
      <c r="L18" s="1136"/>
      <c r="M18" s="1127"/>
      <c r="N18" s="1127"/>
      <c r="O18" s="1135"/>
      <c r="P18" s="3307"/>
      <c r="Q18" s="1805"/>
      <c r="R18" s="772"/>
      <c r="S18" s="773"/>
      <c r="T18" s="772"/>
      <c r="U18" s="773"/>
      <c r="V18" s="772"/>
      <c r="W18" s="773"/>
      <c r="X18" s="1808"/>
      <c r="Y18" s="3307"/>
      <c r="Z18" s="1809"/>
      <c r="AA18" s="1806">
        <v>1</v>
      </c>
      <c r="AB18" s="1806">
        <v>1</v>
      </c>
      <c r="AC18" s="1806">
        <v>1</v>
      </c>
    </row>
    <row r="19" spans="1:29" ht="15">
      <c r="A19" s="428"/>
      <c r="B19" s="630" t="s">
        <v>2740</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6"/>
      <c r="M19" s="1127"/>
      <c r="N19" s="1127"/>
      <c r="O19" s="1135"/>
      <c r="P19" s="3307"/>
      <c r="Q19" s="1805" t="str">
        <f t="shared" ref="Q19:Q33" si="8">B19</f>
        <v>区域土地利用方向</v>
      </c>
      <c r="R19" s="772" t="s">
        <v>17</v>
      </c>
      <c r="S19" s="773">
        <f>F19</f>
        <v>100</v>
      </c>
      <c r="T19" s="772" t="s">
        <v>17</v>
      </c>
      <c r="U19" s="773">
        <f>H19</f>
        <v>100</v>
      </c>
      <c r="V19" s="772" t="s">
        <v>17</v>
      </c>
      <c r="W19" s="773">
        <f>J19</f>
        <v>100</v>
      </c>
      <c r="X19" s="1808"/>
      <c r="Y19" s="3307"/>
      <c r="Z19" s="1809" t="str">
        <f>Q19</f>
        <v>区域土地利用方向</v>
      </c>
      <c r="AA19" s="1806">
        <f t="shared" si="3"/>
        <v>1</v>
      </c>
      <c r="AB19" s="1806">
        <f t="shared" si="4"/>
        <v>1</v>
      </c>
      <c r="AC19" s="1806">
        <f t="shared" si="5"/>
        <v>1</v>
      </c>
    </row>
    <row r="20" spans="1:29" ht="15">
      <c r="A20" s="404"/>
      <c r="B20" s="631"/>
      <c r="C20" s="447"/>
      <c r="D20" s="448"/>
      <c r="E20" s="2598"/>
      <c r="F20" s="448"/>
      <c r="G20" s="2598"/>
      <c r="H20" s="448"/>
      <c r="I20" s="2598"/>
      <c r="J20" s="448"/>
      <c r="K20" s="808"/>
      <c r="L20" s="1136"/>
      <c r="M20" s="1127"/>
      <c r="N20" s="1127"/>
      <c r="O20" s="1135"/>
      <c r="P20" s="3307"/>
      <c r="Q20" s="1805"/>
      <c r="R20" s="772"/>
      <c r="S20" s="773"/>
      <c r="T20" s="772"/>
      <c r="U20" s="773"/>
      <c r="V20" s="772"/>
      <c r="W20" s="773"/>
      <c r="X20" s="1808"/>
      <c r="Y20" s="3307"/>
      <c r="Z20" s="1809"/>
      <c r="AA20" s="1806"/>
      <c r="AB20" s="1806"/>
      <c r="AC20" s="1806"/>
    </row>
    <row r="21" spans="1:29" ht="71.25">
      <c r="A21" s="404"/>
      <c r="B21" s="630" t="s">
        <v>2791</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36"/>
      <c r="M21" s="1127"/>
      <c r="N21" s="1127"/>
      <c r="O21" s="1135"/>
      <c r="P21" s="3307"/>
      <c r="Q21" s="1805" t="str">
        <f t="shared" si="8"/>
        <v>环境状况</v>
      </c>
      <c r="R21" s="772" t="s">
        <v>17</v>
      </c>
      <c r="S21" s="773">
        <f>F21</f>
        <v>100</v>
      </c>
      <c r="T21" s="772" t="s">
        <v>17</v>
      </c>
      <c r="U21" s="773">
        <f>H21</f>
        <v>100</v>
      </c>
      <c r="V21" s="772" t="s">
        <v>17</v>
      </c>
      <c r="W21" s="773">
        <f>J21</f>
        <v>100</v>
      </c>
      <c r="X21" s="1808"/>
      <c r="Y21" s="3307"/>
      <c r="Z21" s="1809" t="str">
        <f>Q21</f>
        <v>环境状况</v>
      </c>
      <c r="AA21" s="1806">
        <f t="shared" si="3"/>
        <v>1</v>
      </c>
      <c r="AB21" s="1806">
        <f t="shared" si="4"/>
        <v>1</v>
      </c>
      <c r="AC21" s="1806">
        <f t="shared" si="5"/>
        <v>1</v>
      </c>
    </row>
    <row r="22" spans="1:29" ht="15">
      <c r="A22" s="404"/>
      <c r="B22" s="631"/>
      <c r="C22" s="447"/>
      <c r="D22" s="448"/>
      <c r="E22" s="2604"/>
      <c r="F22" s="448"/>
      <c r="G22" s="2604"/>
      <c r="H22" s="448"/>
      <c r="I22" s="447"/>
      <c r="J22" s="448"/>
      <c r="K22" s="671"/>
      <c r="L22" s="1136"/>
      <c r="M22" s="1127"/>
      <c r="N22" s="1127"/>
      <c r="O22" s="1135"/>
      <c r="P22" s="3307"/>
      <c r="Q22" s="1805"/>
      <c r="R22" s="772"/>
      <c r="S22" s="773"/>
      <c r="T22" s="772"/>
      <c r="U22" s="773"/>
      <c r="V22" s="772"/>
      <c r="W22" s="773"/>
      <c r="X22" s="1808"/>
      <c r="Y22" s="3307"/>
      <c r="Z22" s="1809"/>
      <c r="AA22" s="1806">
        <v>1</v>
      </c>
      <c r="AB22" s="1806">
        <v>1</v>
      </c>
      <c r="AC22" s="1806">
        <v>1</v>
      </c>
    </row>
    <row r="23" spans="1:29" s="117" customFormat="1" ht="42.75">
      <c r="A23" s="648"/>
      <c r="B23" s="632" t="s">
        <v>2646</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28"/>
      <c r="M23" s="1129"/>
      <c r="N23" s="1129"/>
      <c r="O23" s="1130"/>
      <c r="P23" s="3307"/>
      <c r="Q23" s="1790" t="str">
        <f t="shared" si="8"/>
        <v>公共配套设施</v>
      </c>
      <c r="R23" s="768" t="s">
        <v>17</v>
      </c>
      <c r="S23" s="769">
        <f>F23</f>
        <v>100</v>
      </c>
      <c r="T23" s="768" t="s">
        <v>17</v>
      </c>
      <c r="U23" s="769">
        <f>H23</f>
        <v>100</v>
      </c>
      <c r="V23" s="768" t="s">
        <v>17</v>
      </c>
      <c r="W23" s="769">
        <f>J23</f>
        <v>100</v>
      </c>
      <c r="X23" s="770"/>
      <c r="Y23" s="3307"/>
      <c r="Z23" s="55" t="str">
        <f>Q23</f>
        <v>公共配套设施</v>
      </c>
      <c r="AA23" s="1806">
        <f>D23/F23</f>
        <v>1</v>
      </c>
      <c r="AB23" s="1806">
        <f>D23/H23</f>
        <v>1</v>
      </c>
      <c r="AC23" s="1806">
        <f>D23/J23</f>
        <v>1</v>
      </c>
    </row>
    <row r="24" spans="1:29" s="117" customFormat="1" ht="15">
      <c r="A24" s="648"/>
      <c r="B24" s="631"/>
      <c r="C24" s="2691"/>
      <c r="D24" s="448"/>
      <c r="E24" s="2604"/>
      <c r="F24" s="448"/>
      <c r="G24" s="2604"/>
      <c r="H24" s="448"/>
      <c r="I24" s="447"/>
      <c r="J24" s="448"/>
      <c r="K24" s="671"/>
      <c r="L24" s="1128"/>
      <c r="M24" s="1129"/>
      <c r="N24" s="1129"/>
      <c r="O24" s="1130"/>
      <c r="P24" s="3307"/>
      <c r="Q24" s="1790"/>
      <c r="R24" s="768"/>
      <c r="S24" s="769"/>
      <c r="T24" s="768"/>
      <c r="U24" s="769"/>
      <c r="V24" s="768"/>
      <c r="W24" s="769"/>
      <c r="X24" s="770"/>
      <c r="Y24" s="3307"/>
      <c r="Z24" s="55"/>
      <c r="AA24" s="771">
        <v>1</v>
      </c>
      <c r="AB24" s="771">
        <v>1</v>
      </c>
      <c r="AC24" s="771">
        <v>1</v>
      </c>
    </row>
    <row r="25" spans="1:29" s="117" customFormat="1" ht="28.5">
      <c r="A25" s="648"/>
      <c r="B25" s="632" t="s">
        <v>2647</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28"/>
      <c r="M25" s="1129"/>
      <c r="N25" s="1129"/>
      <c r="O25" s="1130"/>
      <c r="P25" s="3307"/>
      <c r="Q25" s="1790" t="str">
        <f t="shared" ref="Q25" si="9">B25</f>
        <v>基础设施水平</v>
      </c>
      <c r="R25" s="768" t="s">
        <v>17</v>
      </c>
      <c r="S25" s="769">
        <f>F25</f>
        <v>100</v>
      </c>
      <c r="T25" s="768" t="s">
        <v>17</v>
      </c>
      <c r="U25" s="769">
        <f>H25</f>
        <v>100</v>
      </c>
      <c r="V25" s="768" t="s">
        <v>17</v>
      </c>
      <c r="W25" s="769">
        <f>J25</f>
        <v>100</v>
      </c>
      <c r="X25" s="770"/>
      <c r="Y25" s="3307"/>
      <c r="Z25" s="55" t="str">
        <f>Q25</f>
        <v>基础设施水平</v>
      </c>
      <c r="AA25" s="1806">
        <f>D25/F25</f>
        <v>1</v>
      </c>
      <c r="AB25" s="1806">
        <f>D25/H25</f>
        <v>1</v>
      </c>
      <c r="AC25" s="1806">
        <f>D25/J25</f>
        <v>1</v>
      </c>
    </row>
    <row r="26" spans="1:29" s="117" customFormat="1" ht="15">
      <c r="A26" s="648"/>
      <c r="B26" s="631"/>
      <c r="C26" s="2691"/>
      <c r="D26" s="448"/>
      <c r="E26" s="2692"/>
      <c r="F26" s="448"/>
      <c r="G26" s="2692"/>
      <c r="H26" s="448"/>
      <c r="I26" s="2692"/>
      <c r="J26" s="448"/>
      <c r="K26" s="671"/>
      <c r="L26" s="1128"/>
      <c r="M26" s="1129"/>
      <c r="N26" s="1129"/>
      <c r="O26" s="1130"/>
      <c r="P26" s="3307"/>
      <c r="Q26" s="1790"/>
      <c r="R26" s="768"/>
      <c r="S26" s="769"/>
      <c r="T26" s="768"/>
      <c r="U26" s="769"/>
      <c r="V26" s="768"/>
      <c r="W26" s="769"/>
      <c r="X26" s="770"/>
      <c r="Y26" s="3307"/>
      <c r="Z26" s="55"/>
      <c r="AA26" s="771">
        <v>1</v>
      </c>
      <c r="AB26" s="771">
        <v>1</v>
      </c>
      <c r="AC26" s="771">
        <v>1</v>
      </c>
    </row>
    <row r="27" spans="1:29" ht="15">
      <c r="A27" s="428"/>
      <c r="B27" s="631" t="s">
        <v>2648</v>
      </c>
      <c r="C27" s="616"/>
      <c r="D27" s="435">
        <v>100</v>
      </c>
      <c r="E27" s="633"/>
      <c r="F27" s="435">
        <f>SUMIF(95:95,E27,96:96)-SUMIF(95:95,C27,96:96)+100</f>
        <v>100</v>
      </c>
      <c r="G27" s="633"/>
      <c r="H27" s="435">
        <f>SUMIF(95:95,G27,96:96)-SUMIF(95:95,C27,96:96)+100</f>
        <v>100</v>
      </c>
      <c r="I27" s="633"/>
      <c r="J27" s="435">
        <f>SUMIF(95:95,I27,96:96)-SUMIF(95:95,C27,96:96)+100</f>
        <v>100</v>
      </c>
      <c r="K27" s="672"/>
      <c r="L27" s="1136"/>
      <c r="M27" s="1127"/>
      <c r="N27" s="1127"/>
      <c r="O27" s="1135"/>
      <c r="P27" s="3307"/>
      <c r="Q27" s="1805" t="str">
        <f t="shared" si="8"/>
        <v>临街状况</v>
      </c>
      <c r="R27" s="772" t="s">
        <v>17</v>
      </c>
      <c r="S27" s="773">
        <f t="shared" ref="S27:S40" si="10">F27</f>
        <v>100</v>
      </c>
      <c r="T27" s="772" t="s">
        <v>17</v>
      </c>
      <c r="U27" s="773">
        <f t="shared" ref="U27:U40" si="11">H27</f>
        <v>100</v>
      </c>
      <c r="V27" s="772" t="s">
        <v>17</v>
      </c>
      <c r="W27" s="773">
        <f t="shared" ref="W27:W40" si="12">J27</f>
        <v>100</v>
      </c>
      <c r="X27" s="1808"/>
      <c r="Y27" s="3307"/>
      <c r="Z27" s="1809" t="str">
        <f t="shared" ref="Z27:Z40" si="13">Q27</f>
        <v>临街状况</v>
      </c>
      <c r="AA27" s="1806">
        <f t="shared" si="3"/>
        <v>1</v>
      </c>
      <c r="AB27" s="1806">
        <f t="shared" si="4"/>
        <v>1</v>
      </c>
      <c r="AC27" s="1806">
        <f t="shared" si="5"/>
        <v>1</v>
      </c>
    </row>
    <row r="28" spans="1:29" ht="27">
      <c r="A28" s="428"/>
      <c r="B28" s="632" t="s">
        <v>2683</v>
      </c>
      <c r="C28" s="2704">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6"/>
      <c r="M28" s="1127"/>
      <c r="N28" s="1127"/>
      <c r="O28" s="1135"/>
      <c r="P28" s="3307"/>
      <c r="Q28" s="1805" t="str">
        <f t="shared" si="8"/>
        <v>毗邻道路的类型与等级</v>
      </c>
      <c r="R28" s="772" t="s">
        <v>17</v>
      </c>
      <c r="S28" s="773">
        <f t="shared" si="10"/>
        <v>100</v>
      </c>
      <c r="T28" s="772" t="s">
        <v>17</v>
      </c>
      <c r="U28" s="773">
        <f t="shared" si="11"/>
        <v>100</v>
      </c>
      <c r="V28" s="772" t="s">
        <v>17</v>
      </c>
      <c r="W28" s="773">
        <f t="shared" si="12"/>
        <v>100</v>
      </c>
      <c r="X28" s="1808"/>
      <c r="Y28" s="3307"/>
      <c r="Z28" s="1809" t="str">
        <f t="shared" si="13"/>
        <v>毗邻道路的类型与等级</v>
      </c>
      <c r="AA28" s="1806">
        <f t="shared" si="3"/>
        <v>1</v>
      </c>
      <c r="AB28" s="1806">
        <f t="shared" si="4"/>
        <v>1</v>
      </c>
      <c r="AC28" s="1806">
        <f t="shared" si="5"/>
        <v>1</v>
      </c>
    </row>
    <row r="29" spans="1:29" ht="15">
      <c r="A29" s="428"/>
      <c r="B29" s="631"/>
      <c r="C29" s="447"/>
      <c r="D29" s="448"/>
      <c r="E29" s="2604"/>
      <c r="F29" s="448"/>
      <c r="G29" s="2604"/>
      <c r="H29" s="448"/>
      <c r="I29" s="2604"/>
      <c r="J29" s="448"/>
      <c r="K29" s="613"/>
      <c r="L29" s="1136"/>
      <c r="M29" s="1127"/>
      <c r="N29" s="1127"/>
      <c r="O29" s="1135"/>
      <c r="P29" s="3307"/>
      <c r="Q29" s="1805"/>
      <c r="R29" s="772"/>
      <c r="S29" s="773"/>
      <c r="T29" s="772"/>
      <c r="U29" s="773"/>
      <c r="V29" s="772"/>
      <c r="W29" s="773"/>
      <c r="X29" s="1808"/>
      <c r="Y29" s="3307"/>
      <c r="Z29" s="1809"/>
      <c r="AA29" s="1806">
        <v>1</v>
      </c>
      <c r="AB29" s="1806">
        <v>1</v>
      </c>
      <c r="AC29" s="1806">
        <v>1</v>
      </c>
    </row>
    <row r="30" spans="1:29" ht="15">
      <c r="A30" s="428"/>
      <c r="B30" s="653" t="s">
        <v>2742</v>
      </c>
      <c r="C30" s="1385">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6"/>
      <c r="M30" s="1127"/>
      <c r="N30" s="1127"/>
      <c r="O30" s="1135"/>
      <c r="P30" s="3307"/>
      <c r="Q30" s="1805" t="str">
        <f t="shared" si="8"/>
        <v>土地级别</v>
      </c>
      <c r="R30" s="772" t="s">
        <v>17</v>
      </c>
      <c r="S30" s="773">
        <f t="shared" si="10"/>
        <v>100</v>
      </c>
      <c r="T30" s="772" t="s">
        <v>17</v>
      </c>
      <c r="U30" s="773">
        <f t="shared" si="11"/>
        <v>100</v>
      </c>
      <c r="V30" s="772" t="s">
        <v>17</v>
      </c>
      <c r="W30" s="773">
        <f t="shared" si="12"/>
        <v>100</v>
      </c>
      <c r="X30" s="1808"/>
      <c r="Y30" s="3307"/>
      <c r="Z30" s="1809" t="str">
        <f t="shared" si="13"/>
        <v>土地级别</v>
      </c>
      <c r="AA30" s="1806">
        <f t="shared" si="3"/>
        <v>1</v>
      </c>
      <c r="AB30" s="1806">
        <f t="shared" si="4"/>
        <v>1</v>
      </c>
      <c r="AC30" s="1806">
        <f t="shared" si="5"/>
        <v>1</v>
      </c>
    </row>
    <row r="31" spans="1:29" ht="15">
      <c r="A31" s="404"/>
      <c r="B31" s="2669">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307"/>
      <c r="Q31" s="1805">
        <f t="shared" si="8"/>
        <v>111</v>
      </c>
      <c r="R31" s="772" t="s">
        <v>17</v>
      </c>
      <c r="S31" s="773">
        <f t="shared" si="10"/>
        <v>100</v>
      </c>
      <c r="T31" s="772" t="s">
        <v>17</v>
      </c>
      <c r="U31" s="773">
        <f t="shared" si="11"/>
        <v>100</v>
      </c>
      <c r="V31" s="772" t="s">
        <v>17</v>
      </c>
      <c r="W31" s="773">
        <f t="shared" si="12"/>
        <v>100</v>
      </c>
      <c r="X31" s="1808"/>
      <c r="Y31" s="3307"/>
      <c r="Z31" s="1809">
        <f t="shared" si="13"/>
        <v>111</v>
      </c>
      <c r="AA31" s="1806">
        <f t="shared" si="3"/>
        <v>1</v>
      </c>
      <c r="AB31" s="1806">
        <f t="shared" si="4"/>
        <v>1</v>
      </c>
      <c r="AC31" s="1806">
        <f t="shared" si="5"/>
        <v>1</v>
      </c>
    </row>
    <row r="32" spans="1:29" ht="15">
      <c r="A32" s="674"/>
      <c r="B32" s="2705">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6"/>
      <c r="M32" s="1127"/>
      <c r="N32" s="1127"/>
      <c r="O32" s="1135"/>
      <c r="P32" s="3308" t="s">
        <v>2557</v>
      </c>
      <c r="Q32" s="1805">
        <f t="shared" si="8"/>
        <v>111</v>
      </c>
      <c r="R32" s="772" t="s">
        <v>17</v>
      </c>
      <c r="S32" s="773">
        <f t="shared" si="10"/>
        <v>100</v>
      </c>
      <c r="T32" s="772" t="s">
        <v>17</v>
      </c>
      <c r="U32" s="773">
        <f t="shared" si="11"/>
        <v>100</v>
      </c>
      <c r="V32" s="772" t="s">
        <v>17</v>
      </c>
      <c r="W32" s="773">
        <f t="shared" si="12"/>
        <v>100</v>
      </c>
      <c r="X32" s="1808"/>
      <c r="Y32" s="3309" t="s">
        <v>2557</v>
      </c>
      <c r="Z32" s="1809">
        <f t="shared" si="13"/>
        <v>111</v>
      </c>
      <c r="AA32" s="1806">
        <f t="shared" si="3"/>
        <v>1</v>
      </c>
      <c r="AB32" s="1806">
        <f t="shared" si="4"/>
        <v>1</v>
      </c>
      <c r="AC32" s="1806">
        <f t="shared" si="5"/>
        <v>1</v>
      </c>
    </row>
    <row r="33" spans="1:29" s="471" customFormat="1" ht="15.75" thickBot="1">
      <c r="A33" s="675"/>
      <c r="B33" s="2706">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4"/>
      <c r="M33" s="1137"/>
      <c r="N33" s="1137"/>
      <c r="O33" s="1138"/>
      <c r="P33" s="3309"/>
      <c r="Q33" s="1805">
        <f t="shared" si="8"/>
        <v>111</v>
      </c>
      <c r="R33" s="775" t="s">
        <v>17</v>
      </c>
      <c r="S33" s="776">
        <f t="shared" si="10"/>
        <v>100</v>
      </c>
      <c r="T33" s="775" t="s">
        <v>17</v>
      </c>
      <c r="U33" s="776">
        <f t="shared" si="11"/>
        <v>100</v>
      </c>
      <c r="V33" s="775" t="s">
        <v>17</v>
      </c>
      <c r="W33" s="776">
        <f t="shared" si="12"/>
        <v>100</v>
      </c>
      <c r="X33" s="777"/>
      <c r="Y33" s="3309"/>
      <c r="Z33" s="778">
        <f t="shared" si="13"/>
        <v>111</v>
      </c>
      <c r="AA33" s="1806">
        <f t="shared" si="3"/>
        <v>1</v>
      </c>
      <c r="AB33" s="1806">
        <f t="shared" si="4"/>
        <v>1</v>
      </c>
      <c r="AC33" s="1806">
        <f t="shared" si="5"/>
        <v>1</v>
      </c>
    </row>
    <row r="34" spans="1:29" ht="15">
      <c r="A34" s="440" t="s">
        <v>2555</v>
      </c>
      <c r="B34" s="456" t="s">
        <v>2743</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6"/>
      <c r="M34" s="1127"/>
      <c r="N34" s="1127"/>
      <c r="O34" s="1135"/>
      <c r="P34" s="3309"/>
      <c r="Q34" s="1805" t="str">
        <f>B34</f>
        <v>宗地面积</v>
      </c>
      <c r="R34" s="772" t="s">
        <v>17</v>
      </c>
      <c r="S34" s="773" t="e">
        <f t="shared" si="10"/>
        <v>#N/A</v>
      </c>
      <c r="T34" s="772" t="s">
        <v>17</v>
      </c>
      <c r="U34" s="773" t="e">
        <f t="shared" si="11"/>
        <v>#N/A</v>
      </c>
      <c r="V34" s="772" t="s">
        <v>17</v>
      </c>
      <c r="W34" s="773" t="e">
        <f t="shared" si="12"/>
        <v>#N/A</v>
      </c>
      <c r="X34" s="1808"/>
      <c r="Y34" s="3309"/>
      <c r="Z34" s="1809" t="str">
        <f t="shared" si="13"/>
        <v>宗地面积</v>
      </c>
      <c r="AA34" s="1806" t="e">
        <f t="shared" si="3"/>
        <v>#N/A</v>
      </c>
      <c r="AB34" s="1806" t="e">
        <f t="shared" si="4"/>
        <v>#N/A</v>
      </c>
      <c r="AC34" s="1806" t="e">
        <f t="shared" si="5"/>
        <v>#N/A</v>
      </c>
    </row>
    <row r="35" spans="1:29" ht="15">
      <c r="A35" s="472"/>
      <c r="B35" s="422" t="s">
        <v>2744</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36"/>
      <c r="M35" s="1127"/>
      <c r="N35" s="1127"/>
      <c r="O35" s="1135"/>
      <c r="P35" s="3309"/>
      <c r="Q35" s="1805" t="str">
        <f t="shared" ref="Q35:Q40" si="14">B35</f>
        <v>宗地形状</v>
      </c>
      <c r="R35" s="772" t="s">
        <v>17</v>
      </c>
      <c r="S35" s="773">
        <f t="shared" si="10"/>
        <v>100</v>
      </c>
      <c r="T35" s="772" t="s">
        <v>17</v>
      </c>
      <c r="U35" s="773">
        <f t="shared" si="11"/>
        <v>100</v>
      </c>
      <c r="V35" s="772" t="s">
        <v>17</v>
      </c>
      <c r="W35" s="773">
        <f t="shared" si="12"/>
        <v>100</v>
      </c>
      <c r="X35" s="1808"/>
      <c r="Y35" s="3309"/>
      <c r="Z35" s="1809" t="str">
        <f t="shared" si="13"/>
        <v>宗地形状</v>
      </c>
      <c r="AA35" s="1806">
        <f t="shared" si="3"/>
        <v>1</v>
      </c>
      <c r="AB35" s="1806">
        <f t="shared" si="4"/>
        <v>1</v>
      </c>
      <c r="AC35" s="1806">
        <f t="shared" si="5"/>
        <v>1</v>
      </c>
    </row>
    <row r="36" spans="1:29" s="117" customFormat="1" ht="15">
      <c r="A36" s="473"/>
      <c r="B36" s="422" t="s">
        <v>2746</v>
      </c>
      <c r="C36" s="2693"/>
      <c r="D36" s="136">
        <v>100</v>
      </c>
      <c r="E36" s="2693"/>
      <c r="F36" s="435">
        <f>SUMIF(112:112,E36,113:113)-SUMIF(112:112,C36,113:113)+100</f>
        <v>100</v>
      </c>
      <c r="G36" s="2693"/>
      <c r="H36" s="435">
        <f>SUMIF(112:112,G36,113:113)-SUMIF(112:112,C36,113:113)+100</f>
        <v>100</v>
      </c>
      <c r="I36" s="2693"/>
      <c r="J36" s="435">
        <f>SUMIF(112:112,I36,113:113)-SUMIF(112:112,C36,113:113)+100</f>
        <v>100</v>
      </c>
      <c r="K36" s="612"/>
      <c r="L36" s="1128"/>
      <c r="M36" s="1129"/>
      <c r="N36" s="1129"/>
      <c r="O36" s="1130"/>
      <c r="P36" s="3309"/>
      <c r="Q36" s="1805" t="str">
        <f t="shared" si="14"/>
        <v>宗地开发程度</v>
      </c>
      <c r="R36" s="768" t="s">
        <v>17</v>
      </c>
      <c r="S36" s="769">
        <f t="shared" si="10"/>
        <v>100</v>
      </c>
      <c r="T36" s="768" t="s">
        <v>17</v>
      </c>
      <c r="U36" s="769">
        <f t="shared" si="11"/>
        <v>100</v>
      </c>
      <c r="V36" s="768" t="s">
        <v>17</v>
      </c>
      <c r="W36" s="769">
        <f t="shared" si="12"/>
        <v>100</v>
      </c>
      <c r="X36" s="770"/>
      <c r="Y36" s="3309"/>
      <c r="Z36" s="55" t="str">
        <f t="shared" si="13"/>
        <v>宗地开发程度</v>
      </c>
      <c r="AA36" s="771">
        <f t="shared" si="3"/>
        <v>1</v>
      </c>
      <c r="AB36" s="771">
        <f t="shared" si="4"/>
        <v>1</v>
      </c>
      <c r="AC36" s="771">
        <f t="shared" si="5"/>
        <v>1</v>
      </c>
    </row>
    <row r="37" spans="1:29" ht="15">
      <c r="A37" s="472"/>
      <c r="B37" s="422" t="s">
        <v>2747</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36"/>
      <c r="M37" s="1127"/>
      <c r="N37" s="1127"/>
      <c r="O37" s="1135"/>
      <c r="P37" s="3309" t="s">
        <v>2557</v>
      </c>
      <c r="Q37" s="1805" t="str">
        <f t="shared" si="14"/>
        <v>工程地质条件</v>
      </c>
      <c r="R37" s="772" t="s">
        <v>17</v>
      </c>
      <c r="S37" s="773">
        <f t="shared" si="10"/>
        <v>100</v>
      </c>
      <c r="T37" s="772" t="s">
        <v>17</v>
      </c>
      <c r="U37" s="773">
        <f t="shared" si="11"/>
        <v>100</v>
      </c>
      <c r="V37" s="772" t="s">
        <v>17</v>
      </c>
      <c r="W37" s="773">
        <f t="shared" si="12"/>
        <v>100</v>
      </c>
      <c r="X37" s="1808"/>
      <c r="Y37" s="3309" t="s">
        <v>2557</v>
      </c>
      <c r="Z37" s="1809" t="str">
        <f t="shared" si="13"/>
        <v>工程地质条件</v>
      </c>
      <c r="AA37" s="1806">
        <f t="shared" si="3"/>
        <v>1</v>
      </c>
      <c r="AB37" s="1806">
        <f t="shared" si="4"/>
        <v>1</v>
      </c>
      <c r="AC37" s="1806">
        <f t="shared" si="5"/>
        <v>1</v>
      </c>
    </row>
    <row r="38" spans="1:29" ht="15">
      <c r="A38" s="472"/>
      <c r="B38" s="1383">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6"/>
      <c r="M38" s="1127"/>
      <c r="N38" s="1127"/>
      <c r="O38" s="1135"/>
      <c r="P38" s="3309"/>
      <c r="Q38" s="1805">
        <f t="shared" si="14"/>
        <v>111</v>
      </c>
      <c r="R38" s="772" t="s">
        <v>17</v>
      </c>
      <c r="S38" s="773">
        <f t="shared" si="10"/>
        <v>100</v>
      </c>
      <c r="T38" s="772" t="s">
        <v>17</v>
      </c>
      <c r="U38" s="773">
        <f t="shared" si="11"/>
        <v>100</v>
      </c>
      <c r="V38" s="772" t="s">
        <v>17</v>
      </c>
      <c r="W38" s="773">
        <f t="shared" si="12"/>
        <v>100</v>
      </c>
      <c r="X38" s="1808"/>
      <c r="Y38" s="3309"/>
      <c r="Z38" s="1809">
        <f t="shared" si="13"/>
        <v>111</v>
      </c>
      <c r="AA38" s="1806">
        <f t="shared" si="3"/>
        <v>1</v>
      </c>
      <c r="AB38" s="1806">
        <f t="shared" si="4"/>
        <v>1</v>
      </c>
      <c r="AC38" s="1806">
        <f t="shared" si="5"/>
        <v>1</v>
      </c>
    </row>
    <row r="39" spans="1:29" ht="15">
      <c r="A39" s="472"/>
      <c r="B39" s="1383">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6"/>
      <c r="M39" s="1127"/>
      <c r="N39" s="1127"/>
      <c r="O39" s="1135"/>
      <c r="P39" s="3309"/>
      <c r="Q39" s="1805">
        <f t="shared" si="14"/>
        <v>111</v>
      </c>
      <c r="R39" s="772" t="s">
        <v>17</v>
      </c>
      <c r="S39" s="773">
        <f t="shared" si="10"/>
        <v>100</v>
      </c>
      <c r="T39" s="772" t="s">
        <v>17</v>
      </c>
      <c r="U39" s="773">
        <f t="shared" si="11"/>
        <v>100</v>
      </c>
      <c r="V39" s="772" t="s">
        <v>17</v>
      </c>
      <c r="W39" s="773">
        <f t="shared" si="12"/>
        <v>100</v>
      </c>
      <c r="X39" s="1808"/>
      <c r="Y39" s="3309"/>
      <c r="Z39" s="1809">
        <f t="shared" si="13"/>
        <v>111</v>
      </c>
      <c r="AA39" s="1806">
        <f t="shared" si="3"/>
        <v>1</v>
      </c>
      <c r="AB39" s="1806">
        <f t="shared" si="4"/>
        <v>1</v>
      </c>
      <c r="AC39" s="1806">
        <f t="shared" si="5"/>
        <v>1</v>
      </c>
    </row>
    <row r="40" spans="1:29" s="471" customFormat="1" ht="15.75" thickBot="1">
      <c r="A40" s="468"/>
      <c r="B40" s="1383">
        <v>111</v>
      </c>
      <c r="C40" s="2694"/>
      <c r="D40" s="137">
        <v>100</v>
      </c>
      <c r="E40" s="673"/>
      <c r="F40" s="438">
        <f>SUMIF(120:120,E40,121:121)-SUMIF(120:120,C40,121:121)+100</f>
        <v>100</v>
      </c>
      <c r="G40" s="673"/>
      <c r="H40" s="438">
        <f>SUMIF(120:120,G40,121:121)-SUMIF(120:120,C40,121:121)+100</f>
        <v>100</v>
      </c>
      <c r="I40" s="549"/>
      <c r="J40" s="438">
        <f>SUMIF(120:120,I40,121:121)-SUMIF(120:120,C40,121:121)+100</f>
        <v>100</v>
      </c>
      <c r="K40" s="680"/>
      <c r="L40" s="1134"/>
      <c r="M40" s="1137"/>
      <c r="N40" s="1137"/>
      <c r="O40" s="1138"/>
      <c r="P40" s="3309"/>
      <c r="Q40" s="1805">
        <f t="shared" si="14"/>
        <v>111</v>
      </c>
      <c r="R40" s="775" t="s">
        <v>17</v>
      </c>
      <c r="S40" s="776">
        <f t="shared" si="10"/>
        <v>100</v>
      </c>
      <c r="T40" s="775" t="s">
        <v>17</v>
      </c>
      <c r="U40" s="776">
        <f t="shared" si="11"/>
        <v>100</v>
      </c>
      <c r="V40" s="775" t="s">
        <v>17</v>
      </c>
      <c r="W40" s="776">
        <f t="shared" si="12"/>
        <v>100</v>
      </c>
      <c r="X40" s="777"/>
      <c r="Y40" s="3309"/>
      <c r="Z40" s="778">
        <f t="shared" si="13"/>
        <v>111</v>
      </c>
      <c r="AA40" s="1806">
        <f t="shared" si="3"/>
        <v>1</v>
      </c>
      <c r="AB40" s="1806">
        <f t="shared" si="4"/>
        <v>1</v>
      </c>
      <c r="AC40" s="1806">
        <f t="shared" si="5"/>
        <v>1</v>
      </c>
    </row>
    <row r="41" spans="1:29" ht="15">
      <c r="A41" s="479" t="s">
        <v>2712</v>
      </c>
      <c r="B41" s="2695" t="s">
        <v>2792</v>
      </c>
      <c r="C41" s="681" t="s">
        <v>1</v>
      </c>
      <c r="D41" s="481"/>
      <c r="E41" s="482"/>
      <c r="F41" s="483"/>
      <c r="G41" s="484"/>
      <c r="H41" s="485"/>
      <c r="I41" s="482"/>
      <c r="J41" s="485"/>
      <c r="K41" s="781"/>
      <c r="L41" s="1139"/>
      <c r="M41" s="1127"/>
      <c r="N41" s="1127"/>
      <c r="O41" s="1140"/>
      <c r="P41" s="3291" t="str">
        <f>A41</f>
        <v>成交单价</v>
      </c>
      <c r="Q41" s="3291"/>
      <c r="R41" s="3304">
        <f>E41</f>
        <v>0</v>
      </c>
      <c r="S41" s="3304"/>
      <c r="T41" s="3304">
        <f>G41</f>
        <v>0</v>
      </c>
      <c r="U41" s="3304"/>
      <c r="V41" s="3304">
        <f>I41</f>
        <v>0</v>
      </c>
      <c r="W41" s="3304"/>
      <c r="X41" s="757"/>
      <c r="Y41" s="779"/>
      <c r="Z41" s="757"/>
      <c r="AA41" s="757"/>
      <c r="AB41" s="757"/>
      <c r="AC41" s="757"/>
    </row>
    <row r="42" spans="1:29" ht="15.75" thickBot="1">
      <c r="A42" s="486" t="s">
        <v>2661</v>
      </c>
      <c r="B42" s="682"/>
      <c r="C42" s="490" t="e">
        <f>R43</f>
        <v>#DIV/0!</v>
      </c>
      <c r="D42" s="489"/>
      <c r="E42" s="490" t="e">
        <f>R42</f>
        <v>#DIV/0!</v>
      </c>
      <c r="F42" s="491"/>
      <c r="G42" s="488" t="e">
        <f>T42</f>
        <v>#DIV/0!</v>
      </c>
      <c r="H42" s="489"/>
      <c r="I42" s="490" t="e">
        <f>V42</f>
        <v>#DIV/0!</v>
      </c>
      <c r="J42" s="489"/>
      <c r="K42" s="782"/>
      <c r="L42" s="1139"/>
      <c r="M42" s="1127"/>
      <c r="N42" s="1127"/>
      <c r="O42" s="1140"/>
      <c r="P42" s="3291" t="str">
        <f>A42</f>
        <v>比较价值（元/平方米）</v>
      </c>
      <c r="Q42" s="3291"/>
      <c r="R42" s="3310" t="e">
        <f>ROUND(PRODUCT(R41,AA7:AA40),0)</f>
        <v>#DIV/0!</v>
      </c>
      <c r="S42" s="3310"/>
      <c r="T42" s="3310" t="e">
        <f>ROUND(PRODUCT(T41,AB7:AB40),0)</f>
        <v>#DIV/0!</v>
      </c>
      <c r="U42" s="3310"/>
      <c r="V42" s="3310" t="e">
        <f>ROUND(PRODUCT(V41,AC7:AC40),0)</f>
        <v>#DIV/0!</v>
      </c>
      <c r="W42" s="3310"/>
      <c r="X42" s="757"/>
      <c r="Y42" s="757"/>
      <c r="Z42" s="757"/>
      <c r="AA42" s="757"/>
      <c r="AB42" s="757"/>
      <c r="AC42" s="757"/>
    </row>
    <row r="43" spans="1:29" ht="15.75" thickBot="1">
      <c r="A43" s="492" t="s">
        <v>2662</v>
      </c>
      <c r="B43" s="493"/>
      <c r="C43" s="494" t="e">
        <f>R43</f>
        <v>#DIV/0!</v>
      </c>
      <c r="D43" s="494"/>
      <c r="E43" s="494"/>
      <c r="F43" s="494"/>
      <c r="G43" s="494"/>
      <c r="H43" s="494"/>
      <c r="I43" s="494"/>
      <c r="J43" s="494"/>
      <c r="K43" s="783"/>
      <c r="L43" s="1139"/>
      <c r="M43" s="1127"/>
      <c r="N43" s="1127"/>
      <c r="O43" s="1140"/>
      <c r="P43" s="3311" t="str">
        <f>A43</f>
        <v>估价对象XX用房的比较价值（楼面单价，元/平方米）</v>
      </c>
      <c r="Q43" s="3312"/>
      <c r="R43" s="3313" t="e">
        <f>ROUND(AVERAGE(R42:V42),0)</f>
        <v>#DIV/0!</v>
      </c>
      <c r="S43" s="3313"/>
      <c r="T43" s="3313"/>
      <c r="U43" s="3313"/>
      <c r="V43" s="3313"/>
      <c r="W43" s="3313"/>
      <c r="X43" s="757"/>
      <c r="Y43" s="757"/>
      <c r="Z43" s="757"/>
      <c r="AA43" s="757"/>
      <c r="AB43" s="757"/>
      <c r="AC43" s="757"/>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0"/>
      <c r="D49" s="758"/>
      <c r="E49" s="758"/>
      <c r="F49" s="758"/>
      <c r="G49" s="758"/>
      <c r="H49" s="758"/>
      <c r="I49" s="758"/>
      <c r="J49" s="758"/>
      <c r="K49" s="1144"/>
      <c r="L49" s="1145"/>
      <c r="M49" s="1141"/>
      <c r="N49" s="1141"/>
      <c r="O49" s="1141"/>
    </row>
    <row r="50" spans="1:17" ht="27">
      <c r="A50" s="683" t="s">
        <v>2750</v>
      </c>
      <c r="B50" s="684" t="s">
        <v>2751</v>
      </c>
      <c r="C50" s="2696" t="s">
        <v>2752</v>
      </c>
      <c r="D50" s="2697" t="s">
        <v>2753</v>
      </c>
      <c r="E50" s="685" t="s">
        <v>2754</v>
      </c>
      <c r="F50" s="686" t="s">
        <v>2755</v>
      </c>
      <c r="G50" s="3292" t="s">
        <v>2756</v>
      </c>
      <c r="H50" s="3314"/>
      <c r="I50" s="1809" t="s">
        <v>2793</v>
      </c>
      <c r="J50" s="1809">
        <f>项目基本情况!F35</f>
        <v>0</v>
      </c>
      <c r="K50" s="2699" t="s">
        <v>2758</v>
      </c>
      <c r="L50" s="1102"/>
      <c r="M50" s="1140"/>
      <c r="N50" s="1140"/>
      <c r="O50" s="1140"/>
    </row>
    <row r="51" spans="1:17" s="691" customFormat="1">
      <c r="A51" s="687" t="s">
        <v>2759</v>
      </c>
      <c r="B51" s="688" t="e">
        <f>C43</f>
        <v>#DIV/0!</v>
      </c>
      <c r="C51" s="689">
        <v>1</v>
      </c>
      <c r="D51" s="1159">
        <v>1</v>
      </c>
      <c r="E51" s="689">
        <f>'数据-汇总表'!E8+'数据-汇总表'!E9</f>
        <v>218042.81</v>
      </c>
      <c r="F51" s="690" t="e">
        <f t="shared" ref="F51:F60" si="15">ROUND(B51*E51/10000,0)</f>
        <v>#DIV/0!</v>
      </c>
      <c r="G51" s="3315"/>
      <c r="H51" s="3291"/>
      <c r="I51" s="938">
        <v>1</v>
      </c>
      <c r="J51" s="938">
        <v>1</v>
      </c>
      <c r="K51" s="1141"/>
      <c r="L51" s="937"/>
      <c r="M51" s="937"/>
      <c r="N51" s="937"/>
      <c r="O51" s="937"/>
    </row>
    <row r="52" spans="1:17" s="691" customFormat="1">
      <c r="A52" s="692" t="s">
        <v>2760</v>
      </c>
      <c r="B52" s="262" t="e">
        <f>ROUND($C$43*C52*D52,0)</f>
        <v>#DIV/0!</v>
      </c>
      <c r="C52" s="200">
        <f t="shared" ref="C52:C60" si="16">IF($C$50="北京市系数",I52,J52)</f>
        <v>0</v>
      </c>
      <c r="D52" s="1160">
        <v>0.25</v>
      </c>
      <c r="E52" s="693"/>
      <c r="F52" s="690" t="e">
        <f t="shared" si="15"/>
        <v>#DIV/0!</v>
      </c>
      <c r="G52" s="3316" t="s">
        <v>2761</v>
      </c>
      <c r="H52" s="1100">
        <f>项目基本情况!B37</f>
        <v>0</v>
      </c>
      <c r="I52" s="938">
        <f>SUMIF(修正!A45:A56,H52,修正!B45:B56)</f>
        <v>0</v>
      </c>
      <c r="J52" s="939"/>
      <c r="K52" s="1140"/>
      <c r="L52" s="937"/>
      <c r="M52" s="937"/>
      <c r="N52" s="937"/>
      <c r="O52" s="937"/>
    </row>
    <row r="53" spans="1:17" s="691" customFormat="1">
      <c r="A53" s="692" t="s">
        <v>2762</v>
      </c>
      <c r="B53" s="262" t="e">
        <f t="shared" ref="B53:B60" si="17">ROUND($C$43*C53*D53,0)</f>
        <v>#DIV/0!</v>
      </c>
      <c r="C53" s="200">
        <f t="shared" si="16"/>
        <v>0</v>
      </c>
      <c r="D53" s="1160">
        <v>0.25</v>
      </c>
      <c r="E53" s="693"/>
      <c r="F53" s="690" t="e">
        <f t="shared" si="15"/>
        <v>#DIV/0!</v>
      </c>
      <c r="G53" s="3316"/>
      <c r="H53" s="1100">
        <f>项目基本情况!B37</f>
        <v>0</v>
      </c>
      <c r="I53" s="938">
        <f>SUMIF(修正!A45:A56,H53,修正!C45:C56)</f>
        <v>0</v>
      </c>
      <c r="J53" s="939"/>
      <c r="K53" s="1141"/>
      <c r="L53" s="937"/>
      <c r="M53" s="937"/>
      <c r="N53" s="937"/>
      <c r="O53" s="937"/>
    </row>
    <row r="54" spans="1:17" s="691" customFormat="1">
      <c r="A54" s="692" t="s">
        <v>2763</v>
      </c>
      <c r="B54" s="262" t="e">
        <f t="shared" si="17"/>
        <v>#DIV/0!</v>
      </c>
      <c r="C54" s="200">
        <f t="shared" si="16"/>
        <v>0</v>
      </c>
      <c r="D54" s="1160">
        <v>0.25</v>
      </c>
      <c r="E54" s="693"/>
      <c r="F54" s="690" t="e">
        <f t="shared" si="15"/>
        <v>#DIV/0!</v>
      </c>
      <c r="G54" s="3316"/>
      <c r="H54" s="1100">
        <f>项目基本情况!B37</f>
        <v>0</v>
      </c>
      <c r="I54" s="938">
        <f>SUMIF(修正!A45:A56,H54,修正!D45:D56)</f>
        <v>0</v>
      </c>
      <c r="J54" s="939"/>
      <c r="K54" s="1140"/>
      <c r="L54" s="937"/>
      <c r="M54" s="937"/>
      <c r="N54" s="937"/>
      <c r="O54" s="937"/>
    </row>
    <row r="55" spans="1:17" s="691" customFormat="1">
      <c r="A55" s="692" t="s">
        <v>2764</v>
      </c>
      <c r="B55" s="262" t="e">
        <f t="shared" si="17"/>
        <v>#DIV/0!</v>
      </c>
      <c r="C55" s="200">
        <f t="shared" si="16"/>
        <v>0</v>
      </c>
      <c r="D55" s="1160">
        <v>0.25</v>
      </c>
      <c r="E55" s="693"/>
      <c r="F55" s="690" t="e">
        <f t="shared" si="15"/>
        <v>#DIV/0!</v>
      </c>
      <c r="G55" s="3316"/>
      <c r="H55" s="1100">
        <f>项目基本情况!B37</f>
        <v>0</v>
      </c>
      <c r="I55" s="938">
        <f>SUMIF(修正!A45:A56,H55,修正!E45:E56)</f>
        <v>0</v>
      </c>
      <c r="J55" s="939"/>
      <c r="K55" s="1141"/>
      <c r="L55" s="937"/>
      <c r="M55" s="937"/>
      <c r="N55" s="937"/>
      <c r="O55" s="937"/>
    </row>
    <row r="56" spans="1:17" s="691" customFormat="1">
      <c r="A56" s="692" t="s">
        <v>2765</v>
      </c>
      <c r="B56" s="262" t="e">
        <f t="shared" si="17"/>
        <v>#DIV/0!</v>
      </c>
      <c r="C56" s="200">
        <f t="shared" si="16"/>
        <v>0</v>
      </c>
      <c r="D56" s="1160">
        <v>0.25</v>
      </c>
      <c r="E56" s="261">
        <f>'数据-汇总表'!E11</f>
        <v>0</v>
      </c>
      <c r="F56" s="690" t="e">
        <f t="shared" si="15"/>
        <v>#DIV/0!</v>
      </c>
      <c r="G56" s="2700" t="s">
        <v>2766</v>
      </c>
      <c r="H56" s="1100">
        <f>项目基本情况!C37</f>
        <v>0</v>
      </c>
      <c r="I56" s="938">
        <f>SUMIF(修正!A45:A56,H56,修正!F45:F56)</f>
        <v>0</v>
      </c>
      <c r="J56" s="939"/>
      <c r="K56" s="1140"/>
      <c r="L56" s="937"/>
      <c r="M56" s="937"/>
      <c r="N56" s="937"/>
      <c r="O56" s="937"/>
    </row>
    <row r="57" spans="1:17" s="691" customFormat="1">
      <c r="A57" s="692" t="s">
        <v>2767</v>
      </c>
      <c r="B57" s="262" t="e">
        <f t="shared" si="17"/>
        <v>#DIV/0!</v>
      </c>
      <c r="C57" s="200">
        <f t="shared" si="16"/>
        <v>0</v>
      </c>
      <c r="D57" s="1160">
        <v>0.25</v>
      </c>
      <c r="E57" s="261">
        <f>'数据-汇总表'!E12</f>
        <v>0</v>
      </c>
      <c r="F57" s="690" t="e">
        <f t="shared" si="15"/>
        <v>#DIV/0!</v>
      </c>
      <c r="G57" s="1105" t="s">
        <v>2768</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1" customFormat="1">
      <c r="A58" s="692" t="s">
        <v>2769</v>
      </c>
      <c r="B58" s="262" t="e">
        <f t="shared" si="17"/>
        <v>#DIV/0!</v>
      </c>
      <c r="C58" s="200">
        <f t="shared" si="16"/>
        <v>0</v>
      </c>
      <c r="D58" s="1160">
        <v>0.25</v>
      </c>
      <c r="E58" s="261">
        <f>'数据-汇总表'!E13</f>
        <v>115386.06</v>
      </c>
      <c r="F58" s="690" t="e">
        <f t="shared" si="15"/>
        <v>#DIV/0!</v>
      </c>
      <c r="G58" s="1105" t="s">
        <v>2770</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2771</v>
      </c>
      <c r="B59" s="262" t="e">
        <f t="shared" si="17"/>
        <v>#DIV/0!</v>
      </c>
      <c r="C59" s="200">
        <f t="shared" si="16"/>
        <v>0</v>
      </c>
      <c r="D59" s="1160">
        <v>0.25</v>
      </c>
      <c r="E59" s="261">
        <f>'数据-汇总表'!E14</f>
        <v>0</v>
      </c>
      <c r="F59" s="690" t="e">
        <f t="shared" si="15"/>
        <v>#DIV/0!</v>
      </c>
      <c r="G59" s="2700" t="s">
        <v>2761</v>
      </c>
      <c r="H59" s="1100">
        <f>项目基本情况!B37</f>
        <v>0</v>
      </c>
      <c r="I59" s="938">
        <f>SUMIF(修正!A45:A56,H59,修正!H45:H56)</f>
        <v>0</v>
      </c>
      <c r="J59" s="939"/>
      <c r="K59" s="1141"/>
      <c r="L59" s="937"/>
      <c r="M59" s="937"/>
      <c r="N59" s="937"/>
      <c r="O59" s="937"/>
    </row>
    <row r="60" spans="1:17" s="691" customFormat="1" ht="15" thickBot="1">
      <c r="A60" s="692" t="s">
        <v>2772</v>
      </c>
      <c r="B60" s="262" t="e">
        <f t="shared" si="17"/>
        <v>#DIV/0!</v>
      </c>
      <c r="C60" s="200">
        <f t="shared" si="16"/>
        <v>0</v>
      </c>
      <c r="D60" s="1160">
        <v>0.25</v>
      </c>
      <c r="E60" s="261">
        <f>'数据-汇总表'!E15</f>
        <v>0</v>
      </c>
      <c r="F60" s="690" t="e">
        <f t="shared" si="15"/>
        <v>#DIV/0!</v>
      </c>
      <c r="G60" s="2701" t="s">
        <v>2766</v>
      </c>
      <c r="H60" s="1110">
        <f>项目基本情况!C37</f>
        <v>0</v>
      </c>
      <c r="I60" s="938">
        <f>SUMIF(修正!A45:A56,H60,修正!H45:H56)</f>
        <v>0</v>
      </c>
      <c r="J60" s="939"/>
      <c r="K60" s="1140"/>
      <c r="L60" s="937"/>
      <c r="M60" s="937"/>
      <c r="N60" s="937"/>
      <c r="O60" s="937"/>
    </row>
    <row r="61" spans="1:17" s="691" customFormat="1" ht="15" thickBot="1">
      <c r="A61" s="694" t="s">
        <v>2773</v>
      </c>
      <c r="B61" s="695" t="s">
        <v>28</v>
      </c>
      <c r="C61" s="695" t="s">
        <v>29</v>
      </c>
      <c r="D61" s="695" t="s">
        <v>1026</v>
      </c>
      <c r="E61" s="695">
        <f>IF(B41="楼面地价",SUM(E51:E60),'数据-汇总表'!D3)</f>
        <v>25136</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9" t="str">
        <f>YEAR(C7)&amp;"-"&amp;MONTH(C7)&amp;"-1"</f>
        <v>2019-11-1</v>
      </c>
      <c r="D63" s="759">
        <f>EDATE(C63,-3)</f>
        <v>43678</v>
      </c>
      <c r="E63" s="759">
        <f>EDATE(D63,-3)</f>
        <v>43586</v>
      </c>
      <c r="F63" s="759">
        <f t="shared" ref="F63:O63" si="18">EDATE(E63,-3)</f>
        <v>43497</v>
      </c>
      <c r="G63" s="759">
        <f t="shared" si="18"/>
        <v>43405</v>
      </c>
      <c r="H63" s="759">
        <f t="shared" si="18"/>
        <v>43313</v>
      </c>
      <c r="I63" s="759">
        <f t="shared" si="18"/>
        <v>43221</v>
      </c>
      <c r="J63" s="759">
        <f t="shared" si="18"/>
        <v>43132</v>
      </c>
      <c r="K63" s="759">
        <f t="shared" si="18"/>
        <v>43040</v>
      </c>
      <c r="L63" s="759">
        <f t="shared" si="18"/>
        <v>42948</v>
      </c>
      <c r="M63" s="759">
        <f t="shared" si="18"/>
        <v>42856</v>
      </c>
      <c r="N63" s="759">
        <f t="shared" si="18"/>
        <v>42767</v>
      </c>
      <c r="O63" s="759">
        <f t="shared" si="18"/>
        <v>42675</v>
      </c>
    </row>
    <row r="64" spans="1:17" ht="21.75" thickBot="1">
      <c r="A64" s="761" t="s">
        <v>2666</v>
      </c>
      <c r="B64" s="757"/>
      <c r="C64" s="762"/>
      <c r="D64" s="762"/>
      <c r="E64" s="762"/>
      <c r="F64" s="763"/>
      <c r="G64" s="763"/>
      <c r="H64" s="762"/>
      <c r="I64" s="762"/>
      <c r="J64" s="762"/>
      <c r="K64" s="764"/>
      <c r="L64" s="765"/>
      <c r="M64" s="762"/>
      <c r="N64" s="762"/>
      <c r="O64" s="1155"/>
      <c r="P64" s="503"/>
      <c r="Q64" s="504"/>
    </row>
    <row r="65" spans="1:17" s="508" customFormat="1" ht="15">
      <c r="A65" s="2702" t="s">
        <v>2774</v>
      </c>
      <c r="B65" s="1355"/>
      <c r="C65" s="1567" t="str">
        <f>YEAR(C63)&amp;"-"&amp;ROUNDUP(MONTH(C63)/3,0)</f>
        <v>2019-4</v>
      </c>
      <c r="D65" s="1567" t="str">
        <f t="shared" ref="D65:O65" si="19">YEAR(D63)&amp;"-"&amp;ROUNDUP(MONTH(D63)/3,0)</f>
        <v>2019-3</v>
      </c>
      <c r="E65" s="1567" t="str">
        <f t="shared" si="19"/>
        <v>2019-2</v>
      </c>
      <c r="F65" s="1567" t="str">
        <f t="shared" si="19"/>
        <v>2019-1</v>
      </c>
      <c r="G65" s="1567" t="str">
        <f t="shared" si="19"/>
        <v>2018-4</v>
      </c>
      <c r="H65" s="1567" t="str">
        <f t="shared" si="19"/>
        <v>2018-3</v>
      </c>
      <c r="I65" s="1567" t="str">
        <f t="shared" si="19"/>
        <v>2018-2</v>
      </c>
      <c r="J65" s="1567" t="str">
        <f t="shared" si="19"/>
        <v>2018-1</v>
      </c>
      <c r="K65" s="1567" t="str">
        <f t="shared" si="19"/>
        <v>2017-4</v>
      </c>
      <c r="L65" s="1567" t="str">
        <f t="shared" si="19"/>
        <v>2017-3</v>
      </c>
      <c r="M65" s="1567" t="str">
        <f t="shared" si="19"/>
        <v>2017-2</v>
      </c>
      <c r="N65" s="1567" t="str">
        <f t="shared" si="19"/>
        <v>2017-1</v>
      </c>
      <c r="O65" s="1567" t="str">
        <f t="shared" si="19"/>
        <v>2016-4</v>
      </c>
      <c r="P65" s="507"/>
    </row>
    <row r="66" spans="1:17" s="117" customFormat="1" ht="30.75" customHeight="1">
      <c r="A66" s="2707" t="s">
        <v>2794</v>
      </c>
      <c r="B66" s="332" t="str">
        <f>"北京市平均增长率"&amp;TEXT(基准地价修正!P24,"0.00%")</f>
        <v>北京市平均增长率1.38%</v>
      </c>
      <c r="C66" s="603">
        <v>100</v>
      </c>
      <c r="D66" s="595"/>
      <c r="E66" s="595"/>
      <c r="F66" s="595"/>
      <c r="G66" s="595"/>
      <c r="H66" s="595"/>
      <c r="I66" s="595"/>
      <c r="J66" s="595"/>
      <c r="K66" s="595"/>
      <c r="L66" s="595"/>
      <c r="M66" s="1563"/>
      <c r="N66" s="1563"/>
      <c r="O66" s="1564"/>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47"/>
      <c r="O68" s="1147"/>
      <c r="P68" s="526"/>
      <c r="Q68" s="504"/>
    </row>
    <row r="69" spans="1:17" s="117" customFormat="1" ht="15.75" thickBot="1">
      <c r="A69" s="521"/>
      <c r="B69" s="510"/>
      <c r="C69" s="638">
        <v>100</v>
      </c>
      <c r="D69" s="512"/>
      <c r="E69" s="512"/>
      <c r="F69" s="512"/>
      <c r="G69" s="512"/>
      <c r="H69" s="512"/>
      <c r="I69" s="512"/>
      <c r="J69" s="512"/>
      <c r="K69" s="512"/>
      <c r="L69" s="512"/>
      <c r="M69" s="514"/>
      <c r="N69" s="1147"/>
      <c r="O69" s="1147"/>
      <c r="P69" s="504"/>
      <c r="Q69" s="504"/>
    </row>
    <row r="70" spans="1:17">
      <c r="A70" s="527" t="s">
        <v>2580</v>
      </c>
      <c r="B70" s="528" t="s">
        <v>2546</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2549</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7"/>
      <c r="M87" s="621"/>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1"/>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2795</v>
      </c>
      <c r="C93" s="659" t="s">
        <v>2667</v>
      </c>
      <c r="D93" s="659" t="s">
        <v>2668</v>
      </c>
      <c r="E93" s="659" t="s">
        <v>2669</v>
      </c>
      <c r="F93" s="659" t="s">
        <v>2670</v>
      </c>
      <c r="G93" s="659" t="s">
        <v>2671</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2683</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2742</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4"/>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6"/>
      <c r="H106" s="676"/>
      <c r="I106" s="676"/>
      <c r="J106" s="676"/>
      <c r="K106" s="676"/>
      <c r="L106" s="676"/>
      <c r="M106" s="698"/>
      <c r="N106" s="1149"/>
      <c r="O106" s="1149"/>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2784</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2786</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2787</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699"/>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79" customWidth="1"/>
    <col min="2" max="2" width="19.25" style="2885" customWidth="1"/>
    <col min="3" max="4" width="12" style="2711"/>
    <col min="5" max="5" width="14.625" style="2711" customWidth="1"/>
    <col min="6" max="8" width="12" style="2711"/>
    <col min="9" max="9" width="12.25" style="2711" bestFit="1" customWidth="1"/>
    <col min="10" max="10" width="12" style="2711"/>
    <col min="11" max="11" width="8.125" style="2774" customWidth="1"/>
    <col min="12" max="12" width="12" style="2711"/>
    <col min="13" max="13" width="8.5" style="2711" customWidth="1"/>
    <col min="14" max="14" width="9.75" style="2711" customWidth="1"/>
    <col min="15" max="25" width="12" style="2711"/>
    <col min="26" max="26" width="9.375" style="2779" customWidth="1"/>
    <col min="27" max="32" width="9.375" style="1368" customWidth="1"/>
    <col min="33" max="36" width="9.375" style="2779" customWidth="1"/>
    <col min="37" max="38" width="9.375" style="2711" customWidth="1"/>
    <col min="39" max="16384" width="12" style="2711"/>
  </cols>
  <sheetData>
    <row r="1" spans="1:36" ht="28.5">
      <c r="A1" s="240" t="s">
        <v>2796</v>
      </c>
      <c r="B1" s="241"/>
      <c r="C1" s="245" t="s">
        <v>2797</v>
      </c>
      <c r="D1" s="388">
        <f>SUM(D29:D30,D33:D39)</f>
        <v>0</v>
      </c>
      <c r="E1" s="2708"/>
      <c r="F1" s="2708"/>
      <c r="G1" s="2708"/>
      <c r="H1" s="2708"/>
      <c r="I1" s="2708"/>
      <c r="J1" s="2708"/>
      <c r="K1" s="1366"/>
      <c r="L1" s="2709" t="s">
        <v>2798</v>
      </c>
      <c r="M1" s="1076">
        <f>SUMPRODUCT((区片价!B5:B9=I2)*(区片价!C3:F3=E2)*(区片价!C5:F9))</f>
        <v>0</v>
      </c>
      <c r="N1" s="1079">
        <f>SUMPRODUCT((因素修正幅度!B5:B9=I2)*(因素修正幅度!C3:F3=E2)*(因素修正幅度!C5:F9))</f>
        <v>0</v>
      </c>
      <c r="O1" s="2710"/>
      <c r="P1" s="2710"/>
      <c r="Q1" s="1366"/>
      <c r="R1" s="1597" t="s">
        <v>2799</v>
      </c>
      <c r="S1" s="1597" t="s">
        <v>2800</v>
      </c>
      <c r="T1" s="1597" t="s">
        <v>2801</v>
      </c>
      <c r="U1" s="1597" t="s">
        <v>2802</v>
      </c>
      <c r="V1" s="1597" t="s">
        <v>2803</v>
      </c>
      <c r="W1" s="1601"/>
      <c r="X1" s="1601"/>
      <c r="Y1" s="1601"/>
      <c r="Z1" s="1601"/>
      <c r="AA1" s="1601"/>
      <c r="AB1" s="1601"/>
      <c r="AC1" s="1602"/>
      <c r="AD1" s="1603"/>
      <c r="AE1" s="1603"/>
      <c r="AF1" s="1603"/>
      <c r="AG1" s="1603"/>
      <c r="AH1" s="1603"/>
      <c r="AI1" s="1603"/>
      <c r="AJ1" s="1604"/>
    </row>
    <row r="2" spans="1:36" ht="15.75">
      <c r="A2" s="245" t="s">
        <v>2804</v>
      </c>
      <c r="B2" s="248" t="e">
        <f>C26</f>
        <v>#DIV/0!</v>
      </c>
      <c r="C2" s="2712" t="s">
        <v>2805</v>
      </c>
      <c r="D2" s="2713" t="s">
        <v>2806</v>
      </c>
      <c r="E2" s="2714"/>
      <c r="F2" s="2713" t="s">
        <v>2807</v>
      </c>
      <c r="G2" s="2715">
        <f>IF(E2="商业",项目基本情况!B37,IF(E2="办公",项目基本情况!C37,IF(E2="住宅",项目基本情况!D37,项目基本情况!E37)))</f>
        <v>0</v>
      </c>
      <c r="H2" s="2713" t="s">
        <v>2808</v>
      </c>
      <c r="I2" s="2715">
        <f>IF(E2="商业",项目基本情况!B38,IF(E2="办公",项目基本情况!C38,IF(E2="住宅",项目基本情况!D38,项目基本情况!E38)))</f>
        <v>0</v>
      </c>
      <c r="J2" s="2716"/>
      <c r="K2" s="1366"/>
      <c r="L2" s="2717" t="s">
        <v>2809</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7" t="s">
        <v>2810</v>
      </c>
      <c r="B3" s="248" t="e">
        <f>ROUND(B2*10000/D1,0)</f>
        <v>#DIV/0!</v>
      </c>
      <c r="C3" s="2712" t="s">
        <v>2811</v>
      </c>
      <c r="D3" s="2713" t="s">
        <v>2812</v>
      </c>
      <c r="E3" s="2718"/>
      <c r="F3" s="2719" t="s">
        <v>2813</v>
      </c>
      <c r="G3" s="912">
        <f>IF(F3="宗地容积率",'数据-汇总表'!I4,IF(F3="估价对象容积率",'数据-汇总表'!I6,'数据-汇总表'!I7))</f>
        <v>8.86</v>
      </c>
      <c r="H3" s="198" t="s">
        <v>2814</v>
      </c>
      <c r="I3" s="940"/>
      <c r="J3" s="2716" t="s">
        <v>2815</v>
      </c>
      <c r="K3" s="1366"/>
      <c r="L3" s="2717" t="s">
        <v>2816</v>
      </c>
      <c r="M3" s="1077">
        <f>SUMPRODUCT((区片价!B29:B48=I2)*(区片价!C3:F3=E2)*(区片价!C29:F48))</f>
        <v>0</v>
      </c>
      <c r="N3" s="1079">
        <f>SUMPRODUCT((因素修正幅度!B29:B48=I2)*(因素修正幅度!C3:F3=E2)*(因素修正幅度!C29:F48))</f>
        <v>0</v>
      </c>
      <c r="O3" s="1366"/>
      <c r="P3" s="1366"/>
      <c r="Q3" s="1366"/>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394"/>
      <c r="B4" s="3395"/>
      <c r="C4" s="3395"/>
      <c r="D4" s="3396"/>
      <c r="E4" s="3396"/>
      <c r="F4" s="3396"/>
      <c r="G4" s="3396"/>
      <c r="H4" s="3396"/>
      <c r="I4" s="3396"/>
      <c r="J4" s="3397"/>
      <c r="K4" s="1366"/>
      <c r="L4" s="2717" t="s">
        <v>2817</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29" customFormat="1" ht="15.75" thickBot="1">
      <c r="A5" s="2720" t="s">
        <v>807</v>
      </c>
      <c r="B5" s="2721" t="s">
        <v>2818</v>
      </c>
      <c r="C5" s="913" t="e">
        <f>ROUND(IF(E2="商业",C6*C7+C16,(IF(E2="住宅",C6*C12+C16,C6+C16))),0)</f>
        <v>#DIV/0!</v>
      </c>
      <c r="D5" s="1782" t="e">
        <f>ROUND(C6+C16,0)</f>
        <v>#DIV/0!</v>
      </c>
      <c r="E5" s="1782"/>
      <c r="F5" s="2722"/>
      <c r="G5" s="2723"/>
      <c r="H5" s="2723"/>
      <c r="I5" s="2723"/>
      <c r="J5" s="2724"/>
      <c r="K5" s="2725"/>
      <c r="L5" s="2717" t="s">
        <v>2819</v>
      </c>
      <c r="M5" s="1077">
        <f>SUMPRODUCT((区片价!B76:B109=I2)*(区片价!C3:F3=E2)*(区片价!C76:F109))</f>
        <v>0</v>
      </c>
      <c r="N5" s="1079">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6"/>
      <c r="AD5" s="2727"/>
      <c r="AE5" s="2727"/>
      <c r="AF5" s="2727"/>
      <c r="AG5" s="2727"/>
      <c r="AH5" s="2727"/>
      <c r="AI5" s="2727"/>
      <c r="AJ5" s="2728"/>
    </row>
    <row r="6" spans="1:36" ht="15.75" thickBot="1">
      <c r="A6" s="2730" t="s">
        <v>2820</v>
      </c>
      <c r="B6" s="2731" t="s">
        <v>2821</v>
      </c>
      <c r="C6" s="914">
        <f>SUMIF(L1:L12,G2,M1:M12)</f>
        <v>0</v>
      </c>
      <c r="D6" s="2732" t="s">
        <v>2822</v>
      </c>
      <c r="E6" s="2733"/>
      <c r="F6" s="2733"/>
      <c r="G6" s="2734"/>
      <c r="H6" s="2734"/>
      <c r="I6" s="2734"/>
      <c r="J6" s="2735"/>
      <c r="K6" s="1837"/>
      <c r="L6" s="2717" t="s">
        <v>2823</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6"/>
      <c r="AD6" s="2727"/>
      <c r="AE6" s="2727"/>
      <c r="AF6" s="2727"/>
      <c r="AG6" s="2727"/>
      <c r="AH6" s="2727"/>
      <c r="AI6" s="2727"/>
      <c r="AJ6" s="2728"/>
    </row>
    <row r="7" spans="1:36" ht="24">
      <c r="A7" s="3378" t="str">
        <f>IF(E2="商业",IF(C8="不临58条商业街","",2),"")</f>
        <v/>
      </c>
      <c r="B7" s="2736" t="s">
        <v>2824</v>
      </c>
      <c r="C7" s="915" t="e">
        <f>IF(C8="不临58条商业街",1,ROUND(1+(1.6*E8+1.2*E9+0.8*E10+0.4*E11)*C9,4))</f>
        <v>#DIV/0!</v>
      </c>
      <c r="D7" s="2737" t="s">
        <v>2825</v>
      </c>
      <c r="E7" s="941"/>
      <c r="F7" s="2738"/>
      <c r="G7" s="2739"/>
      <c r="H7" s="2739"/>
      <c r="I7" s="2739"/>
      <c r="J7" s="2740"/>
      <c r="K7" s="1837"/>
      <c r="L7" s="2717" t="s">
        <v>2826</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2827</v>
      </c>
      <c r="X7" s="1599">
        <f>G2</f>
        <v>0</v>
      </c>
      <c r="Y7" s="1599" t="s">
        <v>2828</v>
      </c>
      <c r="Z7" s="1600">
        <f>G3</f>
        <v>8.86</v>
      </c>
      <c r="AA7" s="1601"/>
      <c r="AB7" s="1601"/>
      <c r="AC7" s="1602"/>
      <c r="AD7" s="1603"/>
      <c r="AE7" s="1603"/>
      <c r="AF7" s="1603"/>
      <c r="AG7" s="1603"/>
      <c r="AH7" s="1603"/>
      <c r="AI7" s="1603"/>
      <c r="AJ7" s="1604"/>
    </row>
    <row r="8" spans="1:36" ht="15">
      <c r="A8" s="3398"/>
      <c r="B8" s="198" t="s">
        <v>2829</v>
      </c>
      <c r="C8" s="2741"/>
      <c r="D8" s="916" t="s">
        <v>139</v>
      </c>
      <c r="E8" s="917" t="e">
        <f>ROUND(C11/E7,4)</f>
        <v>#DIV/0!</v>
      </c>
      <c r="F8" s="2742" t="s">
        <v>2830</v>
      </c>
      <c r="G8" s="2743"/>
      <c r="H8" s="2743"/>
      <c r="I8" s="2743"/>
      <c r="J8" s="2744"/>
      <c r="K8" s="1366"/>
      <c r="L8" s="2717" t="s">
        <v>2831</v>
      </c>
      <c r="M8" s="1077">
        <f>SUMPRODUCT((区片价!B206:B244=I2)*(区片价!C3:F3=E2)*(区片价!C206:F244))</f>
        <v>0</v>
      </c>
      <c r="N8" s="1079">
        <f>SUMPRODUCT((因素修正幅度!B206:B244=I2)*(因素修正幅度!C3:F3=E2)*(因素修正幅度!C206:F244))</f>
        <v>0</v>
      </c>
      <c r="O8" s="1366"/>
      <c r="P8" s="1366"/>
      <c r="Q8" s="1366"/>
      <c r="R8" s="1597">
        <v>7</v>
      </c>
      <c r="S8" s="1598"/>
      <c r="T8" s="1597" t="e">
        <f t="shared" si="0"/>
        <v>#DIV/0!</v>
      </c>
      <c r="U8" s="1598"/>
      <c r="V8" s="1597" t="e">
        <f t="shared" si="1"/>
        <v>#DIV/0!</v>
      </c>
      <c r="W8" s="3391" t="s">
        <v>2832</v>
      </c>
      <c r="X8" s="3392"/>
      <c r="Y8" s="1605" t="s">
        <v>2833</v>
      </c>
      <c r="Z8" s="1605" t="s">
        <v>2834</v>
      </c>
      <c r="AA8" s="1605" t="s">
        <v>2835</v>
      </c>
      <c r="AB8" s="1605" t="s">
        <v>2836</v>
      </c>
      <c r="AC8" s="1605" t="s">
        <v>2837</v>
      </c>
      <c r="AD8" s="1605" t="s">
        <v>2838</v>
      </c>
      <c r="AE8" s="1605" t="s">
        <v>2839</v>
      </c>
      <c r="AF8" s="1605" t="s">
        <v>2840</v>
      </c>
      <c r="AG8" s="1605" t="s">
        <v>2841</v>
      </c>
      <c r="AH8" s="1605" t="s">
        <v>2842</v>
      </c>
      <c r="AI8" s="1605" t="s">
        <v>2843</v>
      </c>
      <c r="AJ8" s="1605" t="s">
        <v>2844</v>
      </c>
    </row>
    <row r="9" spans="1:36" ht="15">
      <c r="A9" s="3398"/>
      <c r="B9" s="198" t="s">
        <v>2845</v>
      </c>
      <c r="C9" s="918">
        <f>SUMIF(修正!C59:C119,C8,修正!E59:E119)</f>
        <v>0</v>
      </c>
      <c r="D9" s="200" t="s">
        <v>140</v>
      </c>
      <c r="E9" s="200" t="e">
        <f>ROUND(C11/E7,4)</f>
        <v>#DIV/0!</v>
      </c>
      <c r="F9" s="2742" t="s">
        <v>2846</v>
      </c>
      <c r="G9" s="2743"/>
      <c r="H9" s="2743"/>
      <c r="I9" s="2743"/>
      <c r="J9" s="2744"/>
      <c r="K9" s="1366"/>
      <c r="L9" s="2717" t="s">
        <v>2847</v>
      </c>
      <c r="M9" s="1077">
        <f>SUMPRODUCT((区片价!B245:B289=I2)*(区片价!C3:F3=E2)*(区片价!C245:F289))</f>
        <v>0</v>
      </c>
      <c r="N9" s="1079">
        <f>SUMPRODUCT((因素修正幅度!B245:B289=I2)*(因素修正幅度!C3:F3=E2)*(因素修正幅度!C245:F289))</f>
        <v>0</v>
      </c>
      <c r="O9" s="1366"/>
      <c r="P9" s="1366"/>
      <c r="Q9" s="1366"/>
      <c r="R9" s="1597">
        <v>8</v>
      </c>
      <c r="S9" s="1598"/>
      <c r="T9" s="1597" t="e">
        <f t="shared" si="0"/>
        <v>#DIV/0!</v>
      </c>
      <c r="U9" s="1598"/>
      <c r="V9" s="1597" t="e">
        <f t="shared" si="1"/>
        <v>#DIV/0!</v>
      </c>
      <c r="W9" s="3393" t="s">
        <v>2848</v>
      </c>
      <c r="X9" s="1606" t="s">
        <v>2849</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98"/>
      <c r="B10" s="198" t="s">
        <v>2850</v>
      </c>
      <c r="C10" s="200">
        <f>SUMIF(修正!C59:C119,C8,修正!F59:F119)</f>
        <v>0</v>
      </c>
      <c r="D10" s="200" t="s">
        <v>141</v>
      </c>
      <c r="E10" s="200" t="e">
        <f>ROUND(C11/E7,4)</f>
        <v>#DIV/0!</v>
      </c>
      <c r="F10" s="2742" t="s">
        <v>2851</v>
      </c>
      <c r="G10" s="2743"/>
      <c r="H10" s="2743"/>
      <c r="I10" s="2743"/>
      <c r="J10" s="2744"/>
      <c r="K10" s="1366"/>
      <c r="L10" s="2717" t="s">
        <v>2852</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t="e">
        <f t="shared" si="0"/>
        <v>#DIV/0!</v>
      </c>
      <c r="U10" s="1598"/>
      <c r="V10" s="1597" t="e">
        <f t="shared" si="1"/>
        <v>#DIV/0!</v>
      </c>
      <c r="W10" s="3393"/>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398"/>
      <c r="B11" s="2745" t="s">
        <v>2853</v>
      </c>
      <c r="C11" s="919">
        <f>C10/4</f>
        <v>0</v>
      </c>
      <c r="D11" s="919" t="s">
        <v>142</v>
      </c>
      <c r="E11" s="919" t="e">
        <f>ROUND(C11/E7,4)</f>
        <v>#DIV/0!</v>
      </c>
      <c r="F11" s="2746" t="s">
        <v>2854</v>
      </c>
      <c r="G11" s="2747"/>
      <c r="H11" s="2747"/>
      <c r="I11" s="2747"/>
      <c r="J11" s="2748"/>
      <c r="K11" s="1366"/>
      <c r="L11" s="2717" t="s">
        <v>2855</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t="e">
        <f t="shared" si="0"/>
        <v>#DIV/0!</v>
      </c>
      <c r="U11" s="1598"/>
      <c r="V11" s="1597" t="e">
        <f t="shared" si="1"/>
        <v>#DIV/0!</v>
      </c>
      <c r="W11" s="3393" t="s">
        <v>2856</v>
      </c>
      <c r="X11" s="1609" t="s">
        <v>2857</v>
      </c>
      <c r="Y11" s="1610">
        <f>$G$3</f>
        <v>8.86</v>
      </c>
      <c r="Z11" s="1610">
        <f t="shared" ref="Z11:AJ11" si="3">$G$3</f>
        <v>8.86</v>
      </c>
      <c r="AA11" s="1610">
        <f t="shared" si="3"/>
        <v>8.86</v>
      </c>
      <c r="AB11" s="1610">
        <f t="shared" si="3"/>
        <v>8.86</v>
      </c>
      <c r="AC11" s="1610">
        <f t="shared" si="3"/>
        <v>8.86</v>
      </c>
      <c r="AD11" s="1610">
        <f t="shared" si="3"/>
        <v>8.86</v>
      </c>
      <c r="AE11" s="1610">
        <f t="shared" si="3"/>
        <v>8.86</v>
      </c>
      <c r="AF11" s="1610">
        <f t="shared" si="3"/>
        <v>8.86</v>
      </c>
      <c r="AG11" s="1610">
        <f t="shared" si="3"/>
        <v>8.86</v>
      </c>
      <c r="AH11" s="1610">
        <f t="shared" si="3"/>
        <v>8.86</v>
      </c>
      <c r="AI11" s="1610">
        <f t="shared" si="3"/>
        <v>8.86</v>
      </c>
      <c r="AJ11" s="1610">
        <f t="shared" si="3"/>
        <v>8.86</v>
      </c>
    </row>
    <row r="12" spans="1:36" ht="25.5" thickBot="1">
      <c r="A12" s="3378" t="s">
        <v>2858</v>
      </c>
      <c r="B12" s="2749" t="s">
        <v>2859</v>
      </c>
      <c r="C12" s="915">
        <f>ROUND(C15*D15*E15*F15*G15*H15*I15*J15,4)</f>
        <v>1</v>
      </c>
      <c r="D12" s="2750" t="s">
        <v>2860</v>
      </c>
      <c r="E12" s="2751"/>
      <c r="F12" s="2751"/>
      <c r="G12" s="2752"/>
      <c r="H12" s="2752"/>
      <c r="I12" s="2752"/>
      <c r="J12" s="2753"/>
      <c r="K12" s="1366"/>
      <c r="L12" s="2754" t="s">
        <v>2861</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t="e">
        <f t="shared" si="0"/>
        <v>#DIV/0!</v>
      </c>
      <c r="U12" s="1598"/>
      <c r="V12" s="1597" t="e">
        <f t="shared" si="1"/>
        <v>#DIV/0!</v>
      </c>
      <c r="W12" s="3393"/>
      <c r="X12" s="1611" t="s">
        <v>2862</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99"/>
      <c r="B13" s="2755" t="s">
        <v>2863</v>
      </c>
      <c r="C13" s="2756" t="s">
        <v>2864</v>
      </c>
      <c r="D13" s="1803" t="s">
        <v>2865</v>
      </c>
      <c r="E13" s="1803" t="s">
        <v>2866</v>
      </c>
      <c r="F13" s="30" t="s">
        <v>2867</v>
      </c>
      <c r="G13" s="2757" t="s">
        <v>2868</v>
      </c>
      <c r="H13" s="2757" t="s">
        <v>2868</v>
      </c>
      <c r="I13" s="2757" t="s">
        <v>2868</v>
      </c>
      <c r="J13" s="2758" t="s">
        <v>2868</v>
      </c>
      <c r="K13" s="1366"/>
      <c r="L13" s="1366"/>
      <c r="M13" s="1366"/>
      <c r="N13" s="1366"/>
      <c r="O13" s="1366"/>
      <c r="P13" s="1366"/>
      <c r="Q13" s="1366"/>
      <c r="R13" s="1597">
        <v>12</v>
      </c>
      <c r="S13" s="1598"/>
      <c r="T13" s="1597" t="e">
        <f t="shared" si="0"/>
        <v>#DIV/0!</v>
      </c>
      <c r="U13" s="1598"/>
      <c r="V13" s="1597" t="e">
        <f t="shared" si="1"/>
        <v>#DIV/0!</v>
      </c>
      <c r="W13" s="3393"/>
      <c r="X13" s="1611"/>
      <c r="Y13" s="1608">
        <f>(-0.163*(Y12^2)-0.59*Y12+7617)*(10^(-4))/Y11</f>
        <v>8.5970654627539514E-2</v>
      </c>
      <c r="Z13" s="1608">
        <f t="shared" ref="Z13:AJ13" si="5">(-0.163*(Z12^2)-0.59*Z12+7617)*(10^(-4))/Z11</f>
        <v>8.5970654627539514E-2</v>
      </c>
      <c r="AA13" s="1608">
        <f t="shared" si="5"/>
        <v>8.5970654627539514E-2</v>
      </c>
      <c r="AB13" s="1608">
        <f t="shared" si="5"/>
        <v>8.5970654627539514E-2</v>
      </c>
      <c r="AC13" s="1608">
        <f t="shared" si="5"/>
        <v>8.5970654627539514E-2</v>
      </c>
      <c r="AD13" s="1608">
        <f t="shared" si="5"/>
        <v>8.5970654627539514E-2</v>
      </c>
      <c r="AE13" s="1608">
        <f t="shared" si="5"/>
        <v>8.5970654627539514E-2</v>
      </c>
      <c r="AF13" s="1608">
        <f t="shared" si="5"/>
        <v>8.5970654627539514E-2</v>
      </c>
      <c r="AG13" s="1608">
        <f t="shared" si="5"/>
        <v>8.5970654627539514E-2</v>
      </c>
      <c r="AH13" s="1608">
        <f t="shared" si="5"/>
        <v>8.5970654627539514E-2</v>
      </c>
      <c r="AI13" s="1608">
        <f t="shared" si="5"/>
        <v>8.5970654627539514E-2</v>
      </c>
      <c r="AJ13" s="1608">
        <f t="shared" si="5"/>
        <v>8.5970654627539514E-2</v>
      </c>
    </row>
    <row r="14" spans="1:36" ht="15">
      <c r="A14" s="3399"/>
      <c r="B14" s="2759"/>
      <c r="C14" s="2760"/>
      <c r="D14" s="2761"/>
      <c r="E14" s="2761"/>
      <c r="F14" s="2762"/>
      <c r="G14" s="2763" t="s">
        <v>2869</v>
      </c>
      <c r="H14" s="2764"/>
      <c r="I14" s="2765"/>
      <c r="J14" s="2766"/>
      <c r="K14" s="1366"/>
      <c r="L14" s="1366"/>
      <c r="M14" s="1366"/>
      <c r="N14" s="1366"/>
      <c r="O14" s="1366"/>
      <c r="P14" s="1366"/>
      <c r="Q14" s="1366"/>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400"/>
      <c r="B15" s="2767" t="s">
        <v>2870</v>
      </c>
      <c r="C15" s="229">
        <f>IF(C14="有",1.1,1)</f>
        <v>1</v>
      </c>
      <c r="D15" s="229">
        <f>IF(D14="有",1.1,1)</f>
        <v>1</v>
      </c>
      <c r="E15" s="229">
        <f>IF(E14="有",1.1,1)</f>
        <v>1</v>
      </c>
      <c r="F15" s="229">
        <f>IF(F14="500米范围内",1.2,IF(F14="500-1000米",1.1,1))</f>
        <v>1</v>
      </c>
      <c r="G15" s="942">
        <v>1</v>
      </c>
      <c r="H15" s="942">
        <v>1</v>
      </c>
      <c r="I15" s="942">
        <v>1</v>
      </c>
      <c r="J15" s="943">
        <v>1</v>
      </c>
      <c r="K15" s="1366"/>
      <c r="Q15" s="1366"/>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 customHeight="1">
      <c r="A16" s="3378" t="s">
        <v>2875</v>
      </c>
      <c r="B16" s="2736" t="s">
        <v>2876</v>
      </c>
      <c r="C16" s="2923" t="e">
        <f>ROUND(IF(F17="与级别开发程度一致",0,(G17-E17)/C17),0)</f>
        <v>#DIV/0!</v>
      </c>
      <c r="D16" s="3389" t="s">
        <v>2880</v>
      </c>
      <c r="E16" s="3390"/>
      <c r="F16" s="3389" t="s">
        <v>2877</v>
      </c>
      <c r="G16" s="3390"/>
      <c r="H16" s="2770"/>
      <c r="I16" s="2770"/>
      <c r="J16" s="2927"/>
      <c r="K16" s="2770"/>
      <c r="L16" s="2770"/>
      <c r="M16" s="2770"/>
      <c r="N16" s="2770"/>
      <c r="O16" s="2771"/>
      <c r="Q16" s="1366"/>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379"/>
      <c r="B17" s="2934" t="s">
        <v>2879</v>
      </c>
      <c r="C17" s="2935">
        <f>SUMPRODUCT((修正!A2:A5=E2)*(修正!B1:M1=G2)*(修正!B2:M5))</f>
        <v>0</v>
      </c>
      <c r="D17" s="229" t="str">
        <f>IF(OR(G2="八级",G2="九级",G2="十级",G2="十一级",G2="十二级"),"五通一平","七通一平")</f>
        <v>七通一平</v>
      </c>
      <c r="E17" s="2924">
        <f>SUMPRODUCT((修正!B1:M1=G2)*(修正!B15:M15))</f>
        <v>0</v>
      </c>
      <c r="F17" s="2925"/>
      <c r="G17" s="2926">
        <f>SUM(H17:O17)</f>
        <v>0</v>
      </c>
      <c r="H17" s="2935">
        <f>SUMPRODUCT((七通一平=H16)*(修正!B1:M1=G2)*(修正!B6:M14))</f>
        <v>0</v>
      </c>
      <c r="I17" s="2935">
        <f>SUMPRODUCT((七通一平=I16)*(修正!B1:M1=G2)*(修正!B6:M14))</f>
        <v>0</v>
      </c>
      <c r="J17" s="2936">
        <f>SUMPRODUCT((七通一平=J16)*(修正!B1:M1=G2)*(修正!B6:M14))</f>
        <v>0</v>
      </c>
      <c r="K17" s="2935">
        <f>SUMPRODUCT((七通一平=K16)*(修正!B1:M1=G2)*(修正!B6:M14))</f>
        <v>0</v>
      </c>
      <c r="L17" s="2935">
        <f>SUMPRODUCT((七通一平=L16)*(修正!B1:M1=G2)*(修正!B6:M14))</f>
        <v>0</v>
      </c>
      <c r="M17" s="2935">
        <f>SUMPRODUCT((七通一平=M16)*(修正!B1:M1=G2)*(修正!B6:M14))</f>
        <v>0</v>
      </c>
      <c r="N17" s="2935">
        <f>SUMPRODUCT((七通一平=N16)*(修正!B1:M1=G2)*(修正!B6:M14))</f>
        <v>0</v>
      </c>
      <c r="O17" s="2937">
        <f>SUMPRODUCT((七通一平=O16)*(修正!B1:M1=G2)*(修正!B6:M14))</f>
        <v>0</v>
      </c>
      <c r="Q17" s="1366"/>
      <c r="R17" s="1366"/>
      <c r="S17" s="1366"/>
      <c r="T17" s="1366"/>
      <c r="U17" s="1366"/>
      <c r="V17" s="1366"/>
      <c r="W17" s="1366"/>
      <c r="X17" s="1366"/>
      <c r="Y17" s="1366"/>
      <c r="Z17" s="1367"/>
      <c r="AE17" s="2774"/>
      <c r="AF17" s="2774"/>
      <c r="AG17" s="2711"/>
      <c r="AH17" s="2711"/>
      <c r="AI17" s="2711"/>
      <c r="AJ17" s="2711"/>
    </row>
    <row r="18" spans="1:37" s="2729" customFormat="1" ht="15.75" thickBot="1">
      <c r="A18" s="2928" t="s">
        <v>808</v>
      </c>
      <c r="B18" s="2929" t="s">
        <v>2882</v>
      </c>
      <c r="C18" s="2930">
        <f>SUMIF(修正!C18:C39,E3,修正!E18:E39)</f>
        <v>0</v>
      </c>
      <c r="D18" s="2931"/>
      <c r="E18" s="2932"/>
      <c r="F18" s="2932"/>
      <c r="G18" s="2932"/>
      <c r="H18" s="2932"/>
      <c r="I18" s="2932"/>
      <c r="J18" s="2933"/>
      <c r="K18" s="1373"/>
      <c r="O18" s="1371"/>
      <c r="P18" s="1371"/>
      <c r="Q18" s="1372"/>
      <c r="R18" s="1372"/>
      <c r="S18" s="1372"/>
      <c r="T18" s="1367"/>
      <c r="U18" s="1367"/>
      <c r="V18" s="1367"/>
      <c r="W18" s="1366"/>
      <c r="X18" s="1366"/>
      <c r="Y18" s="1366"/>
      <c r="Z18" s="1373"/>
      <c r="AA18" s="1374"/>
      <c r="AB18" s="1374"/>
      <c r="AC18" s="1374"/>
      <c r="AD18" s="1374"/>
      <c r="AE18" s="1368"/>
      <c r="AF18" s="1368"/>
      <c r="AG18" s="2779"/>
      <c r="AH18" s="2779"/>
      <c r="AI18" s="2779"/>
    </row>
    <row r="19" spans="1:37" s="2729" customFormat="1" ht="27.75" thickBot="1">
      <c r="A19" s="2775" t="s">
        <v>809</v>
      </c>
      <c r="B19" s="2776" t="s">
        <v>2883</v>
      </c>
      <c r="C19" s="920" t="e">
        <f>ROUND(IF(H19="按公示增长率计算",SUMPRODUCT((地价!A3:A28=YEAR(G19)&amp;"-"&amp;ROUNDUP(MONTH(G19)/3,0))*(地价!X2:AB2=E2)*(地价!X3:AB28)),IF(H19="地价指数",M20/M19,(1+I19)^O19)),4)</f>
        <v>#VALUE!</v>
      </c>
      <c r="D19" s="2780" t="s">
        <v>2884</v>
      </c>
      <c r="E19" s="921">
        <v>41640</v>
      </c>
      <c r="F19" s="2780" t="s">
        <v>2885</v>
      </c>
      <c r="G19" s="922">
        <f>'数据-取费表'!B2</f>
        <v>43796</v>
      </c>
      <c r="H19" s="2781"/>
      <c r="I19" s="923" t="str">
        <f>IF(H19="季度增幅（自定义）",SUMIF(N21:N24,E2,O21:O24),"")</f>
        <v/>
      </c>
      <c r="J19" s="2778"/>
      <c r="K19" s="1373"/>
      <c r="L19" s="2782" t="s">
        <v>2886</v>
      </c>
      <c r="M19" s="1729">
        <f>ROUND(SUMIF(地价!B2:F2,E2,地价!B28:F28),0)</f>
        <v>0</v>
      </c>
      <c r="N19" s="2783" t="s">
        <v>2887</v>
      </c>
      <c r="O19" s="924">
        <f>ROUNDDOWN(DATEDIF(E19,G19,"M")/3,0)</f>
        <v>23</v>
      </c>
      <c r="P19" s="1370"/>
      <c r="Q19" s="1372"/>
      <c r="R19" s="1372"/>
      <c r="S19" s="1372"/>
      <c r="T19" s="1367"/>
      <c r="U19" s="1367"/>
      <c r="V19" s="1367"/>
      <c r="W19" s="1366"/>
      <c r="X19" s="1366"/>
      <c r="Y19" s="1366"/>
      <c r="Z19" s="1373"/>
      <c r="AA19" s="1374"/>
      <c r="AB19" s="1374"/>
      <c r="AC19" s="1374"/>
      <c r="AD19" s="1374"/>
      <c r="AE19" s="1374"/>
      <c r="AF19" s="2784"/>
      <c r="AG19" s="2785"/>
      <c r="AH19" s="2779"/>
      <c r="AI19" s="2786"/>
      <c r="AJ19" s="2786"/>
      <c r="AK19" s="2786"/>
    </row>
    <row r="20" spans="1:37" s="2729" customFormat="1" ht="27.75" thickBot="1">
      <c r="A20" s="2787" t="s">
        <v>810</v>
      </c>
      <c r="B20" s="2788" t="s">
        <v>2888</v>
      </c>
      <c r="C20" s="925" t="e">
        <f>ROUND(POWER(1+G20,J20-I20)*(POWER(1+G20,I20)-1)/(POWER(1+G20,J20)-1),4)</f>
        <v>#DIV/0!</v>
      </c>
      <c r="D20" s="2789" t="s">
        <v>2889</v>
      </c>
      <c r="E20" s="1763">
        <f ca="1">存贷款利率!D4/100</f>
        <v>4.3499999999999997E-2</v>
      </c>
      <c r="F20" s="2789" t="s">
        <v>2881</v>
      </c>
      <c r="G20" s="930">
        <f>SUMIF(M26:P26,E2,M28:P28)</f>
        <v>0</v>
      </c>
      <c r="H20" s="2789" t="s">
        <v>2890</v>
      </c>
      <c r="I20" s="931" t="e">
        <f>SUMIF('数据-取费表'!C6:C15,E2,'数据-取费表'!F6:F15)/COUNTIF('数据-取费表'!C6:C15,E2)</f>
        <v>#DIV/0!</v>
      </c>
      <c r="J20" s="932">
        <f>IF(E2="住宅",70,IF(E2="商业",40,50))</f>
        <v>50</v>
      </c>
      <c r="K20" s="1373"/>
      <c r="L20" s="2790" t="s">
        <v>2891</v>
      </c>
      <c r="M20" s="1730">
        <f>ROUND(SUMPRODUCT((地价!A4:A28=YEAR(G19)&amp;"-"&amp;ROUNDUP(MONTH(G19)/3,0))*(地价!B2:F2=E2)*(地价!B4:F28)),0)</f>
        <v>0</v>
      </c>
      <c r="N20" s="2791" t="s">
        <v>2892</v>
      </c>
      <c r="O20" s="2792" t="s">
        <v>2893</v>
      </c>
      <c r="P20" s="2793" t="s">
        <v>2894</v>
      </c>
      <c r="R20" s="1372"/>
      <c r="S20" s="1372"/>
      <c r="T20" s="1367"/>
      <c r="U20" s="1367"/>
      <c r="V20" s="1367"/>
      <c r="W20" s="1366"/>
      <c r="X20" s="1366"/>
      <c r="Y20" s="1366"/>
      <c r="Z20" s="1373"/>
      <c r="AA20" s="1374"/>
      <c r="AB20" s="1374"/>
      <c r="AC20" s="1374"/>
      <c r="AD20" s="1374"/>
      <c r="AE20" s="1374"/>
      <c r="AF20" s="1374"/>
    </row>
    <row r="21" spans="1:37" s="2729" customFormat="1" ht="15">
      <c r="A21" s="2794" t="s">
        <v>811</v>
      </c>
      <c r="B21" s="2795" t="s">
        <v>2895</v>
      </c>
      <c r="C21" s="933">
        <f>IF(B21="容积率修正",IF(G3&lt;=10,D22,J22),C23)</f>
        <v>0</v>
      </c>
      <c r="D21" s="2796"/>
      <c r="E21" s="2796"/>
      <c r="F21" s="2796"/>
      <c r="G21" s="2796"/>
      <c r="H21" s="2796"/>
      <c r="I21" s="2796"/>
      <c r="J21" s="2797"/>
      <c r="K21" s="1373"/>
      <c r="N21" s="2798" t="s">
        <v>2896</v>
      </c>
      <c r="O21" s="1557"/>
      <c r="P21" s="1558">
        <f>SUMPRODUCT((地价!A3:A28=YEAR(G19)&amp;"-"&amp;ROUNDUP(MONTH(G19)/3,0))*(地价!AD2:AH2=N21)*(地价!AD3:AH28))</f>
        <v>1.41E-2</v>
      </c>
      <c r="R21" s="1372"/>
      <c r="S21" s="1372"/>
      <c r="T21" s="1367"/>
      <c r="U21" s="1367"/>
      <c r="V21" s="1367"/>
      <c r="W21" s="1366"/>
      <c r="X21" s="1366"/>
      <c r="Y21" s="1366"/>
      <c r="Z21" s="1373"/>
      <c r="AA21" s="1374"/>
      <c r="AB21" s="1374"/>
      <c r="AC21" s="1374"/>
      <c r="AD21" s="1374"/>
      <c r="AE21" s="1374"/>
      <c r="AF21" s="1374"/>
    </row>
    <row r="22" spans="1:37" s="2729" customFormat="1" ht="14.25">
      <c r="A22" s="2655" t="s">
        <v>2897</v>
      </c>
      <c r="B22" s="2799" t="s">
        <v>2898</v>
      </c>
      <c r="C22" s="1805" t="s">
        <v>2899</v>
      </c>
      <c r="D22" s="1805">
        <f>IF(E22=G22,F22,IF(G3&lt;=10,ROUND(F22+(H22-F22)*(G3-E22)/(G22-E22),4),"——"))</f>
        <v>0</v>
      </c>
      <c r="E22" s="912">
        <f>ROUNDDOWN(G3,1)</f>
        <v>8.8000000000000007</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8.9</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4" t="str">
        <f>IF(G3&gt;10,D113,"——")</f>
        <v>——</v>
      </c>
      <c r="K22" s="1373"/>
      <c r="N22" s="2798" t="s">
        <v>2900</v>
      </c>
      <c r="O22" s="1557"/>
      <c r="P22" s="1558">
        <f>SUMPRODUCT((地价!A3:A28=YEAR(G19)&amp;"-"&amp;ROUNDUP(MONTH(G19)/3,0))*(地价!AD2:AH2=N22)*(地价!AD3:AH28))</f>
        <v>1.41E-2</v>
      </c>
      <c r="R22" s="1372"/>
      <c r="S22" s="1372"/>
      <c r="T22" s="1367"/>
      <c r="U22" s="1367"/>
      <c r="V22" s="1367"/>
      <c r="W22" s="1366"/>
      <c r="X22" s="1366"/>
      <c r="Y22" s="1366"/>
      <c r="Z22" s="1373"/>
      <c r="AA22" s="1374"/>
      <c r="AB22" s="1374"/>
      <c r="AC22" s="1374"/>
      <c r="AD22" s="1374"/>
      <c r="AE22" s="1374"/>
      <c r="AF22" s="1374"/>
    </row>
    <row r="23" spans="1:37" ht="27.75" thickBot="1">
      <c r="A23" s="2655" t="s">
        <v>2901</v>
      </c>
      <c r="B23" s="2800" t="s">
        <v>2902</v>
      </c>
      <c r="C23" s="1009">
        <f>ROUND(IF(G3&gt;1,IF(I3&lt;7,SUMPRODUCT((B93:B98=I3)*(C92:N92=G2)*(C93:N98)),SUMIF(C92:N92,G2,C100:N100)),IF(I3&lt;7,SUMPRODUCT((B102:B107=I3)*(C92:N92=G2)*(C102:N107)),SUMIF(C92:N92,G2,C109:N109))),4)</f>
        <v>0</v>
      </c>
      <c r="D23" s="2764"/>
      <c r="E23" s="2764"/>
      <c r="F23" s="2801"/>
      <c r="G23" s="2802"/>
      <c r="H23" s="2803"/>
      <c r="I23" s="2804"/>
      <c r="J23" s="2805"/>
      <c r="K23" s="1366"/>
      <c r="N23" s="2798" t="s">
        <v>2903</v>
      </c>
      <c r="O23" s="1557"/>
      <c r="P23" s="1558">
        <f>SUMPRODUCT((地价!A3:A28=YEAR(G19)&amp;"-"&amp;ROUNDUP(MONTH(G19)/3,0))*(地价!AD2:AH2=N23)*(地价!AD3:AH28))</f>
        <v>2.1600000000000001E-2</v>
      </c>
      <c r="R23" s="1372"/>
      <c r="S23" s="1372"/>
      <c r="T23" s="1367"/>
      <c r="U23" s="1367"/>
      <c r="V23" s="1367"/>
      <c r="W23" s="1366"/>
      <c r="X23" s="1366"/>
      <c r="Y23" s="1366"/>
      <c r="Z23" s="1373"/>
      <c r="AA23" s="1374"/>
      <c r="AB23" s="1374"/>
      <c r="AC23" s="1374"/>
      <c r="AD23" s="1374"/>
      <c r="AK23" s="2779"/>
    </row>
    <row r="24" spans="1:37" s="2729" customFormat="1" ht="15.75" thickBot="1">
      <c r="A24" s="2787" t="s">
        <v>812</v>
      </c>
      <c r="B24" s="2776" t="s">
        <v>2904</v>
      </c>
      <c r="C24" s="920">
        <f>SUMIF(A45:A88,E2,B45:B88)</f>
        <v>0</v>
      </c>
      <c r="D24" s="2777"/>
      <c r="E24" s="2806"/>
      <c r="F24" s="2806"/>
      <c r="G24" s="2806"/>
      <c r="H24" s="2806"/>
      <c r="I24" s="2806"/>
      <c r="J24" s="2807"/>
      <c r="K24" s="1373"/>
      <c r="N24" s="2808" t="s">
        <v>2905</v>
      </c>
      <c r="O24" s="1559"/>
      <c r="P24" s="1560">
        <f>SUMPRODUCT((地价!A3:A28=YEAR(G19)&amp;"-"&amp;ROUNDUP(MONTH(G19)/3,0))*(地价!AD2:AH2=N24)*(地价!AD3:AH28))</f>
        <v>1.38E-2</v>
      </c>
      <c r="R24" s="1372"/>
      <c r="S24" s="1372"/>
      <c r="T24" s="1367"/>
      <c r="U24" s="1367"/>
      <c r="V24" s="1367"/>
      <c r="W24" s="1366"/>
      <c r="X24" s="1366"/>
      <c r="Y24" s="1366"/>
      <c r="Z24" s="1373"/>
      <c r="AA24" s="1374"/>
      <c r="AB24" s="1374"/>
      <c r="AC24" s="1374"/>
      <c r="AD24" s="1374"/>
      <c r="AE24" s="1374"/>
      <c r="AF24" s="1374"/>
    </row>
    <row r="25" spans="1:37" ht="15.75" thickBot="1">
      <c r="A25" s="2787" t="s">
        <v>813</v>
      </c>
      <c r="B25" s="2809" t="s">
        <v>2906</v>
      </c>
      <c r="C25" s="926"/>
      <c r="D25" s="2739"/>
      <c r="E25" s="2739"/>
      <c r="F25" s="2810"/>
      <c r="G25" s="2739"/>
      <c r="H25" s="2739"/>
      <c r="I25" s="2739"/>
      <c r="J25" s="2740"/>
      <c r="K25" s="1366"/>
      <c r="N25" s="2811" t="s">
        <v>2907</v>
      </c>
      <c r="O25" s="1561"/>
      <c r="P25" s="1560">
        <f>SUMPRODUCT((地价!A3:A28=YEAR(G19)&amp;"-"&amp;ROUNDUP(MONTH(G19)/3,0))*(地价!AD2:AH2=N25)*(地价!AD3:AH28))</f>
        <v>1.9800000000000002E-2</v>
      </c>
      <c r="R25" s="1372"/>
      <c r="S25" s="1372"/>
      <c r="T25" s="1367"/>
      <c r="U25" s="1367"/>
      <c r="V25" s="1367"/>
      <c r="W25" s="1366"/>
      <c r="X25" s="1366"/>
      <c r="Y25" s="1366"/>
      <c r="Z25" s="1373"/>
      <c r="AA25" s="1374"/>
      <c r="AB25" s="1374"/>
      <c r="AC25" s="1374"/>
      <c r="AD25" s="1374"/>
    </row>
    <row r="26" spans="1:37" ht="15">
      <c r="A26" s="2812"/>
      <c r="B26" s="2799" t="s">
        <v>2908</v>
      </c>
      <c r="C26" s="206" t="e">
        <f>E29+SUM(E33:E39)</f>
        <v>#DIV/0!</v>
      </c>
      <c r="D26" s="2813"/>
      <c r="E26" s="2764"/>
      <c r="F26" s="2814"/>
      <c r="G26" s="2764"/>
      <c r="H26" s="2764"/>
      <c r="I26" s="2764"/>
      <c r="J26" s="2815"/>
      <c r="K26" s="1366"/>
      <c r="L26" s="2768" t="s">
        <v>2806</v>
      </c>
      <c r="M26" s="916" t="s">
        <v>2871</v>
      </c>
      <c r="N26" s="916" t="s">
        <v>2872</v>
      </c>
      <c r="O26" s="916" t="s">
        <v>2873</v>
      </c>
      <c r="P26" s="2769" t="s">
        <v>2874</v>
      </c>
      <c r="R26" s="1372"/>
      <c r="S26" s="1372"/>
      <c r="T26" s="1367"/>
      <c r="U26" s="1367"/>
      <c r="V26" s="1367"/>
      <c r="W26" s="1366"/>
      <c r="X26" s="1366"/>
      <c r="Y26" s="1366"/>
      <c r="Z26" s="1373"/>
      <c r="AA26" s="1374"/>
      <c r="AB26" s="1374"/>
      <c r="AC26" s="1374"/>
      <c r="AD26" s="1374"/>
    </row>
    <row r="27" spans="1:37" ht="15.75" thickBot="1">
      <c r="A27" s="2812"/>
      <c r="B27" s="2816" t="s">
        <v>2909</v>
      </c>
      <c r="C27" s="927" t="e">
        <f>E30+SUM(I33:I39)</f>
        <v>#DIV/0!</v>
      </c>
      <c r="D27" s="2817"/>
      <c r="E27" s="2818"/>
      <c r="F27" s="2819"/>
      <c r="G27" s="2818"/>
      <c r="H27" s="2818"/>
      <c r="I27" s="2818"/>
      <c r="J27" s="2820"/>
      <c r="K27" s="1366"/>
      <c r="L27" s="2772" t="s">
        <v>2878</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1"/>
      <c r="B28" s="2822" t="s">
        <v>2910</v>
      </c>
      <c r="C28" s="2823" t="s">
        <v>2911</v>
      </c>
      <c r="D28" s="2823" t="s">
        <v>2912</v>
      </c>
      <c r="E28" s="2824" t="s">
        <v>2913</v>
      </c>
      <c r="F28" s="2825"/>
      <c r="G28" s="2752"/>
      <c r="H28" s="2752"/>
      <c r="I28" s="2752"/>
      <c r="J28" s="2753"/>
      <c r="K28" s="1366"/>
      <c r="L28" s="2773" t="s">
        <v>2881</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26"/>
      <c r="B29" s="2827" t="s">
        <v>2914</v>
      </c>
      <c r="C29" s="206" t="e">
        <f>ROUND(C5*C18*C19*C20*C21*C24,0)</f>
        <v>#DIV/0!</v>
      </c>
      <c r="D29" s="2828"/>
      <c r="E29" s="938" t="e">
        <f>ROUND(C29*D29/10000,0)</f>
        <v>#DIV/0!</v>
      </c>
      <c r="F29" s="2829" t="s">
        <v>2915</v>
      </c>
      <c r="G29" s="2830"/>
      <c r="H29" s="2830"/>
      <c r="I29" s="2830"/>
      <c r="J29" s="2831"/>
      <c r="K29" s="1366"/>
      <c r="L29" s="1366"/>
      <c r="M29" s="1366"/>
      <c r="N29" s="1366"/>
      <c r="O29" s="1371"/>
      <c r="P29" s="1371"/>
      <c r="Q29" s="1372"/>
      <c r="R29" s="1372"/>
      <c r="S29" s="1372"/>
      <c r="T29" s="1367"/>
      <c r="U29" s="1367"/>
      <c r="V29" s="1367"/>
      <c r="W29" s="1366"/>
      <c r="X29" s="1366"/>
      <c r="Y29" s="1366"/>
      <c r="Z29" s="1373"/>
      <c r="AA29" s="1374"/>
      <c r="AB29" s="1374"/>
      <c r="AC29" s="1374"/>
      <c r="AD29" s="1374"/>
      <c r="AE29" s="2774"/>
      <c r="AF29" s="2774"/>
      <c r="AG29" s="2711"/>
      <c r="AH29" s="2711"/>
      <c r="AI29" s="2711"/>
      <c r="AJ29" s="2711"/>
    </row>
    <row r="30" spans="1:37" ht="25.5" thickBot="1">
      <c r="A30" s="2832"/>
      <c r="B30" s="2833" t="s">
        <v>2916</v>
      </c>
      <c r="C30" s="229" t="e">
        <f>ROUND(IF(E2="工业",C29*M39,C29*M38),0)</f>
        <v>#DIV/0!</v>
      </c>
      <c r="D30" s="2834"/>
      <c r="E30" s="938" t="e">
        <f>ROUND(C30*D30/10000,0)</f>
        <v>#DIV/0!</v>
      </c>
      <c r="F30" s="2835" t="s">
        <v>2917</v>
      </c>
      <c r="G30" s="2836"/>
      <c r="H30" s="2836"/>
      <c r="I30" s="2836"/>
      <c r="J30" s="2837"/>
      <c r="K30" s="1366"/>
      <c r="L30" s="1366"/>
      <c r="M30" s="1366"/>
      <c r="N30" s="1366"/>
      <c r="O30" s="1371"/>
      <c r="P30" s="1371"/>
      <c r="Q30" s="1372"/>
      <c r="R30" s="1372"/>
      <c r="S30" s="1372"/>
      <c r="T30" s="1367"/>
      <c r="U30" s="1367"/>
      <c r="V30" s="1367"/>
      <c r="W30" s="1366"/>
      <c r="X30" s="1366"/>
      <c r="Y30" s="1366"/>
      <c r="Z30" s="1373"/>
      <c r="AA30" s="1374"/>
      <c r="AB30" s="1374"/>
      <c r="AC30" s="1374"/>
      <c r="AD30" s="1374"/>
      <c r="AE30" s="2774"/>
      <c r="AF30" s="2774"/>
      <c r="AG30" s="2711"/>
      <c r="AH30" s="2711"/>
      <c r="AI30" s="2711"/>
      <c r="AJ30" s="2711"/>
    </row>
    <row r="31" spans="1:37" ht="14.25">
      <c r="A31" s="2838"/>
      <c r="B31" s="2839" t="s">
        <v>2918</v>
      </c>
      <c r="C31" s="2840" t="s">
        <v>2919</v>
      </c>
      <c r="D31" s="2752"/>
      <c r="E31" s="2840"/>
      <c r="F31" s="2840"/>
      <c r="G31" s="2750" t="s">
        <v>2920</v>
      </c>
      <c r="H31" s="2752"/>
      <c r="I31" s="2841"/>
      <c r="J31" s="2753"/>
      <c r="K31" s="1366"/>
      <c r="L31" s="1366"/>
      <c r="M31" s="1366"/>
      <c r="N31" s="1366"/>
      <c r="O31" s="1371"/>
      <c r="P31" s="1371"/>
      <c r="Q31" s="1372"/>
      <c r="R31" s="1372"/>
      <c r="S31" s="1372"/>
      <c r="T31" s="1367"/>
      <c r="U31" s="1367"/>
      <c r="V31" s="1367"/>
      <c r="W31" s="1366"/>
      <c r="X31" s="1366"/>
      <c r="Y31" s="1366"/>
      <c r="Z31" s="1373"/>
      <c r="AA31" s="1374"/>
      <c r="AB31" s="1374"/>
      <c r="AC31" s="1374"/>
      <c r="AD31" s="1374"/>
      <c r="AE31" s="2774"/>
      <c r="AF31" s="2774"/>
      <c r="AG31" s="2711"/>
      <c r="AH31" s="2711"/>
      <c r="AI31" s="2711"/>
      <c r="AJ31" s="2711"/>
    </row>
    <row r="32" spans="1:37" ht="24">
      <c r="A32" s="2826"/>
      <c r="B32" s="2842"/>
      <c r="C32" s="501" t="s">
        <v>2911</v>
      </c>
      <c r="D32" s="498" t="s">
        <v>2912</v>
      </c>
      <c r="E32" s="498" t="s">
        <v>2913</v>
      </c>
      <c r="F32" s="388" t="s">
        <v>2921</v>
      </c>
      <c r="G32" s="2843" t="s">
        <v>2911</v>
      </c>
      <c r="H32" s="2843" t="s">
        <v>2912</v>
      </c>
      <c r="I32" s="2843" t="s">
        <v>2913</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4"/>
      <c r="AF32" s="2774"/>
      <c r="AG32" s="2711"/>
      <c r="AH32" s="2711"/>
      <c r="AI32" s="2711"/>
      <c r="AJ32" s="2711"/>
    </row>
    <row r="33" spans="1:37" ht="36" customHeight="1">
      <c r="A33" s="3386" t="s">
        <v>2922</v>
      </c>
      <c r="B33" s="2844" t="s">
        <v>2923</v>
      </c>
      <c r="C33" s="206" t="e">
        <f>ROUND(D5*C19*C20*C24*F33,0)</f>
        <v>#DIV/0!</v>
      </c>
      <c r="D33" s="2828"/>
      <c r="E33" s="200" t="e">
        <f>ROUND(C33*D33/10000,0)</f>
        <v>#DIV/0!</v>
      </c>
      <c r="F33" s="200">
        <f>SUMIF(修正!A45:A56,G2,修正!B45:B56)</f>
        <v>0</v>
      </c>
      <c r="G33" s="200" t="e">
        <f t="shared" ref="G33" si="6">ROUND(IF(E2="工业",C33*$M$39,C33*$M$38),0)</f>
        <v>#DIV/0!</v>
      </c>
      <c r="H33" s="200">
        <f>D33</f>
        <v>0</v>
      </c>
      <c r="I33" s="200" t="e">
        <f>ROUND(G33*H33/10000,0)</f>
        <v>#DIV/0!</v>
      </c>
      <c r="J33" s="2845"/>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87"/>
      <c r="B34" s="2756" t="s">
        <v>2924</v>
      </c>
      <c r="C34" s="206" t="e">
        <f>ROUND(D5*C19*C20*C24*F34,0)</f>
        <v>#DIV/0!</v>
      </c>
      <c r="D34" s="282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5"/>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87"/>
      <c r="B35" s="2756" t="s">
        <v>2925</v>
      </c>
      <c r="C35" s="206" t="e">
        <f>ROUND(D5*C19*C20*C24*F35,0)</f>
        <v>#DIV/0!</v>
      </c>
      <c r="D35" s="2828"/>
      <c r="E35" s="200" t="e">
        <f t="shared" si="7"/>
        <v>#DIV/0!</v>
      </c>
      <c r="F35" s="200">
        <f>SUMIF(修正!A45:A56,G2,修正!D45:D56)</f>
        <v>0</v>
      </c>
      <c r="G35" s="200" t="e">
        <f>ROUND(IF(E2="工业",C35*$M$39,C35*$M$38),0)</f>
        <v>#DIV/0!</v>
      </c>
      <c r="H35" s="200">
        <f t="shared" si="8"/>
        <v>0</v>
      </c>
      <c r="I35" s="200" t="e">
        <f t="shared" si="9"/>
        <v>#DIV/0!</v>
      </c>
      <c r="J35" s="2845"/>
      <c r="K35" s="1366"/>
      <c r="L35" s="1366"/>
      <c r="M35" s="1366"/>
      <c r="N35" s="1366"/>
      <c r="O35" s="1366"/>
      <c r="P35" s="1366"/>
      <c r="Q35" s="1366"/>
      <c r="R35" s="1366"/>
      <c r="S35" s="1366"/>
      <c r="T35" s="1366"/>
      <c r="U35" s="1366"/>
      <c r="V35" s="1366"/>
      <c r="W35" s="1366"/>
      <c r="X35" s="1366"/>
      <c r="Y35" s="1366"/>
      <c r="Z35" s="1367"/>
    </row>
    <row r="36" spans="1:37" ht="13.5" thickBot="1">
      <c r="A36" s="3388"/>
      <c r="B36" s="2756" t="s">
        <v>2926</v>
      </c>
      <c r="C36" s="206" t="e">
        <f>ROUND(D5*C19*C20*C24*F36,0)</f>
        <v>#DIV/0!</v>
      </c>
      <c r="D36" s="2828"/>
      <c r="E36" s="200" t="e">
        <f t="shared" si="7"/>
        <v>#DIV/0!</v>
      </c>
      <c r="F36" s="200">
        <f>SUMIF(修正!A45:A56,G2,修正!E45:E56)</f>
        <v>0</v>
      </c>
      <c r="G36" s="200" t="e">
        <f>ROUND(IF(E2="工业",C36*$M$39,C36*$M$38),0)</f>
        <v>#DIV/0!</v>
      </c>
      <c r="H36" s="200">
        <f t="shared" si="8"/>
        <v>0</v>
      </c>
      <c r="I36" s="200" t="e">
        <f t="shared" si="9"/>
        <v>#DIV/0!</v>
      </c>
      <c r="J36" s="2845"/>
      <c r="K36" s="1366"/>
      <c r="L36" s="2710"/>
      <c r="M36" s="2710"/>
      <c r="N36" s="1366"/>
      <c r="O36" s="1366"/>
      <c r="P36" s="1366"/>
      <c r="Q36" s="1366"/>
      <c r="R36" s="1366"/>
      <c r="S36" s="1366"/>
      <c r="T36" s="1366"/>
      <c r="U36" s="1366"/>
      <c r="V36" s="1366"/>
      <c r="W36" s="1366"/>
      <c r="X36" s="1366"/>
      <c r="Y36" s="1366"/>
      <c r="Z36" s="1367"/>
    </row>
    <row r="37" spans="1:37">
      <c r="A37" s="2846"/>
      <c r="B37" s="2756" t="s">
        <v>2927</v>
      </c>
      <c r="C37" s="200" t="e">
        <f>ROUND(D5*C19*C20*C24*F37,0)</f>
        <v>#DIV/0!</v>
      </c>
      <c r="D37" s="2828"/>
      <c r="E37" s="200" t="e">
        <f t="shared" si="7"/>
        <v>#DIV/0!</v>
      </c>
      <c r="F37" s="206">
        <f>SUMIF(修正!A45:A56,G2,修正!F45:F56)</f>
        <v>0</v>
      </c>
      <c r="G37" s="200" t="e">
        <f>ROUND(IF(E2="工业",C37*$M$39,C37*$M$38),0)</f>
        <v>#DIV/0!</v>
      </c>
      <c r="H37" s="200">
        <f t="shared" si="8"/>
        <v>0</v>
      </c>
      <c r="I37" s="200" t="e">
        <f t="shared" si="9"/>
        <v>#DIV/0!</v>
      </c>
      <c r="J37" s="2845"/>
      <c r="K37" s="1366"/>
      <c r="L37" s="2847" t="s">
        <v>2928</v>
      </c>
      <c r="M37" s="2848"/>
      <c r="N37" s="1366"/>
      <c r="O37" s="1366"/>
      <c r="P37" s="1366"/>
      <c r="Q37" s="1366"/>
      <c r="R37" s="1366"/>
      <c r="S37" s="1366"/>
      <c r="T37" s="1366"/>
      <c r="U37" s="1366"/>
      <c r="V37" s="1366"/>
      <c r="W37" s="1366"/>
      <c r="X37" s="1366"/>
      <c r="Y37" s="1366"/>
      <c r="Z37" s="1367"/>
    </row>
    <row r="38" spans="1:37">
      <c r="A38" s="2846"/>
      <c r="B38" s="2756" t="s">
        <v>2929</v>
      </c>
      <c r="C38" s="200" t="e">
        <f>ROUND(D5*C19*C41*C24*F38,0)</f>
        <v>#DIV/0!</v>
      </c>
      <c r="D38" s="2828"/>
      <c r="E38" s="200" t="e">
        <f t="shared" si="7"/>
        <v>#DIV/0!</v>
      </c>
      <c r="F38" s="206">
        <f>SUMIF(修正!A45:A56,G2,修正!G45:G56)</f>
        <v>0</v>
      </c>
      <c r="G38" s="200" t="e">
        <f>ROUND(IF(E2="工业",C38*$M$39,C38*$M$38),0)</f>
        <v>#DIV/0!</v>
      </c>
      <c r="H38" s="200">
        <f t="shared" si="8"/>
        <v>0</v>
      </c>
      <c r="I38" s="200" t="e">
        <f t="shared" si="9"/>
        <v>#DIV/0!</v>
      </c>
      <c r="J38" s="2845"/>
      <c r="K38" s="1366"/>
      <c r="L38" s="1882" t="s">
        <v>2930</v>
      </c>
      <c r="M38" s="2849">
        <v>0.25</v>
      </c>
      <c r="N38" s="1366"/>
      <c r="O38" s="1366"/>
      <c r="P38" s="1366"/>
      <c r="Q38" s="1366"/>
      <c r="R38" s="1366"/>
      <c r="S38" s="1366"/>
      <c r="T38" s="1366"/>
      <c r="U38" s="1366"/>
      <c r="V38" s="1366"/>
      <c r="W38" s="1366"/>
      <c r="X38" s="1366"/>
      <c r="Y38" s="1366"/>
      <c r="Z38" s="1367"/>
    </row>
    <row r="39" spans="1:37" ht="13.5" thickBot="1">
      <c r="A39" s="2832"/>
      <c r="B39" s="2850" t="s">
        <v>2931</v>
      </c>
      <c r="C39" s="229" t="e">
        <f>ROUND(D5*C19*C41*C24*F39,0)</f>
        <v>#DIV/0!</v>
      </c>
      <c r="D39" s="2834"/>
      <c r="E39" s="229" t="e">
        <f t="shared" si="7"/>
        <v>#DIV/0!</v>
      </c>
      <c r="F39" s="928">
        <f>SUMIF(修正!A45:A56,G2,修正!H45:H56)</f>
        <v>0</v>
      </c>
      <c r="G39" s="229" t="e">
        <f>ROUND(IF(E2="工业",C39*$M$39,C39*$M$38),0)</f>
        <v>#DIV/0!</v>
      </c>
      <c r="H39" s="229">
        <f t="shared" si="8"/>
        <v>0</v>
      </c>
      <c r="I39" s="229" t="e">
        <f t="shared" si="9"/>
        <v>#DIV/0!</v>
      </c>
      <c r="J39" s="2851"/>
      <c r="K39" s="1366"/>
      <c r="L39" s="2852" t="s">
        <v>2874</v>
      </c>
      <c r="M39" s="2853">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1" t="s">
        <v>3042</v>
      </c>
      <c r="C41" s="388" t="e">
        <f>ROUND(POWER(1+E41,H41-G41)*(POWER(1+E41,G41)-1)/(POWER(1+E41,H41)-1),4)</f>
        <v>#DIV/0!</v>
      </c>
      <c r="D41" s="200" t="s">
        <v>2881</v>
      </c>
      <c r="E41" s="2920">
        <f>G20</f>
        <v>0</v>
      </c>
      <c r="F41" s="200" t="s">
        <v>2890</v>
      </c>
      <c r="G41" s="218"/>
      <c r="H41" s="200">
        <v>50</v>
      </c>
      <c r="Z41" s="1367"/>
      <c r="AA41" s="1367"/>
      <c r="AB41" s="1367"/>
      <c r="AC41" s="1367"/>
      <c r="AD41" s="1367"/>
      <c r="AE41" s="1367"/>
      <c r="AF41" s="1367"/>
      <c r="AG41" s="1367"/>
      <c r="AH41" s="1367"/>
      <c r="AI41" s="1367"/>
      <c r="AJ41" s="1367"/>
    </row>
    <row r="42" spans="1:37" s="1366" customFormat="1">
      <c r="A42" s="1367"/>
      <c r="B42" s="2854"/>
      <c r="Z42" s="1367"/>
      <c r="AA42" s="1367"/>
      <c r="AB42" s="1367"/>
      <c r="AC42" s="1367"/>
      <c r="AD42" s="1367"/>
      <c r="AE42" s="1367"/>
      <c r="AF42" s="1367"/>
      <c r="AG42" s="1367"/>
      <c r="AH42" s="1367"/>
      <c r="AI42" s="1367"/>
      <c r="AJ42" s="1367"/>
    </row>
    <row r="43" spans="1:37" s="1366" customFormat="1">
      <c r="A43" s="1367"/>
      <c r="B43" s="2854"/>
      <c r="Z43" s="1367"/>
      <c r="AA43" s="1367"/>
      <c r="AB43" s="1367"/>
      <c r="AC43" s="1367"/>
      <c r="AD43" s="1367"/>
      <c r="AE43" s="1367"/>
      <c r="AF43" s="1367"/>
      <c r="AG43" s="1367"/>
      <c r="AH43" s="1367"/>
      <c r="AI43" s="1367"/>
      <c r="AJ43" s="1367"/>
    </row>
    <row r="44" spans="1:37" s="1366" customFormat="1">
      <c r="A44" s="1367"/>
      <c r="B44" s="2854"/>
      <c r="Z44" s="1367"/>
      <c r="AA44" s="1367"/>
      <c r="AB44" s="1367"/>
      <c r="AC44" s="1367"/>
      <c r="AD44" s="1367"/>
      <c r="AE44" s="1367"/>
      <c r="AF44" s="1367"/>
      <c r="AG44" s="1367"/>
      <c r="AH44" s="1367"/>
      <c r="AI44" s="1367"/>
      <c r="AJ44" s="1367"/>
    </row>
    <row r="45" spans="1:37" s="1366" customFormat="1" ht="15.75" thickBot="1">
      <c r="A45" s="2855" t="s">
        <v>2932</v>
      </c>
      <c r="B45" s="2856"/>
      <c r="C45" s="7"/>
      <c r="D45" s="7"/>
      <c r="E45" s="7"/>
      <c r="F45" s="6"/>
      <c r="G45" s="6"/>
      <c r="H45" s="6"/>
      <c r="I45" s="7"/>
      <c r="J45" s="7"/>
      <c r="K45" s="7"/>
      <c r="L45" s="7"/>
      <c r="M45" s="7"/>
      <c r="N45" s="2774"/>
      <c r="Z45" s="1367"/>
      <c r="AA45" s="1367"/>
      <c r="AB45" s="1367"/>
      <c r="AC45" s="1367"/>
      <c r="AD45" s="1367"/>
      <c r="AE45" s="1367"/>
      <c r="AF45" s="1367"/>
      <c r="AG45" s="1367"/>
      <c r="AH45" s="1367"/>
      <c r="AI45" s="1367"/>
      <c r="AJ45" s="1367"/>
    </row>
    <row r="46" spans="1:37" s="1366" customFormat="1" ht="15">
      <c r="A46" s="2857" t="s">
        <v>2933</v>
      </c>
      <c r="B46" s="2858">
        <f>1+E48</f>
        <v>1</v>
      </c>
      <c r="C46" s="2859"/>
      <c r="D46" s="810"/>
      <c r="E46" s="811"/>
      <c r="F46" s="2860"/>
      <c r="G46" s="6"/>
      <c r="H46" s="7"/>
      <c r="I46" s="7"/>
      <c r="J46" s="7"/>
      <c r="K46" s="7"/>
      <c r="L46" s="7"/>
      <c r="M46" s="7"/>
      <c r="N46" s="2774"/>
      <c r="Z46" s="1367"/>
      <c r="AA46" s="1367"/>
      <c r="AB46" s="1367"/>
      <c r="AC46" s="1367"/>
      <c r="AD46" s="1367"/>
      <c r="AE46" s="1367"/>
      <c r="AF46" s="1367"/>
      <c r="AG46" s="1367"/>
      <c r="AH46" s="1367"/>
      <c r="AI46" s="1367"/>
      <c r="AJ46" s="1367"/>
    </row>
    <row r="47" spans="1:37" s="1366" customFormat="1" ht="24.75">
      <c r="A47" s="2861" t="s">
        <v>2934</v>
      </c>
      <c r="B47" s="1804" t="s">
        <v>2935</v>
      </c>
      <c r="C47" s="1804" t="s">
        <v>2936</v>
      </c>
      <c r="D47" s="1804" t="s">
        <v>2937</v>
      </c>
      <c r="E47" s="815" t="s">
        <v>2938</v>
      </c>
      <c r="F47" s="2862" t="s">
        <v>2939</v>
      </c>
      <c r="G47" s="1804" t="s">
        <v>754</v>
      </c>
      <c r="H47" s="2863" t="s">
        <v>2940</v>
      </c>
      <c r="I47" s="1804" t="s">
        <v>2941</v>
      </c>
      <c r="J47" s="603" t="s">
        <v>2589</v>
      </c>
      <c r="K47" s="603" t="s">
        <v>2590</v>
      </c>
      <c r="L47" s="603" t="s">
        <v>2591</v>
      </c>
      <c r="M47" s="603" t="s">
        <v>2592</v>
      </c>
      <c r="N47" s="603" t="s">
        <v>2593</v>
      </c>
      <c r="AA47" s="1367"/>
      <c r="AB47" s="1367"/>
      <c r="AC47" s="1367"/>
      <c r="AD47" s="1367"/>
      <c r="AE47" s="1367"/>
      <c r="AF47" s="1367"/>
      <c r="AG47" s="1367"/>
      <c r="AH47" s="1367"/>
      <c r="AI47" s="1367"/>
      <c r="AJ47" s="1367"/>
      <c r="AK47" s="1367"/>
    </row>
    <row r="48" spans="1:37" s="1366" customFormat="1" ht="38.25">
      <c r="A48" s="2861" t="s">
        <v>2942</v>
      </c>
      <c r="B48" s="2864" t="str">
        <f>估价对象房地状况!C4</f>
        <v>估价对象位于XX商圈，周边商业氛围成熟，人流量大，商业繁华度好</v>
      </c>
      <c r="C48" s="2761"/>
      <c r="D48" s="1282">
        <f t="shared" ref="D48:D56" si="10">SUMIF($J$47:$N$47,C48,J48:N48)</f>
        <v>0</v>
      </c>
      <c r="E48" s="817">
        <f>ROUND(SUM(D48:D56),4)</f>
        <v>0</v>
      </c>
      <c r="F48" s="2494"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61" t="s">
        <v>2943</v>
      </c>
      <c r="B49" s="2865" t="str">
        <f>估价对象房地状况!C18</f>
        <v>估价对象周边道路状况、公共交通通达情况、停车便捷程度，综合评价交通便捷度较好</v>
      </c>
      <c r="C49" s="2761"/>
      <c r="D49" s="1282">
        <f t="shared" si="10"/>
        <v>0</v>
      </c>
      <c r="E49" s="818"/>
      <c r="F49" s="2494"/>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1" t="s">
        <v>2944</v>
      </c>
      <c r="B50" s="2865">
        <f>估价对象房地状况!C19</f>
        <v>0</v>
      </c>
      <c r="C50" s="2761"/>
      <c r="D50" s="1282">
        <f t="shared" si="10"/>
        <v>0</v>
      </c>
      <c r="E50" s="818"/>
      <c r="F50" s="2494"/>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1" t="s">
        <v>2945</v>
      </c>
      <c r="B51" s="2866" t="s">
        <v>2946</v>
      </c>
      <c r="C51" s="2761"/>
      <c r="D51" s="1282">
        <f t="shared" si="10"/>
        <v>0</v>
      </c>
      <c r="E51" s="818"/>
      <c r="F51" s="2494"/>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1" t="s">
        <v>2947</v>
      </c>
      <c r="B52" s="2865">
        <f>估价对象房地状况!C24</f>
        <v>0</v>
      </c>
      <c r="C52" s="2761"/>
      <c r="D52" s="1282">
        <f t="shared" si="10"/>
        <v>0</v>
      </c>
      <c r="E52" s="818"/>
      <c r="F52" s="2494"/>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1" t="s">
        <v>2948</v>
      </c>
      <c r="B53" s="2867" t="s">
        <v>2949</v>
      </c>
      <c r="C53" s="2761"/>
      <c r="D53" s="1282">
        <f t="shared" si="10"/>
        <v>0</v>
      </c>
      <c r="E53" s="818"/>
      <c r="F53" s="2494"/>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68" t="s">
        <v>2950</v>
      </c>
      <c r="B54" s="1720" t="str">
        <f>估价对象房地状况!C21</f>
        <v>估价对象所在区域公共配套设施齐备情况</v>
      </c>
      <c r="C54" s="2761"/>
      <c r="D54" s="1282">
        <f t="shared" si="10"/>
        <v>0</v>
      </c>
      <c r="E54" s="818"/>
      <c r="F54" s="2494"/>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68" t="s">
        <v>2951</v>
      </c>
      <c r="B55" s="2865" t="str">
        <f>估价对象房地状况!C22</f>
        <v>估价对象所在区域基础设施水平</v>
      </c>
      <c r="C55" s="2761"/>
      <c r="D55" s="1282">
        <f t="shared" si="10"/>
        <v>0</v>
      </c>
      <c r="E55" s="818"/>
      <c r="F55" s="2494"/>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69" t="s">
        <v>2952</v>
      </c>
      <c r="B56" s="2870" t="str">
        <f>估价对象房地状况!C20</f>
        <v>区域自然环境：；人文环境；综合评价环境状况一般</v>
      </c>
      <c r="C56" s="2761"/>
      <c r="D56" s="1282">
        <f t="shared" si="10"/>
        <v>0</v>
      </c>
      <c r="E56" s="821"/>
      <c r="F56" s="2494"/>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57" t="s">
        <v>2953</v>
      </c>
      <c r="B57" s="2858">
        <f>1+E59</f>
        <v>1</v>
      </c>
      <c r="C57" s="810"/>
      <c r="D57" s="810"/>
      <c r="E57" s="811"/>
      <c r="F57" s="2860"/>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1" t="s">
        <v>2934</v>
      </c>
      <c r="B58" s="1804"/>
      <c r="C58" s="1804" t="s">
        <v>2936</v>
      </c>
      <c r="D58" s="1804" t="s">
        <v>2937</v>
      </c>
      <c r="E58" s="815" t="s">
        <v>2938</v>
      </c>
      <c r="F58" s="2862" t="s">
        <v>2954</v>
      </c>
      <c r="G58" s="1804" t="s">
        <v>754</v>
      </c>
      <c r="H58" s="2863" t="s">
        <v>2940</v>
      </c>
      <c r="I58" s="1804" t="s">
        <v>2941</v>
      </c>
      <c r="J58" s="603" t="s">
        <v>2589</v>
      </c>
      <c r="K58" s="603" t="s">
        <v>2590</v>
      </c>
      <c r="L58" s="603" t="s">
        <v>2591</v>
      </c>
      <c r="M58" s="603" t="s">
        <v>2592</v>
      </c>
      <c r="N58" s="603" t="s">
        <v>2593</v>
      </c>
      <c r="AA58" s="1367"/>
      <c r="AB58" s="1367"/>
      <c r="AC58" s="1367"/>
      <c r="AD58" s="1367"/>
      <c r="AE58" s="1367"/>
      <c r="AF58" s="1367"/>
      <c r="AG58" s="1367"/>
      <c r="AH58" s="1367"/>
      <c r="AI58" s="1367"/>
      <c r="AJ58" s="1367"/>
      <c r="AK58" s="1367"/>
    </row>
    <row r="59" spans="1:37" s="1366" customFormat="1" ht="38.25">
      <c r="A59" s="2861" t="s">
        <v>2955</v>
      </c>
      <c r="B59" s="2864" t="str">
        <f>估价对象房地状况!C17</f>
        <v>估价对象位于XX商圈，周边办公楼项目较多，入驻率高，办公集聚程度较好</v>
      </c>
      <c r="C59" s="2761"/>
      <c r="D59" s="1282">
        <f t="shared" ref="D59:D67" si="15">SUMIF($J$58:$N$58,C59,J59:N59)</f>
        <v>0</v>
      </c>
      <c r="E59" s="817">
        <f>ROUND(SUM(D59:D67),4)</f>
        <v>0</v>
      </c>
      <c r="F59" s="2494"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61" t="s">
        <v>2943</v>
      </c>
      <c r="B60" s="2865" t="str">
        <f>估价对象房地状况!C18</f>
        <v>估价对象周边道路状况、公共交通通达情况、停车便捷程度，综合评价交通便捷度较好</v>
      </c>
      <c r="C60" s="2761"/>
      <c r="D60" s="1282">
        <f t="shared" si="15"/>
        <v>0</v>
      </c>
      <c r="E60" s="818"/>
      <c r="F60" s="2494"/>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1" t="s">
        <v>2944</v>
      </c>
      <c r="B61" s="2865">
        <f>估价对象房地状况!C19</f>
        <v>0</v>
      </c>
      <c r="C61" s="2761"/>
      <c r="D61" s="1282">
        <f t="shared" si="15"/>
        <v>0</v>
      </c>
      <c r="E61" s="818"/>
      <c r="F61" s="2494"/>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1" t="s">
        <v>2945</v>
      </c>
      <c r="B62" s="2866" t="s">
        <v>2946</v>
      </c>
      <c r="C62" s="2761"/>
      <c r="D62" s="1282">
        <f t="shared" si="15"/>
        <v>0</v>
      </c>
      <c r="E62" s="818"/>
      <c r="F62" s="2494"/>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1" t="s">
        <v>2947</v>
      </c>
      <c r="B63" s="2865">
        <f>估价对象房地状况!C24</f>
        <v>0</v>
      </c>
      <c r="C63" s="2761"/>
      <c r="D63" s="1282">
        <f t="shared" si="15"/>
        <v>0</v>
      </c>
      <c r="E63" s="818"/>
      <c r="F63" s="2494"/>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1" t="s">
        <v>2948</v>
      </c>
      <c r="B64" s="2867" t="s">
        <v>2949</v>
      </c>
      <c r="C64" s="2761"/>
      <c r="D64" s="1282">
        <f t="shared" si="15"/>
        <v>0</v>
      </c>
      <c r="E64" s="818"/>
      <c r="F64" s="2494"/>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61" t="s">
        <v>2950</v>
      </c>
      <c r="B65" s="1720" t="str">
        <f>估价对象房地状况!C21</f>
        <v>估价对象所在区域公共配套设施齐备情况</v>
      </c>
      <c r="C65" s="2761"/>
      <c r="D65" s="1282">
        <f t="shared" si="15"/>
        <v>0</v>
      </c>
      <c r="E65" s="818"/>
      <c r="F65" s="2494"/>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61" t="s">
        <v>2951</v>
      </c>
      <c r="B66" s="1720" t="str">
        <f>估价对象房地状况!C22</f>
        <v>估价对象所在区域基础设施水平</v>
      </c>
      <c r="C66" s="2761"/>
      <c r="D66" s="1282">
        <f t="shared" si="15"/>
        <v>0</v>
      </c>
      <c r="E66" s="818"/>
      <c r="F66" s="2494"/>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69" t="s">
        <v>2952</v>
      </c>
      <c r="B67" s="2871" t="str">
        <f>估价对象房地状况!C20</f>
        <v>区域自然环境：；人文环境；综合评价环境状况一般</v>
      </c>
      <c r="C67" s="2761"/>
      <c r="D67" s="1282">
        <f t="shared" si="15"/>
        <v>0</v>
      </c>
      <c r="E67" s="821"/>
      <c r="F67" s="2494"/>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57" t="s">
        <v>2956</v>
      </c>
      <c r="B68" s="2858">
        <f>1+E70</f>
        <v>1</v>
      </c>
      <c r="C68" s="810"/>
      <c r="D68" s="810"/>
      <c r="E68" s="811"/>
      <c r="F68" s="2860"/>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1" t="s">
        <v>2934</v>
      </c>
      <c r="B69" s="1804"/>
      <c r="C69" s="1804" t="s">
        <v>2936</v>
      </c>
      <c r="D69" s="1804" t="s">
        <v>2937</v>
      </c>
      <c r="E69" s="815" t="s">
        <v>2938</v>
      </c>
      <c r="F69" s="2862" t="s">
        <v>2954</v>
      </c>
      <c r="G69" s="1804" t="s">
        <v>754</v>
      </c>
      <c r="H69" s="2863" t="s">
        <v>2940</v>
      </c>
      <c r="I69" s="1804" t="s">
        <v>2941</v>
      </c>
      <c r="J69" s="603" t="s">
        <v>2589</v>
      </c>
      <c r="K69" s="603" t="s">
        <v>2590</v>
      </c>
      <c r="L69" s="603" t="s">
        <v>2591</v>
      </c>
      <c r="M69" s="603" t="s">
        <v>2592</v>
      </c>
      <c r="N69" s="603" t="s">
        <v>2593</v>
      </c>
      <c r="AA69" s="1367"/>
      <c r="AB69" s="1367"/>
      <c r="AC69" s="1367"/>
      <c r="AD69" s="1367"/>
      <c r="AE69" s="1367"/>
      <c r="AF69" s="1367"/>
      <c r="AG69" s="1367"/>
      <c r="AH69" s="1367"/>
      <c r="AI69" s="1367"/>
      <c r="AJ69" s="1367"/>
      <c r="AK69" s="1367"/>
    </row>
    <row r="70" spans="1:37" s="1366" customFormat="1" ht="51">
      <c r="A70" s="2861" t="s">
        <v>2957</v>
      </c>
      <c r="B70" s="2864" t="str">
        <f>估价对象房地状况!C15</f>
        <v>估价对象周边居住用地比例、居住小区规模和社区发展完善程度，综合评价居住社区成熟度一般</v>
      </c>
      <c r="C70" s="2761"/>
      <c r="D70" s="1282">
        <f t="shared" ref="D70:D78" si="20">SUMIF($J$69:$N$69,C70,J70:N70)</f>
        <v>0</v>
      </c>
      <c r="E70" s="817">
        <f>ROUND(SUM(D70:D78),4)</f>
        <v>0</v>
      </c>
      <c r="F70" s="2494"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61" t="s">
        <v>2943</v>
      </c>
      <c r="B71" s="2865" t="str">
        <f>估价对象房地状况!C18</f>
        <v>估价对象周边道路状况、公共交通通达情况、停车便捷程度，综合评价交通便捷度较好</v>
      </c>
      <c r="C71" s="2761"/>
      <c r="D71" s="1282">
        <f t="shared" si="20"/>
        <v>0</v>
      </c>
      <c r="E71" s="822"/>
      <c r="F71" s="2494"/>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1" t="s">
        <v>2944</v>
      </c>
      <c r="B72" s="2865">
        <f>估价对象房地状况!C19</f>
        <v>0</v>
      </c>
      <c r="C72" s="2761"/>
      <c r="D72" s="1282">
        <f t="shared" si="20"/>
        <v>0</v>
      </c>
      <c r="E72" s="822"/>
      <c r="F72" s="2494"/>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1" t="s">
        <v>2958</v>
      </c>
      <c r="B73" s="2865">
        <f>估价对象房地状况!C24</f>
        <v>0</v>
      </c>
      <c r="C73" s="2761"/>
      <c r="D73" s="1282">
        <f t="shared" si="20"/>
        <v>0</v>
      </c>
      <c r="E73" s="822"/>
      <c r="F73" s="2494"/>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1" t="s">
        <v>2950</v>
      </c>
      <c r="B74" s="1720" t="str">
        <f>估价对象房地状况!C21</f>
        <v>估价对象所在区域公共配套设施齐备情况</v>
      </c>
      <c r="C74" s="2761"/>
      <c r="D74" s="1282">
        <f t="shared" si="20"/>
        <v>0</v>
      </c>
      <c r="E74" s="822"/>
      <c r="F74" s="2494"/>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1" t="s">
        <v>2951</v>
      </c>
      <c r="B75" s="1720" t="str">
        <f>估价对象房地状况!C22</f>
        <v>估价对象所在区域基础设施水平</v>
      </c>
      <c r="C75" s="2761"/>
      <c r="D75" s="1282">
        <f t="shared" si="20"/>
        <v>0</v>
      </c>
      <c r="E75" s="822"/>
      <c r="F75" s="2494"/>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0" customFormat="1" ht="24">
      <c r="A76" s="2861" t="s">
        <v>2948</v>
      </c>
      <c r="B76" s="2867" t="s">
        <v>2949</v>
      </c>
      <c r="C76" s="2761"/>
      <c r="D76" s="1282">
        <f t="shared" si="20"/>
        <v>0</v>
      </c>
      <c r="E76" s="822"/>
      <c r="F76" s="2494"/>
      <c r="G76" s="1280"/>
      <c r="H76" s="1284" t="str">
        <f t="shared" si="21"/>
        <v>——</v>
      </c>
      <c r="I76" s="816">
        <v>0.05</v>
      </c>
      <c r="J76" s="1281">
        <f t="shared" si="22"/>
        <v>0</v>
      </c>
      <c r="K76" s="1281">
        <f t="shared" si="23"/>
        <v>0</v>
      </c>
      <c r="L76" s="1281">
        <v>0</v>
      </c>
      <c r="M76" s="1281">
        <f t="shared" si="24"/>
        <v>0</v>
      </c>
      <c r="N76" s="1281">
        <f t="shared" si="24"/>
        <v>0</v>
      </c>
      <c r="AA76" s="2872"/>
      <c r="AB76" s="1367"/>
      <c r="AC76" s="1367"/>
      <c r="AD76" s="1367"/>
      <c r="AE76" s="1367"/>
      <c r="AF76" s="1367"/>
      <c r="AG76" s="1367"/>
      <c r="AH76" s="2872"/>
      <c r="AI76" s="2872"/>
      <c r="AJ76" s="2872"/>
      <c r="AK76" s="2872"/>
    </row>
    <row r="77" spans="1:37" ht="38.25">
      <c r="A77" s="2861" t="s">
        <v>2952</v>
      </c>
      <c r="B77" s="2864" t="str">
        <f>估价对象房地状况!C20</f>
        <v>区域自然环境：；人文环境；综合评价环境状况一般</v>
      </c>
      <c r="C77" s="2761"/>
      <c r="D77" s="1282">
        <f t="shared" si="20"/>
        <v>0</v>
      </c>
      <c r="E77" s="822"/>
      <c r="F77" s="2494"/>
      <c r="G77" s="1280"/>
      <c r="H77" s="1284" t="str">
        <f t="shared" si="21"/>
        <v>——</v>
      </c>
      <c r="I77" s="816">
        <v>0.15</v>
      </c>
      <c r="J77" s="1281">
        <f t="shared" si="22"/>
        <v>0</v>
      </c>
      <c r="K77" s="1281">
        <f t="shared" si="23"/>
        <v>0</v>
      </c>
      <c r="L77" s="1281">
        <v>0</v>
      </c>
      <c r="M77" s="1281">
        <f t="shared" si="24"/>
        <v>0</v>
      </c>
      <c r="N77" s="1281">
        <f t="shared" si="24"/>
        <v>0</v>
      </c>
      <c r="Z77" s="2711"/>
      <c r="AA77" s="2779"/>
      <c r="AG77" s="1368"/>
      <c r="AK77" s="2779"/>
    </row>
    <row r="78" spans="1:37" ht="24.75" thickBot="1">
      <c r="A78" s="2869" t="s">
        <v>2959</v>
      </c>
      <c r="B78" s="2873"/>
      <c r="C78" s="2761"/>
      <c r="D78" s="1282">
        <f t="shared" si="20"/>
        <v>0</v>
      </c>
      <c r="E78" s="823"/>
      <c r="F78" s="2494"/>
      <c r="G78" s="1280"/>
      <c r="H78" s="1284" t="str">
        <f t="shared" si="21"/>
        <v>——</v>
      </c>
      <c r="I78" s="820">
        <v>0.04</v>
      </c>
      <c r="J78" s="1281">
        <f t="shared" si="22"/>
        <v>0</v>
      </c>
      <c r="K78" s="1281">
        <f t="shared" si="23"/>
        <v>0</v>
      </c>
      <c r="L78" s="1281">
        <v>0</v>
      </c>
      <c r="M78" s="1281">
        <f t="shared" si="24"/>
        <v>0</v>
      </c>
      <c r="N78" s="1281">
        <f t="shared" si="24"/>
        <v>0</v>
      </c>
      <c r="Z78" s="2711"/>
      <c r="AA78" s="2779"/>
      <c r="AG78" s="1368"/>
      <c r="AK78" s="2779"/>
    </row>
    <row r="79" spans="1:37" ht="15">
      <c r="A79" s="2857" t="s">
        <v>2960</v>
      </c>
      <c r="B79" s="2858">
        <f>1+E81</f>
        <v>1</v>
      </c>
      <c r="C79" s="810"/>
      <c r="D79" s="810"/>
      <c r="E79" s="811"/>
      <c r="F79" s="2860"/>
      <c r="G79" s="6"/>
      <c r="H79" s="6"/>
      <c r="I79" s="6"/>
      <c r="J79" s="7"/>
      <c r="K79" s="7"/>
      <c r="L79" s="7"/>
      <c r="M79" s="7"/>
      <c r="N79" s="7"/>
      <c r="Z79" s="2711"/>
      <c r="AA79" s="2779"/>
      <c r="AG79" s="1368"/>
      <c r="AK79" s="2779"/>
    </row>
    <row r="80" spans="1:37" ht="24.75">
      <c r="A80" s="2861" t="s">
        <v>2934</v>
      </c>
      <c r="B80" s="1804"/>
      <c r="C80" s="1804" t="s">
        <v>2936</v>
      </c>
      <c r="D80" s="1804" t="s">
        <v>2937</v>
      </c>
      <c r="E80" s="815" t="s">
        <v>2938</v>
      </c>
      <c r="F80" s="2862" t="s">
        <v>2954</v>
      </c>
      <c r="G80" s="1804" t="s">
        <v>754</v>
      </c>
      <c r="H80" s="2863" t="s">
        <v>2940</v>
      </c>
      <c r="I80" s="1804" t="s">
        <v>2941</v>
      </c>
      <c r="J80" s="603" t="s">
        <v>2589</v>
      </c>
      <c r="K80" s="603" t="s">
        <v>2590</v>
      </c>
      <c r="L80" s="603" t="s">
        <v>2591</v>
      </c>
      <c r="M80" s="603" t="s">
        <v>2592</v>
      </c>
      <c r="N80" s="603" t="s">
        <v>2593</v>
      </c>
      <c r="Z80" s="2711"/>
      <c r="AA80" s="2779"/>
      <c r="AG80" s="1368"/>
      <c r="AK80" s="2779"/>
    </row>
    <row r="81" spans="1:37" ht="38.25">
      <c r="A81" s="2861" t="s">
        <v>2961</v>
      </c>
      <c r="B81" s="2865" t="str">
        <f>估价对象房地状况!G15</f>
        <v>估价对象位于XX开发区，园区建设成熟度XX，产业集聚程度XX</v>
      </c>
      <c r="C81" s="2761"/>
      <c r="D81" s="1282">
        <f t="shared" ref="D81:D88" si="25">SUMIF($J$80:$N$80,C81,J81:N81)</f>
        <v>0</v>
      </c>
      <c r="E81" s="817">
        <f>ROUND(SUM(D81:D88),4)</f>
        <v>0</v>
      </c>
      <c r="F81" s="2494"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1"/>
      <c r="AA81" s="2779"/>
      <c r="AG81" s="1368"/>
      <c r="AK81" s="2779"/>
    </row>
    <row r="82" spans="1:37" ht="51">
      <c r="A82" s="2861" t="s">
        <v>2943</v>
      </c>
      <c r="B82" s="2865" t="str">
        <f>估价对象房地状况!G16</f>
        <v>估价对象周边道路状况、公共交通通达情况、停车便捷程度，综合评价交通便捷度较好</v>
      </c>
      <c r="C82" s="2761"/>
      <c r="D82" s="1282">
        <f t="shared" si="25"/>
        <v>0</v>
      </c>
      <c r="E82" s="822"/>
      <c r="F82" s="2494"/>
      <c r="G82" s="1280"/>
      <c r="H82" s="1284" t="str">
        <f t="shared" si="26"/>
        <v>——</v>
      </c>
      <c r="I82" s="816">
        <v>0.33</v>
      </c>
      <c r="J82" s="1281">
        <f t="shared" si="27"/>
        <v>0</v>
      </c>
      <c r="K82" s="1281">
        <f t="shared" si="28"/>
        <v>0</v>
      </c>
      <c r="L82" s="1281">
        <v>0</v>
      </c>
      <c r="M82" s="1281">
        <f t="shared" si="29"/>
        <v>0</v>
      </c>
      <c r="N82" s="1281">
        <f t="shared" si="29"/>
        <v>0</v>
      </c>
      <c r="Z82" s="2711"/>
      <c r="AA82" s="2779"/>
      <c r="AG82" s="1368"/>
      <c r="AK82" s="2779"/>
    </row>
    <row r="83" spans="1:37" ht="24">
      <c r="A83" s="2861" t="s">
        <v>2944</v>
      </c>
      <c r="B83" s="2865">
        <f>估价对象房地状况!G17</f>
        <v>0</v>
      </c>
      <c r="C83" s="2761"/>
      <c r="D83" s="1282">
        <f t="shared" si="25"/>
        <v>0</v>
      </c>
      <c r="E83" s="822"/>
      <c r="F83" s="2494"/>
      <c r="G83" s="1280"/>
      <c r="H83" s="1284" t="str">
        <f t="shared" si="26"/>
        <v>——</v>
      </c>
      <c r="I83" s="816">
        <v>0.05</v>
      </c>
      <c r="J83" s="1281">
        <f t="shared" si="27"/>
        <v>0</v>
      </c>
      <c r="K83" s="1281">
        <f t="shared" si="28"/>
        <v>0</v>
      </c>
      <c r="L83" s="1281">
        <v>0</v>
      </c>
      <c r="M83" s="1281">
        <f t="shared" si="29"/>
        <v>0</v>
      </c>
      <c r="N83" s="1281">
        <f t="shared" si="29"/>
        <v>0</v>
      </c>
      <c r="Z83" s="2711"/>
      <c r="AA83" s="2779"/>
      <c r="AG83" s="1368"/>
      <c r="AK83" s="2779"/>
    </row>
    <row r="84" spans="1:37" ht="14.25">
      <c r="A84" s="2861" t="s">
        <v>2958</v>
      </c>
      <c r="B84" s="2865">
        <f>估价对象房地状况!G22</f>
        <v>0</v>
      </c>
      <c r="C84" s="2761"/>
      <c r="D84" s="1282">
        <f t="shared" si="25"/>
        <v>0</v>
      </c>
      <c r="E84" s="822"/>
      <c r="F84" s="2494"/>
      <c r="G84" s="1280"/>
      <c r="H84" s="1284" t="str">
        <f t="shared" si="26"/>
        <v>——</v>
      </c>
      <c r="I84" s="816">
        <v>0.04</v>
      </c>
      <c r="J84" s="1281">
        <f t="shared" si="27"/>
        <v>0</v>
      </c>
      <c r="K84" s="1281">
        <f t="shared" si="28"/>
        <v>0</v>
      </c>
      <c r="L84" s="1281">
        <v>0</v>
      </c>
      <c r="M84" s="1281">
        <f t="shared" si="29"/>
        <v>0</v>
      </c>
      <c r="N84" s="1281">
        <f t="shared" si="29"/>
        <v>0</v>
      </c>
      <c r="Z84" s="2711"/>
      <c r="AA84" s="2779"/>
      <c r="AG84" s="1368"/>
      <c r="AK84" s="2779"/>
    </row>
    <row r="85" spans="1:37" ht="25.5">
      <c r="A85" s="2861" t="s">
        <v>2950</v>
      </c>
      <c r="B85" s="1720" t="str">
        <f>估价对象房地状况!G19</f>
        <v>估价对象所在区域公共配套设施齐备情况</v>
      </c>
      <c r="C85" s="2761"/>
      <c r="D85" s="1282">
        <f t="shared" si="25"/>
        <v>0</v>
      </c>
      <c r="E85" s="822"/>
      <c r="F85" s="2494"/>
      <c r="G85" s="1280"/>
      <c r="H85" s="1284" t="str">
        <f t="shared" si="26"/>
        <v>——</v>
      </c>
      <c r="I85" s="816">
        <v>0.06</v>
      </c>
      <c r="J85" s="1281">
        <f t="shared" si="27"/>
        <v>0</v>
      </c>
      <c r="K85" s="1281">
        <f t="shared" si="28"/>
        <v>0</v>
      </c>
      <c r="L85" s="1281">
        <v>0</v>
      </c>
      <c r="M85" s="1281">
        <f t="shared" si="29"/>
        <v>0</v>
      </c>
      <c r="N85" s="1281">
        <f t="shared" si="29"/>
        <v>0</v>
      </c>
      <c r="Z85" s="2711"/>
      <c r="AA85" s="2779"/>
      <c r="AG85" s="1368"/>
      <c r="AK85" s="2779"/>
    </row>
    <row r="86" spans="1:37" ht="25.5">
      <c r="A86" s="2861" t="s">
        <v>2951</v>
      </c>
      <c r="B86" s="1720" t="str">
        <f>估价对象房地状况!G20</f>
        <v>估价对象所在区域基础设施水平</v>
      </c>
      <c r="C86" s="2761"/>
      <c r="D86" s="1282">
        <f t="shared" si="25"/>
        <v>0</v>
      </c>
      <c r="E86" s="822"/>
      <c r="F86" s="2494"/>
      <c r="G86" s="1280"/>
      <c r="H86" s="1284" t="str">
        <f t="shared" si="26"/>
        <v>——</v>
      </c>
      <c r="I86" s="816">
        <v>0.15</v>
      </c>
      <c r="J86" s="1281">
        <f t="shared" si="27"/>
        <v>0</v>
      </c>
      <c r="K86" s="1281">
        <f t="shared" si="28"/>
        <v>0</v>
      </c>
      <c r="L86" s="1281">
        <v>0</v>
      </c>
      <c r="M86" s="1281">
        <f t="shared" si="29"/>
        <v>0</v>
      </c>
      <c r="N86" s="1281">
        <f t="shared" si="29"/>
        <v>0</v>
      </c>
      <c r="Z86" s="2711"/>
      <c r="AA86" s="2779"/>
      <c r="AG86" s="1368"/>
      <c r="AK86" s="2779"/>
    </row>
    <row r="87" spans="1:37" ht="24">
      <c r="A87" s="2861" t="s">
        <v>2948</v>
      </c>
      <c r="B87" s="2867" t="s">
        <v>2962</v>
      </c>
      <c r="C87" s="2761"/>
      <c r="D87" s="1282">
        <f t="shared" si="25"/>
        <v>0</v>
      </c>
      <c r="E87" s="822"/>
      <c r="F87" s="2494"/>
      <c r="G87" s="1280"/>
      <c r="H87" s="1284" t="str">
        <f t="shared" si="26"/>
        <v>——</v>
      </c>
      <c r="I87" s="816">
        <v>0.05</v>
      </c>
      <c r="J87" s="1281">
        <f t="shared" si="27"/>
        <v>0</v>
      </c>
      <c r="K87" s="1281">
        <f t="shared" si="28"/>
        <v>0</v>
      </c>
      <c r="L87" s="1281">
        <v>0</v>
      </c>
      <c r="M87" s="1281">
        <f t="shared" si="29"/>
        <v>0</v>
      </c>
      <c r="N87" s="1281">
        <f t="shared" si="29"/>
        <v>0</v>
      </c>
      <c r="Z87" s="2711"/>
      <c r="AA87" s="2779"/>
      <c r="AG87" s="1368"/>
      <c r="AK87" s="2779"/>
    </row>
    <row r="88" spans="1:37" ht="39" thickBot="1">
      <c r="A88" s="2869" t="s">
        <v>2963</v>
      </c>
      <c r="B88" s="2874" t="str">
        <f>估价对象房地状况!G18</f>
        <v>该园区内是否有污染型企业，绿化情况，卫生条件，整体环境状况判断</v>
      </c>
      <c r="C88" s="2761"/>
      <c r="D88" s="1282">
        <f t="shared" si="25"/>
        <v>0</v>
      </c>
      <c r="E88" s="823"/>
      <c r="F88" s="2494"/>
      <c r="G88" s="1280"/>
      <c r="H88" s="1284" t="str">
        <f t="shared" si="26"/>
        <v>——</v>
      </c>
      <c r="I88" s="820">
        <v>0.06</v>
      </c>
      <c r="J88" s="1281">
        <f t="shared" si="27"/>
        <v>0</v>
      </c>
      <c r="K88" s="1281">
        <f t="shared" si="28"/>
        <v>0</v>
      </c>
      <c r="L88" s="1281">
        <v>0</v>
      </c>
      <c r="M88" s="1281">
        <f t="shared" si="29"/>
        <v>0</v>
      </c>
      <c r="N88" s="1281">
        <f t="shared" si="29"/>
        <v>0</v>
      </c>
      <c r="Z88" s="2711"/>
      <c r="AA88" s="2779"/>
      <c r="AG88" s="1368"/>
      <c r="AK88" s="2779"/>
    </row>
    <row r="90" spans="1:37">
      <c r="A90" s="3380" t="s">
        <v>2964</v>
      </c>
      <c r="B90" s="3380"/>
      <c r="C90" s="3380"/>
      <c r="D90" s="3380"/>
      <c r="E90" s="3380"/>
      <c r="F90" s="3380"/>
      <c r="G90" s="3380"/>
      <c r="H90" s="3380"/>
      <c r="I90" s="3380"/>
      <c r="J90" s="3380"/>
      <c r="K90" s="2875"/>
      <c r="L90" s="2875"/>
      <c r="M90" s="2875"/>
      <c r="N90" s="2875"/>
    </row>
    <row r="91" spans="1:37">
      <c r="A91" s="3382" t="s">
        <v>2965</v>
      </c>
      <c r="B91" s="3382" t="s">
        <v>2966</v>
      </c>
      <c r="C91" s="2829" t="s">
        <v>2967</v>
      </c>
      <c r="D91" s="2830"/>
      <c r="E91" s="2830"/>
      <c r="F91" s="2830"/>
      <c r="G91" s="2830"/>
      <c r="H91" s="2830"/>
      <c r="I91" s="2830"/>
      <c r="J91" s="2876"/>
      <c r="K91" s="2877"/>
      <c r="L91" s="2877"/>
      <c r="M91" s="2877"/>
      <c r="N91" s="2877"/>
    </row>
    <row r="92" spans="1:37">
      <c r="A92" s="3382"/>
      <c r="B92" s="3382"/>
      <c r="C92" s="938" t="s">
        <v>2833</v>
      </c>
      <c r="D92" s="938" t="s">
        <v>2834</v>
      </c>
      <c r="E92" s="938" t="s">
        <v>2835</v>
      </c>
      <c r="F92" s="938" t="s">
        <v>2836</v>
      </c>
      <c r="G92" s="938" t="s">
        <v>2837</v>
      </c>
      <c r="H92" s="938" t="s">
        <v>2838</v>
      </c>
      <c r="I92" s="938" t="s">
        <v>2839</v>
      </c>
      <c r="J92" s="938" t="s">
        <v>2840</v>
      </c>
      <c r="K92" s="938" t="s">
        <v>2841</v>
      </c>
      <c r="L92" s="938" t="s">
        <v>2842</v>
      </c>
      <c r="M92" s="938" t="s">
        <v>2843</v>
      </c>
      <c r="N92" s="938" t="s">
        <v>2844</v>
      </c>
    </row>
    <row r="93" spans="1:37">
      <c r="A93" s="3383" t="s">
        <v>2968</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384"/>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384"/>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384"/>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384"/>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384"/>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384"/>
      <c r="B99" s="2878" t="s">
        <v>2849</v>
      </c>
      <c r="C99" s="2880">
        <f>$I$3</f>
        <v>0</v>
      </c>
      <c r="D99" s="2880">
        <f t="shared" ref="D99:M99" si="30">$I$3</f>
        <v>0</v>
      </c>
      <c r="E99" s="2880">
        <f t="shared" si="30"/>
        <v>0</v>
      </c>
      <c r="F99" s="2880">
        <f t="shared" si="30"/>
        <v>0</v>
      </c>
      <c r="G99" s="2880">
        <f t="shared" si="30"/>
        <v>0</v>
      </c>
      <c r="H99" s="2880">
        <f t="shared" si="30"/>
        <v>0</v>
      </c>
      <c r="I99" s="2880">
        <f t="shared" si="30"/>
        <v>0</v>
      </c>
      <c r="J99" s="2880">
        <f t="shared" si="30"/>
        <v>0</v>
      </c>
      <c r="K99" s="2880">
        <f t="shared" si="30"/>
        <v>0</v>
      </c>
      <c r="L99" s="2880">
        <f t="shared" si="30"/>
        <v>0</v>
      </c>
      <c r="M99" s="2880">
        <f t="shared" si="30"/>
        <v>0</v>
      </c>
      <c r="N99" s="2880">
        <f>$I$3</f>
        <v>0</v>
      </c>
    </row>
    <row r="100" spans="1:14">
      <c r="A100" s="3385"/>
      <c r="B100" s="2878">
        <v>7</v>
      </c>
      <c r="C100" s="2881">
        <f>(-0.163*(C99^2)-0.59*C99+7617)*(10^(-4))</f>
        <v>0.76170000000000004</v>
      </c>
      <c r="D100" s="2881">
        <f>(-0.163*(D99^2)-0.59*D99+7617)*(10^(-4))</f>
        <v>0.76170000000000004</v>
      </c>
      <c r="E100" s="2881">
        <f>(-0.161*(E99^2)-7.509*E99+6533)*(10^(-4))</f>
        <v>0.65329999999999999</v>
      </c>
      <c r="F100" s="2881">
        <f>(-0.161*(F99^2)-7.509*F99+6533)*(10^(-4))</f>
        <v>0.65329999999999999</v>
      </c>
      <c r="G100" s="2881">
        <f>(-0.161*(G99^2)-7.509*G99+6533)*(10^(-4))</f>
        <v>0.65329999999999999</v>
      </c>
      <c r="H100" s="2881">
        <f>(-0.161*(H99^2)-7.509*H99+6533)*(10^(-4))</f>
        <v>0.65329999999999999</v>
      </c>
      <c r="I100" s="2881">
        <f>(-0.161*(I99^2)-7.509*I99+6533)*(10^(-4))</f>
        <v>0.65329999999999999</v>
      </c>
      <c r="J100" s="2881">
        <f>(-0.214*(J99^2)-21.991*J99+4665)*(10^(-4))</f>
        <v>0.46650000000000003</v>
      </c>
      <c r="K100" s="2881">
        <f>(-0.214*(K99^2)-21.991*K99+4665)*(10^(-4))</f>
        <v>0.46650000000000003</v>
      </c>
      <c r="L100" s="2881">
        <f>(-0.214*(L99^2)-21.991*L99+4665)*(10^(-4))</f>
        <v>0.46650000000000003</v>
      </c>
      <c r="M100" s="2881">
        <f>(-0.214*(M99^2)-21.991*M99+4665)*(10^(-4))</f>
        <v>0.46650000000000003</v>
      </c>
      <c r="N100" s="2881">
        <f>(-0.214*(N99^2)-21.991*N99+4665)*(10^(-4))</f>
        <v>0.46650000000000003</v>
      </c>
    </row>
    <row r="101" spans="1:14">
      <c r="A101" s="3383" t="s">
        <v>2969</v>
      </c>
      <c r="B101" s="2882" t="s">
        <v>2970</v>
      </c>
      <c r="C101" s="2883">
        <f>$G$3</f>
        <v>8.86</v>
      </c>
      <c r="D101" s="2883">
        <f t="shared" ref="D101:N101" si="31">$G$3</f>
        <v>8.86</v>
      </c>
      <c r="E101" s="2883">
        <f t="shared" si="31"/>
        <v>8.86</v>
      </c>
      <c r="F101" s="2883">
        <f t="shared" si="31"/>
        <v>8.86</v>
      </c>
      <c r="G101" s="2883">
        <f t="shared" si="31"/>
        <v>8.86</v>
      </c>
      <c r="H101" s="2883">
        <f t="shared" si="31"/>
        <v>8.86</v>
      </c>
      <c r="I101" s="2883">
        <f t="shared" si="31"/>
        <v>8.86</v>
      </c>
      <c r="J101" s="2883">
        <f t="shared" si="31"/>
        <v>8.86</v>
      </c>
      <c r="K101" s="2883">
        <f t="shared" si="31"/>
        <v>8.86</v>
      </c>
      <c r="L101" s="2883">
        <f t="shared" si="31"/>
        <v>8.86</v>
      </c>
      <c r="M101" s="2883">
        <f t="shared" si="31"/>
        <v>8.86</v>
      </c>
      <c r="N101" s="2883">
        <f t="shared" si="31"/>
        <v>8.86</v>
      </c>
    </row>
    <row r="102" spans="1:14">
      <c r="A102" s="3384"/>
      <c r="B102" s="2878">
        <v>1</v>
      </c>
      <c r="C102" s="2879">
        <f>1.9362/C101</f>
        <v>0.21853273137697518</v>
      </c>
      <c r="D102" s="2879">
        <f>1.9362/D101</f>
        <v>0.21853273137697518</v>
      </c>
      <c r="E102" s="2879">
        <f>1.8629/E101</f>
        <v>0.21025959367945826</v>
      </c>
      <c r="F102" s="2879">
        <f>1.8629/F101</f>
        <v>0.21025959367945826</v>
      </c>
      <c r="G102" s="2879">
        <f>1.8629/G101</f>
        <v>0.21025959367945826</v>
      </c>
      <c r="H102" s="2879">
        <f>1.8629/H101</f>
        <v>0.21025959367945826</v>
      </c>
      <c r="I102" s="2879">
        <f>1.8629/I101</f>
        <v>0.21025959367945826</v>
      </c>
      <c r="J102" s="2879">
        <f>1.942/J101</f>
        <v>0.21918735891647856</v>
      </c>
      <c r="K102" s="2879">
        <f>1.942/K101</f>
        <v>0.21918735891647856</v>
      </c>
      <c r="L102" s="2879">
        <f>1.942/L101</f>
        <v>0.21918735891647856</v>
      </c>
      <c r="M102" s="2879">
        <f>1.942/M101</f>
        <v>0.21918735891647856</v>
      </c>
      <c r="N102" s="2879">
        <f>1.942/N101</f>
        <v>0.21918735891647856</v>
      </c>
    </row>
    <row r="103" spans="1:14">
      <c r="A103" s="3384"/>
      <c r="B103" s="2878">
        <v>2</v>
      </c>
      <c r="C103" s="2879">
        <f>1.4198/C101</f>
        <v>0.16024830699774267</v>
      </c>
      <c r="D103" s="2879">
        <f>1.4198/D101</f>
        <v>0.16024830699774267</v>
      </c>
      <c r="E103" s="2879">
        <f>1.3372/E101</f>
        <v>0.15092550790067721</v>
      </c>
      <c r="F103" s="2879">
        <f>1.3372/F101</f>
        <v>0.15092550790067721</v>
      </c>
      <c r="G103" s="2879">
        <f>1.3372/G101</f>
        <v>0.15092550790067721</v>
      </c>
      <c r="H103" s="2879">
        <f>1.3372/H101</f>
        <v>0.15092550790067721</v>
      </c>
      <c r="I103" s="2879">
        <f>1.3372/I101</f>
        <v>0.15092550790067721</v>
      </c>
      <c r="J103" s="2879">
        <f>1.2799/J101</f>
        <v>0.14445823927765239</v>
      </c>
      <c r="K103" s="2879">
        <f>1.2799/K101</f>
        <v>0.14445823927765239</v>
      </c>
      <c r="L103" s="2879">
        <f>1.2799/L101</f>
        <v>0.14445823927765239</v>
      </c>
      <c r="M103" s="2879">
        <f>1.2799/M101</f>
        <v>0.14445823927765239</v>
      </c>
      <c r="N103" s="2879">
        <f>1.2799/N101</f>
        <v>0.14445823927765239</v>
      </c>
    </row>
    <row r="104" spans="1:14">
      <c r="A104" s="3384"/>
      <c r="B104" s="2878">
        <v>3</v>
      </c>
      <c r="C104" s="2879">
        <f>1.1594/C101</f>
        <v>0.13085778781038376</v>
      </c>
      <c r="D104" s="2879">
        <f>1.1594/D101</f>
        <v>0.13085778781038376</v>
      </c>
      <c r="E104" s="2879">
        <f>1.0788/E101</f>
        <v>0.1217607223476298</v>
      </c>
      <c r="F104" s="2879">
        <f>1.0788/F101</f>
        <v>0.1217607223476298</v>
      </c>
      <c r="G104" s="2879">
        <f>1.0788/G101</f>
        <v>0.1217607223476298</v>
      </c>
      <c r="H104" s="2879">
        <f>1.0788/H101</f>
        <v>0.1217607223476298</v>
      </c>
      <c r="I104" s="2879">
        <f>1.0788/I101</f>
        <v>0.1217607223476298</v>
      </c>
      <c r="J104" s="2879">
        <f>1.0072/J101</f>
        <v>0.11367945823927766</v>
      </c>
      <c r="K104" s="2879">
        <f>1.0072/K101</f>
        <v>0.11367945823927766</v>
      </c>
      <c r="L104" s="2879">
        <f>1.0072/L101</f>
        <v>0.11367945823927766</v>
      </c>
      <c r="M104" s="2879">
        <f>1.0072/M101</f>
        <v>0.11367945823927766</v>
      </c>
      <c r="N104" s="2879">
        <f>1.0072/N101</f>
        <v>0.11367945823927766</v>
      </c>
    </row>
    <row r="105" spans="1:14">
      <c r="A105" s="3384"/>
      <c r="B105" s="2878">
        <v>4</v>
      </c>
      <c r="C105" s="2879">
        <f>0.9622/C101</f>
        <v>0.10860045146726864</v>
      </c>
      <c r="D105" s="2879">
        <f>0.9622/D101</f>
        <v>0.10860045146726864</v>
      </c>
      <c r="E105" s="2879">
        <f>0.8656/E101</f>
        <v>9.7697516930022585E-2</v>
      </c>
      <c r="F105" s="2879">
        <f>0.8656/F101</f>
        <v>9.7697516930022585E-2</v>
      </c>
      <c r="G105" s="2879">
        <f>0.8656/G101</f>
        <v>9.7697516930022585E-2</v>
      </c>
      <c r="H105" s="2879">
        <f>0.8656/H101</f>
        <v>9.7697516930022585E-2</v>
      </c>
      <c r="I105" s="2879">
        <f>0.8656/I101</f>
        <v>9.7697516930022585E-2</v>
      </c>
      <c r="J105" s="2879">
        <f>0.7525/J101</f>
        <v>8.4932279909706546E-2</v>
      </c>
      <c r="K105" s="2879">
        <f>0.7525/K101</f>
        <v>8.4932279909706546E-2</v>
      </c>
      <c r="L105" s="2879">
        <f>0.7525/L101</f>
        <v>8.4932279909706546E-2</v>
      </c>
      <c r="M105" s="2879">
        <f>0.7525/M101</f>
        <v>8.4932279909706546E-2</v>
      </c>
      <c r="N105" s="2879">
        <f>0.7525/N101</f>
        <v>8.4932279909706546E-2</v>
      </c>
    </row>
    <row r="106" spans="1:14">
      <c r="A106" s="3384"/>
      <c r="B106" s="2878">
        <v>5</v>
      </c>
      <c r="C106" s="2879">
        <f>0.8417/C101</f>
        <v>9.5000000000000001E-2</v>
      </c>
      <c r="D106" s="2879">
        <f>0.8417/D101</f>
        <v>9.5000000000000001E-2</v>
      </c>
      <c r="E106" s="2879">
        <f>0.7371/E101</f>
        <v>8.3194130925507898E-2</v>
      </c>
      <c r="F106" s="2879">
        <f>0.7371/F101</f>
        <v>8.3194130925507898E-2</v>
      </c>
      <c r="G106" s="2879">
        <f>0.7371/G101</f>
        <v>8.3194130925507898E-2</v>
      </c>
      <c r="H106" s="2879">
        <f>0.7371/H101</f>
        <v>8.3194130925507898E-2</v>
      </c>
      <c r="I106" s="2879">
        <f>0.7371/I101</f>
        <v>8.3194130925507898E-2</v>
      </c>
      <c r="J106" s="2879">
        <f>0.5659/J101</f>
        <v>6.3871331828442443E-2</v>
      </c>
      <c r="K106" s="2879">
        <f>0.5659/K101</f>
        <v>6.3871331828442443E-2</v>
      </c>
      <c r="L106" s="2879">
        <f>0.5659/L101</f>
        <v>6.3871331828442443E-2</v>
      </c>
      <c r="M106" s="2879">
        <f>0.5659/M101</f>
        <v>6.3871331828442443E-2</v>
      </c>
      <c r="N106" s="2879">
        <f>0.5659/N101</f>
        <v>6.3871331828442443E-2</v>
      </c>
    </row>
    <row r="107" spans="1:14">
      <c r="A107" s="3384"/>
      <c r="B107" s="2878">
        <v>6</v>
      </c>
      <c r="C107" s="2879">
        <f>0.7608/C101</f>
        <v>8.5869074492099337E-2</v>
      </c>
      <c r="D107" s="2879">
        <f>0.7608/D101</f>
        <v>8.5869074492099337E-2</v>
      </c>
      <c r="E107" s="2879">
        <f>0.6482/E101</f>
        <v>7.3160270880361172E-2</v>
      </c>
      <c r="F107" s="2879">
        <f>0.6482/F101</f>
        <v>7.3160270880361172E-2</v>
      </c>
      <c r="G107" s="2879">
        <f>0.6482/G101</f>
        <v>7.3160270880361172E-2</v>
      </c>
      <c r="H107" s="2879">
        <f>0.6482/H101</f>
        <v>7.3160270880361172E-2</v>
      </c>
      <c r="I107" s="2879">
        <f>0.6482/I101</f>
        <v>7.3160270880361172E-2</v>
      </c>
      <c r="J107" s="2879">
        <f>0.4525/J101</f>
        <v>5.1072234762979687E-2</v>
      </c>
      <c r="K107" s="2879">
        <f>0.4525/K101</f>
        <v>5.1072234762979687E-2</v>
      </c>
      <c r="L107" s="2879">
        <f>0.4525/L101</f>
        <v>5.1072234762979687E-2</v>
      </c>
      <c r="M107" s="2879">
        <f>0.4525/M101</f>
        <v>5.1072234762979687E-2</v>
      </c>
      <c r="N107" s="2879">
        <f>0.4525/N101</f>
        <v>5.1072234762979687E-2</v>
      </c>
    </row>
    <row r="108" spans="1:14">
      <c r="A108" s="3384"/>
      <c r="B108" s="3201" t="s">
        <v>2971</v>
      </c>
      <c r="C108" s="2880">
        <f>C99</f>
        <v>0</v>
      </c>
      <c r="D108" s="2880">
        <f t="shared" ref="D108:N108" si="32">D99</f>
        <v>0</v>
      </c>
      <c r="E108" s="2880">
        <f t="shared" si="32"/>
        <v>0</v>
      </c>
      <c r="F108" s="2880">
        <f t="shared" si="32"/>
        <v>0</v>
      </c>
      <c r="G108" s="2880">
        <f t="shared" si="32"/>
        <v>0</v>
      </c>
      <c r="H108" s="2880">
        <f t="shared" si="32"/>
        <v>0</v>
      </c>
      <c r="I108" s="2880">
        <f t="shared" si="32"/>
        <v>0</v>
      </c>
      <c r="J108" s="2880">
        <f t="shared" si="32"/>
        <v>0</v>
      </c>
      <c r="K108" s="2880">
        <f t="shared" si="32"/>
        <v>0</v>
      </c>
      <c r="L108" s="2880">
        <f t="shared" si="32"/>
        <v>0</v>
      </c>
      <c r="M108" s="2880">
        <f t="shared" si="32"/>
        <v>0</v>
      </c>
      <c r="N108" s="2880">
        <f t="shared" si="32"/>
        <v>0</v>
      </c>
    </row>
    <row r="109" spans="1:14">
      <c r="A109" s="3385"/>
      <c r="B109" s="3202"/>
      <c r="C109" s="2881">
        <f>(-0.163*(C108^2)-0.59*C108+7617)*(10^(-4))/C101</f>
        <v>8.5970654627539514E-2</v>
      </c>
      <c r="D109" s="2881">
        <f>(-0.163*(D108^2)-0.59*D108+7617)*(10^(-4))/D101</f>
        <v>8.5970654627539514E-2</v>
      </c>
      <c r="E109" s="2881">
        <f>(-0.161*(E108^2)-7.509*E108+6533)*(10^(-4))/E101</f>
        <v>7.3735891647855531E-2</v>
      </c>
      <c r="F109" s="2881">
        <f>(-0.161*(F108^2)-7.509*F108+6533)*(10^(-4))/F101</f>
        <v>7.3735891647855531E-2</v>
      </c>
      <c r="G109" s="2881">
        <f>(-0.161*(G108^2)-7.509*G108+6533)*(10^(-4))/G101</f>
        <v>7.3735891647855531E-2</v>
      </c>
      <c r="H109" s="2881">
        <f>(-0.161*(H108^2)-7.509*H108+6533)*(10^(-4))/H101</f>
        <v>7.3735891647855531E-2</v>
      </c>
      <c r="I109" s="2881">
        <f>(-0.161*(I108^2)-7.509*I108+6533)*(10^(-4))/I101</f>
        <v>7.3735891647855531E-2</v>
      </c>
      <c r="J109" s="2881">
        <f>(-0.214*(J108^2)-21.991*J108+4665)*(10^(-4))/J101</f>
        <v>5.2652370203160277E-2</v>
      </c>
      <c r="K109" s="2881">
        <f>(-0.214*(K108^2)-21.991*K108+4665)*(10^(-4))/K101</f>
        <v>5.2652370203160277E-2</v>
      </c>
      <c r="L109" s="2881">
        <f>(-0.214*(L108^2)-21.991*L108+4665)*(10^(-4))/L101</f>
        <v>5.2652370203160277E-2</v>
      </c>
      <c r="M109" s="2881">
        <f>(-0.214*(M108^2)-21.991*M108+4665)*(10^(-4))/M101</f>
        <v>5.2652370203160277E-2</v>
      </c>
      <c r="N109" s="2881">
        <f>(-0.214*(N108^2)-21.991*N108+4665)*(10^(-4))/N101</f>
        <v>5.2652370203160277E-2</v>
      </c>
    </row>
    <row r="110" spans="1:14">
      <c r="A110" s="3381" t="s">
        <v>2972</v>
      </c>
      <c r="B110" s="3381"/>
      <c r="C110" s="3381"/>
      <c r="D110" s="3381"/>
      <c r="E110" s="3381"/>
      <c r="F110" s="3381"/>
      <c r="G110" s="3381"/>
      <c r="H110" s="3381"/>
      <c r="I110" s="3381"/>
      <c r="J110" s="3381"/>
      <c r="K110" s="2884"/>
      <c r="L110" s="2884"/>
      <c r="M110" s="2884"/>
      <c r="N110" s="2884"/>
    </row>
    <row r="112" spans="1:14" ht="13.5" thickBot="1"/>
    <row r="113" spans="1:13" ht="25.5" thickBot="1">
      <c r="A113" s="899" t="s">
        <v>2973</v>
      </c>
      <c r="B113" s="1283">
        <f>G3</f>
        <v>8.86</v>
      </c>
      <c r="C113" s="900" t="s">
        <v>2974</v>
      </c>
      <c r="D113" s="901">
        <f>SUMPRODUCT((A115:A118=F113)*(B114:M114=H113)*B115:M118)</f>
        <v>0</v>
      </c>
      <c r="E113" s="2715" t="s">
        <v>2806</v>
      </c>
      <c r="F113" s="2886">
        <f>E2</f>
        <v>0</v>
      </c>
      <c r="G113" s="2715" t="s">
        <v>2807</v>
      </c>
      <c r="H113" s="2886">
        <f>G2</f>
        <v>0</v>
      </c>
      <c r="I113" s="2715"/>
      <c r="J113" s="2887"/>
      <c r="K113" s="2887"/>
      <c r="L113" s="2887"/>
      <c r="M113" s="2887"/>
    </row>
    <row r="114" spans="1:13">
      <c r="A114" s="904"/>
      <c r="B114" s="2888" t="s">
        <v>2975</v>
      </c>
      <c r="C114" s="2888" t="s">
        <v>2976</v>
      </c>
      <c r="D114" s="2888" t="s">
        <v>2977</v>
      </c>
      <c r="E114" s="2889" t="s">
        <v>2978</v>
      </c>
      <c r="F114" s="2889" t="s">
        <v>2979</v>
      </c>
      <c r="G114" s="2889" t="s">
        <v>2980</v>
      </c>
      <c r="H114" s="2890" t="s">
        <v>2981</v>
      </c>
      <c r="I114" s="2890" t="s">
        <v>2982</v>
      </c>
      <c r="J114" s="2891" t="s">
        <v>2983</v>
      </c>
      <c r="K114" s="2891" t="s">
        <v>2984</v>
      </c>
      <c r="L114" s="2891" t="s">
        <v>2985</v>
      </c>
      <c r="M114" s="2892" t="s">
        <v>2986</v>
      </c>
    </row>
    <row r="115" spans="1:13">
      <c r="A115" s="905" t="s">
        <v>2871</v>
      </c>
      <c r="B115" s="906">
        <f>ROUND(0.9335-0.0094*B113,4)</f>
        <v>0.85019999999999996</v>
      </c>
      <c r="C115" s="906">
        <f>B115</f>
        <v>0.85019999999999996</v>
      </c>
      <c r="D115" s="906">
        <f>ROUND(0.8331-0.0109*B113,4)</f>
        <v>0.73650000000000004</v>
      </c>
      <c r="E115" s="906">
        <f>D115</f>
        <v>0.73650000000000004</v>
      </c>
      <c r="F115" s="906">
        <f>E115</f>
        <v>0.73650000000000004</v>
      </c>
      <c r="G115" s="906">
        <f>F115</f>
        <v>0.73650000000000004</v>
      </c>
      <c r="H115" s="906">
        <f>G115</f>
        <v>0.73650000000000004</v>
      </c>
      <c r="I115" s="906">
        <f>ROUND(0.689-0.0155*B113,4)</f>
        <v>0.55169999999999997</v>
      </c>
      <c r="J115" s="906">
        <f t="shared" ref="J115:M118" si="33">I115</f>
        <v>0.55169999999999997</v>
      </c>
      <c r="K115" s="906">
        <f t="shared" si="33"/>
        <v>0.55169999999999997</v>
      </c>
      <c r="L115" s="906">
        <f t="shared" si="33"/>
        <v>0.55169999999999997</v>
      </c>
      <c r="M115" s="907">
        <f t="shared" si="33"/>
        <v>0.55169999999999997</v>
      </c>
    </row>
    <row r="116" spans="1:13">
      <c r="A116" s="905" t="s">
        <v>2872</v>
      </c>
      <c r="B116" s="906">
        <f>ROUND(0.949-0.012*B113,4)</f>
        <v>0.8427</v>
      </c>
      <c r="C116" s="906">
        <f>B116</f>
        <v>0.8427</v>
      </c>
      <c r="D116" s="906">
        <f>ROUND(0.8567-0.013*B113,4)</f>
        <v>0.74150000000000005</v>
      </c>
      <c r="E116" s="906">
        <f t="shared" ref="E116:H117" si="34">D116</f>
        <v>0.74150000000000005</v>
      </c>
      <c r="F116" s="906">
        <f t="shared" si="34"/>
        <v>0.74150000000000005</v>
      </c>
      <c r="G116" s="906">
        <f t="shared" si="34"/>
        <v>0.74150000000000005</v>
      </c>
      <c r="H116" s="906">
        <f t="shared" si="34"/>
        <v>0.74150000000000005</v>
      </c>
      <c r="I116" s="906">
        <f>ROUND(0.7694-0.014*B113,4)</f>
        <v>0.64539999999999997</v>
      </c>
      <c r="J116" s="906">
        <f t="shared" si="33"/>
        <v>0.64539999999999997</v>
      </c>
      <c r="K116" s="906">
        <f t="shared" si="33"/>
        <v>0.64539999999999997</v>
      </c>
      <c r="L116" s="906">
        <f t="shared" si="33"/>
        <v>0.64539999999999997</v>
      </c>
      <c r="M116" s="907">
        <f t="shared" si="33"/>
        <v>0.64539999999999997</v>
      </c>
    </row>
    <row r="117" spans="1:13">
      <c r="A117" s="905" t="s">
        <v>2873</v>
      </c>
      <c r="B117" s="906">
        <f>ROUND(0.8808-0.006*B113,4)</f>
        <v>0.8276</v>
      </c>
      <c r="C117" s="906">
        <f>B117</f>
        <v>0.8276</v>
      </c>
      <c r="D117" s="906">
        <f>ROUND(0.8748-0.008*B113,4)</f>
        <v>0.80389999999999995</v>
      </c>
      <c r="E117" s="906">
        <f t="shared" si="34"/>
        <v>0.80389999999999995</v>
      </c>
      <c r="F117" s="906">
        <f t="shared" si="34"/>
        <v>0.80389999999999995</v>
      </c>
      <c r="G117" s="906">
        <f t="shared" si="34"/>
        <v>0.80389999999999995</v>
      </c>
      <c r="H117" s="906">
        <f t="shared" si="34"/>
        <v>0.80389999999999995</v>
      </c>
      <c r="I117" s="906">
        <f>ROUND(0.7412-0.0095*B113,4)</f>
        <v>0.65700000000000003</v>
      </c>
      <c r="J117" s="906">
        <f t="shared" si="33"/>
        <v>0.65700000000000003</v>
      </c>
      <c r="K117" s="906">
        <f t="shared" si="33"/>
        <v>0.65700000000000003</v>
      </c>
      <c r="L117" s="906">
        <f t="shared" si="33"/>
        <v>0.65700000000000003</v>
      </c>
      <c r="M117" s="907">
        <f t="shared" si="33"/>
        <v>0.65700000000000003</v>
      </c>
    </row>
    <row r="118" spans="1:13" ht="13.5" thickBot="1">
      <c r="A118" s="713" t="s">
        <v>2874</v>
      </c>
      <c r="B118" s="908">
        <f>ROUND(0.7275-0.01*B113,4)</f>
        <v>0.63890000000000002</v>
      </c>
      <c r="C118" s="908">
        <f>B118</f>
        <v>0.63890000000000002</v>
      </c>
      <c r="D118" s="908">
        <f>ROUND(0.7043-0.012*B113,4)</f>
        <v>0.59799999999999998</v>
      </c>
      <c r="E118" s="908">
        <f>D118</f>
        <v>0.59799999999999998</v>
      </c>
      <c r="F118" s="908">
        <f>E118</f>
        <v>0.59799999999999998</v>
      </c>
      <c r="G118" s="908">
        <f>ROUND(0.6299-0.0122*B113,4)</f>
        <v>0.52180000000000004</v>
      </c>
      <c r="H118" s="908">
        <f>G118</f>
        <v>0.52180000000000004</v>
      </c>
      <c r="I118" s="908">
        <f>ROUND(0.5667-0.0136*B113,4)</f>
        <v>0.44619999999999999</v>
      </c>
      <c r="J118" s="908">
        <f t="shared" si="33"/>
        <v>0.44619999999999999</v>
      </c>
      <c r="K118" s="908">
        <f t="shared" si="33"/>
        <v>0.44619999999999999</v>
      </c>
      <c r="L118" s="908">
        <f t="shared" si="33"/>
        <v>0.44619999999999999</v>
      </c>
      <c r="M118" s="909">
        <f t="shared" si="33"/>
        <v>0.44619999999999999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3044</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401" t="s">
        <v>183</v>
      </c>
      <c r="B18" s="878" t="s">
        <v>560</v>
      </c>
      <c r="C18" s="879" t="s">
        <v>561</v>
      </c>
      <c r="D18" s="880"/>
      <c r="E18" s="878">
        <v>1</v>
      </c>
      <c r="F18" s="881" t="s">
        <v>562</v>
      </c>
      <c r="G18" s="882"/>
      <c r="H18" s="874"/>
      <c r="I18" s="874"/>
    </row>
    <row r="19" spans="1:9" s="883" customFormat="1" ht="19.5" customHeight="1">
      <c r="A19" s="3401"/>
      <c r="B19" s="3401" t="s">
        <v>563</v>
      </c>
      <c r="C19" s="879" t="s">
        <v>564</v>
      </c>
      <c r="D19" s="880"/>
      <c r="E19" s="878">
        <v>0.9</v>
      </c>
      <c r="F19" s="881" t="s">
        <v>565</v>
      </c>
      <c r="G19" s="882"/>
      <c r="H19" s="874"/>
      <c r="I19" s="874"/>
    </row>
    <row r="20" spans="1:9" s="883" customFormat="1" ht="19.5" customHeight="1">
      <c r="A20" s="3401"/>
      <c r="B20" s="3401"/>
      <c r="C20" s="879" t="s">
        <v>566</v>
      </c>
      <c r="D20" s="880"/>
      <c r="E20" s="878">
        <v>1.1000000000000001</v>
      </c>
      <c r="F20" s="881" t="s">
        <v>567</v>
      </c>
      <c r="G20" s="882"/>
      <c r="H20" s="874"/>
      <c r="I20" s="874"/>
    </row>
    <row r="21" spans="1:9" s="883" customFormat="1" ht="19.5" customHeight="1">
      <c r="A21" s="3401"/>
      <c r="B21" s="3401"/>
      <c r="C21" s="879" t="s">
        <v>568</v>
      </c>
      <c r="D21" s="880"/>
      <c r="E21" s="878">
        <v>0.8</v>
      </c>
      <c r="F21" s="881" t="s">
        <v>569</v>
      </c>
      <c r="G21" s="882"/>
      <c r="H21" s="874"/>
      <c r="I21" s="874"/>
    </row>
    <row r="22" spans="1:9" s="883" customFormat="1" ht="19.5" customHeight="1">
      <c r="A22" s="3401"/>
      <c r="B22" s="3401"/>
      <c r="C22" s="879" t="s">
        <v>570</v>
      </c>
      <c r="D22" s="880"/>
      <c r="E22" s="878">
        <v>0.5</v>
      </c>
      <c r="F22" s="881"/>
      <c r="G22" s="882"/>
      <c r="H22" s="874"/>
      <c r="I22" s="874"/>
    </row>
    <row r="23" spans="1:9" s="883" customFormat="1" ht="19.5" customHeight="1">
      <c r="A23" s="3401" t="s">
        <v>184</v>
      </c>
      <c r="B23" s="878" t="s">
        <v>560</v>
      </c>
      <c r="C23" s="879" t="s">
        <v>571</v>
      </c>
      <c r="D23" s="880"/>
      <c r="E23" s="878">
        <v>1</v>
      </c>
      <c r="F23" s="881" t="s">
        <v>572</v>
      </c>
      <c r="G23" s="882"/>
      <c r="H23" s="874"/>
      <c r="I23" s="874"/>
    </row>
    <row r="24" spans="1:9" s="883" customFormat="1" ht="19.5" customHeight="1">
      <c r="A24" s="3401"/>
      <c r="B24" s="3401" t="s">
        <v>563</v>
      </c>
      <c r="C24" s="879" t="s">
        <v>573</v>
      </c>
      <c r="D24" s="880"/>
      <c r="E24" s="878">
        <v>0.5</v>
      </c>
      <c r="F24" s="881"/>
      <c r="G24" s="882"/>
      <c r="H24" s="874"/>
      <c r="I24" s="874"/>
    </row>
    <row r="25" spans="1:9" s="883" customFormat="1" ht="19.5" customHeight="1">
      <c r="A25" s="3401"/>
      <c r="B25" s="3401"/>
      <c r="C25" s="879" t="s">
        <v>574</v>
      </c>
      <c r="D25" s="880"/>
      <c r="E25" s="878">
        <v>1.1000000000000001</v>
      </c>
      <c r="F25" s="881"/>
      <c r="G25" s="882"/>
      <c r="H25" s="874"/>
      <c r="I25" s="874"/>
    </row>
    <row r="26" spans="1:9" s="883" customFormat="1" ht="19.5" customHeight="1">
      <c r="A26" s="3401"/>
      <c r="B26" s="3401"/>
      <c r="C26" s="879" t="s">
        <v>575</v>
      </c>
      <c r="D26" s="880"/>
      <c r="E26" s="878">
        <v>1.1000000000000001</v>
      </c>
      <c r="F26" s="881"/>
      <c r="G26" s="882"/>
      <c r="H26" s="874"/>
      <c r="I26" s="874"/>
    </row>
    <row r="27" spans="1:9" s="883" customFormat="1" ht="19.5" customHeight="1">
      <c r="A27" s="3401"/>
      <c r="B27" s="3401"/>
      <c r="C27" s="879" t="s">
        <v>576</v>
      </c>
      <c r="D27" s="880"/>
      <c r="E27" s="878">
        <v>0.9</v>
      </c>
      <c r="F27" s="881" t="s">
        <v>577</v>
      </c>
      <c r="G27" s="882"/>
      <c r="H27" s="874"/>
      <c r="I27" s="874"/>
    </row>
    <row r="28" spans="1:9" s="883" customFormat="1" ht="19.5" customHeight="1">
      <c r="A28" s="3401"/>
      <c r="B28" s="3401"/>
      <c r="C28" s="879" t="s">
        <v>578</v>
      </c>
      <c r="D28" s="880"/>
      <c r="E28" s="878">
        <v>0.9</v>
      </c>
      <c r="F28" s="881" t="s">
        <v>579</v>
      </c>
      <c r="G28" s="882"/>
      <c r="H28" s="874"/>
      <c r="I28" s="874"/>
    </row>
    <row r="29" spans="1:9" s="883" customFormat="1" ht="19.5" customHeight="1">
      <c r="A29" s="3401"/>
      <c r="B29" s="3401"/>
      <c r="C29" s="879" t="s">
        <v>580</v>
      </c>
      <c r="D29" s="880"/>
      <c r="E29" s="878">
        <v>0.9</v>
      </c>
      <c r="F29" s="881" t="s">
        <v>581</v>
      </c>
      <c r="G29" s="882"/>
      <c r="H29" s="874"/>
      <c r="I29" s="874"/>
    </row>
    <row r="30" spans="1:9" s="883" customFormat="1" ht="19.5" customHeight="1">
      <c r="A30" s="3401"/>
      <c r="B30" s="3401"/>
      <c r="C30" s="879" t="s">
        <v>582</v>
      </c>
      <c r="D30" s="880"/>
      <c r="E30" s="878">
        <v>0.9</v>
      </c>
      <c r="F30" s="881" t="s">
        <v>583</v>
      </c>
      <c r="G30" s="882"/>
      <c r="H30" s="874"/>
      <c r="I30" s="874"/>
    </row>
    <row r="31" spans="1:9" s="883" customFormat="1" ht="19.5" customHeight="1">
      <c r="A31" s="3401"/>
      <c r="B31" s="3401"/>
      <c r="C31" s="879" t="s">
        <v>584</v>
      </c>
      <c r="D31" s="880"/>
      <c r="E31" s="878">
        <v>0.8</v>
      </c>
      <c r="F31" s="881" t="s">
        <v>585</v>
      </c>
      <c r="G31" s="882"/>
      <c r="H31" s="874"/>
      <c r="I31" s="874"/>
    </row>
    <row r="32" spans="1:9" s="883" customFormat="1" ht="19.5" customHeight="1">
      <c r="A32" s="3401"/>
      <c r="B32" s="3401"/>
      <c r="C32" s="879" t="s">
        <v>586</v>
      </c>
      <c r="D32" s="880"/>
      <c r="E32" s="878">
        <v>0.8</v>
      </c>
      <c r="F32" s="881" t="s">
        <v>587</v>
      </c>
      <c r="G32" s="882"/>
      <c r="H32" s="874"/>
      <c r="I32" s="874"/>
    </row>
    <row r="33" spans="1:9" s="883" customFormat="1" ht="19.5" customHeight="1">
      <c r="A33" s="3401" t="s">
        <v>185</v>
      </c>
      <c r="B33" s="878" t="s">
        <v>560</v>
      </c>
      <c r="C33" s="879" t="s">
        <v>588</v>
      </c>
      <c r="D33" s="880"/>
      <c r="E33" s="878">
        <v>1</v>
      </c>
      <c r="F33" s="881" t="s">
        <v>589</v>
      </c>
      <c r="G33" s="882"/>
      <c r="H33" s="874"/>
      <c r="I33" s="874"/>
    </row>
    <row r="34" spans="1:9" s="883" customFormat="1" ht="19.5" customHeight="1">
      <c r="A34" s="3401"/>
      <c r="B34" s="878" t="s">
        <v>563</v>
      </c>
      <c r="C34" s="879" t="s">
        <v>590</v>
      </c>
      <c r="D34" s="880"/>
      <c r="E34" s="878">
        <v>1.5</v>
      </c>
      <c r="F34" s="881" t="s">
        <v>591</v>
      </c>
      <c r="G34" s="882"/>
      <c r="H34" s="874"/>
      <c r="I34" s="874"/>
    </row>
    <row r="35" spans="1:9" s="883" customFormat="1" ht="19.5" customHeight="1">
      <c r="A35" s="3401" t="s">
        <v>186</v>
      </c>
      <c r="B35" s="878" t="s">
        <v>560</v>
      </c>
      <c r="C35" s="879" t="s">
        <v>592</v>
      </c>
      <c r="D35" s="880"/>
      <c r="E35" s="878">
        <v>1</v>
      </c>
      <c r="F35" s="881" t="s">
        <v>593</v>
      </c>
      <c r="G35" s="882"/>
      <c r="H35" s="874"/>
      <c r="I35" s="874"/>
    </row>
    <row r="36" spans="1:9" s="883" customFormat="1" ht="19.5" customHeight="1">
      <c r="A36" s="3401"/>
      <c r="B36" s="3401" t="s">
        <v>563</v>
      </c>
      <c r="C36" s="879" t="s">
        <v>594</v>
      </c>
      <c r="D36" s="880"/>
      <c r="E36" s="878">
        <v>1</v>
      </c>
      <c r="F36" s="881" t="s">
        <v>595</v>
      </c>
      <c r="G36" s="882"/>
      <c r="H36" s="874"/>
      <c r="I36" s="874"/>
    </row>
    <row r="37" spans="1:9" s="883" customFormat="1" ht="19.5" customHeight="1">
      <c r="A37" s="3401"/>
      <c r="B37" s="3401"/>
      <c r="C37" s="879" t="s">
        <v>596</v>
      </c>
      <c r="D37" s="880"/>
      <c r="E37" s="878">
        <v>1.5</v>
      </c>
      <c r="F37" s="881" t="s">
        <v>597</v>
      </c>
      <c r="G37" s="882"/>
      <c r="H37" s="874"/>
      <c r="I37" s="874"/>
    </row>
    <row r="38" spans="1:9" s="883" customFormat="1" ht="19.5" customHeight="1">
      <c r="A38" s="3401"/>
      <c r="B38" s="3401"/>
      <c r="C38" s="879" t="s">
        <v>598</v>
      </c>
      <c r="D38" s="880"/>
      <c r="E38" s="878">
        <v>1</v>
      </c>
      <c r="F38" s="881" t="s">
        <v>599</v>
      </c>
      <c r="G38" s="882"/>
      <c r="H38" s="874"/>
      <c r="I38" s="874"/>
    </row>
    <row r="39" spans="1:9" s="883" customFormat="1" ht="19.5" customHeight="1">
      <c r="A39" s="3401"/>
      <c r="B39" s="3401"/>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401" t="s">
        <v>614</v>
      </c>
      <c r="C61" s="814" t="s">
        <v>615</v>
      </c>
      <c r="D61" s="814" t="s">
        <v>616</v>
      </c>
      <c r="E61" s="891">
        <v>0.5</v>
      </c>
      <c r="F61" s="878">
        <v>80</v>
      </c>
    </row>
    <row r="62" spans="1:8" s="874" customFormat="1" ht="24">
      <c r="A62" s="878">
        <v>2</v>
      </c>
      <c r="B62" s="3401"/>
      <c r="C62" s="814" t="s">
        <v>617</v>
      </c>
      <c r="D62" s="814" t="s">
        <v>618</v>
      </c>
      <c r="E62" s="891">
        <v>0.5</v>
      </c>
      <c r="F62" s="878">
        <v>80</v>
      </c>
    </row>
    <row r="63" spans="1:8" s="874" customFormat="1" ht="36">
      <c r="A63" s="878">
        <v>3</v>
      </c>
      <c r="B63" s="3401"/>
      <c r="C63" s="814" t="s">
        <v>619</v>
      </c>
      <c r="D63" s="814" t="s">
        <v>620</v>
      </c>
      <c r="E63" s="891">
        <v>0.5</v>
      </c>
      <c r="F63" s="878">
        <v>80</v>
      </c>
    </row>
    <row r="64" spans="1:8" s="874" customFormat="1" ht="36">
      <c r="A64" s="878">
        <v>4</v>
      </c>
      <c r="B64" s="3401"/>
      <c r="C64" s="814" t="s">
        <v>621</v>
      </c>
      <c r="D64" s="814" t="s">
        <v>622</v>
      </c>
      <c r="E64" s="891">
        <v>0.4</v>
      </c>
      <c r="F64" s="878">
        <v>60</v>
      </c>
    </row>
    <row r="65" spans="1:6" s="874" customFormat="1" ht="36">
      <c r="A65" s="878">
        <v>5</v>
      </c>
      <c r="B65" s="3401"/>
      <c r="C65" s="814" t="s">
        <v>623</v>
      </c>
      <c r="D65" s="814" t="s">
        <v>624</v>
      </c>
      <c r="E65" s="891">
        <v>0.2</v>
      </c>
      <c r="F65" s="878">
        <v>30</v>
      </c>
    </row>
    <row r="66" spans="1:6" s="874" customFormat="1" ht="36">
      <c r="A66" s="878">
        <v>6</v>
      </c>
      <c r="B66" s="3401"/>
      <c r="C66" s="814" t="s">
        <v>625</v>
      </c>
      <c r="D66" s="814" t="s">
        <v>626</v>
      </c>
      <c r="E66" s="891">
        <v>0.3</v>
      </c>
      <c r="F66" s="878">
        <v>50</v>
      </c>
    </row>
    <row r="67" spans="1:6" s="874" customFormat="1" ht="36">
      <c r="A67" s="878">
        <v>7</v>
      </c>
      <c r="B67" s="3401"/>
      <c r="C67" s="814" t="s">
        <v>627</v>
      </c>
      <c r="D67" s="814" t="s">
        <v>628</v>
      </c>
      <c r="E67" s="891">
        <v>0.2</v>
      </c>
      <c r="F67" s="878">
        <v>30</v>
      </c>
    </row>
    <row r="68" spans="1:6" s="874" customFormat="1" ht="36">
      <c r="A68" s="878">
        <v>8</v>
      </c>
      <c r="B68" s="3401"/>
      <c r="C68" s="814" t="s">
        <v>629</v>
      </c>
      <c r="D68" s="814" t="s">
        <v>630</v>
      </c>
      <c r="E68" s="891">
        <v>0.2</v>
      </c>
      <c r="F68" s="878">
        <v>30</v>
      </c>
    </row>
    <row r="69" spans="1:6" s="874" customFormat="1" ht="36">
      <c r="A69" s="878">
        <v>9</v>
      </c>
      <c r="B69" s="3401"/>
      <c r="C69" s="814" t="s">
        <v>631</v>
      </c>
      <c r="D69" s="814" t="s">
        <v>632</v>
      </c>
      <c r="E69" s="891">
        <v>0.2</v>
      </c>
      <c r="F69" s="878">
        <v>30</v>
      </c>
    </row>
    <row r="70" spans="1:6" s="874" customFormat="1" ht="48">
      <c r="A70" s="878">
        <v>10</v>
      </c>
      <c r="B70" s="3401"/>
      <c r="C70" s="814" t="s">
        <v>633</v>
      </c>
      <c r="D70" s="814" t="s">
        <v>634</v>
      </c>
      <c r="E70" s="891">
        <v>0.2</v>
      </c>
      <c r="F70" s="878">
        <v>30</v>
      </c>
    </row>
    <row r="71" spans="1:6" s="874" customFormat="1" ht="48">
      <c r="A71" s="878">
        <v>11</v>
      </c>
      <c r="B71" s="3401"/>
      <c r="C71" s="814" t="s">
        <v>635</v>
      </c>
      <c r="D71" s="814" t="s">
        <v>636</v>
      </c>
      <c r="E71" s="891">
        <v>0.2</v>
      </c>
      <c r="F71" s="878">
        <v>30</v>
      </c>
    </row>
    <row r="72" spans="1:6" s="874" customFormat="1" ht="36">
      <c r="A72" s="878">
        <v>12</v>
      </c>
      <c r="B72" s="3401"/>
      <c r="C72" s="814" t="s">
        <v>637</v>
      </c>
      <c r="D72" s="814" t="s">
        <v>638</v>
      </c>
      <c r="E72" s="891">
        <v>0.5</v>
      </c>
      <c r="F72" s="878">
        <v>80</v>
      </c>
    </row>
    <row r="73" spans="1:6" s="874" customFormat="1" ht="24">
      <c r="A73" s="878">
        <v>13</v>
      </c>
      <c r="B73" s="3401"/>
      <c r="C73" s="814" t="s">
        <v>639</v>
      </c>
      <c r="D73" s="814" t="s">
        <v>640</v>
      </c>
      <c r="E73" s="891">
        <v>0.4</v>
      </c>
      <c r="F73" s="878">
        <v>60</v>
      </c>
    </row>
    <row r="74" spans="1:6" s="874" customFormat="1" ht="24">
      <c r="A74" s="878">
        <v>14</v>
      </c>
      <c r="B74" s="3401"/>
      <c r="C74" s="814" t="s">
        <v>641</v>
      </c>
      <c r="D74" s="814" t="s">
        <v>642</v>
      </c>
      <c r="E74" s="891">
        <v>0.2</v>
      </c>
      <c r="F74" s="878">
        <v>30</v>
      </c>
    </row>
    <row r="75" spans="1:6" s="874" customFormat="1" ht="24">
      <c r="A75" s="878">
        <v>15</v>
      </c>
      <c r="B75" s="3401"/>
      <c r="C75" s="814" t="s">
        <v>643</v>
      </c>
      <c r="D75" s="814" t="s">
        <v>644</v>
      </c>
      <c r="E75" s="891">
        <v>0.2</v>
      </c>
      <c r="F75" s="878">
        <v>30</v>
      </c>
    </row>
    <row r="76" spans="1:6" s="874" customFormat="1" ht="24">
      <c r="A76" s="878">
        <v>16</v>
      </c>
      <c r="B76" s="3401" t="s">
        <v>645</v>
      </c>
      <c r="C76" s="814" t="s">
        <v>646</v>
      </c>
      <c r="D76" s="814" t="s">
        <v>647</v>
      </c>
      <c r="E76" s="891">
        <v>0.5</v>
      </c>
      <c r="F76" s="878">
        <v>80</v>
      </c>
    </row>
    <row r="77" spans="1:6" s="874" customFormat="1" ht="24">
      <c r="A77" s="878">
        <v>17</v>
      </c>
      <c r="B77" s="3401"/>
      <c r="C77" s="814" t="s">
        <v>648</v>
      </c>
      <c r="D77" s="814" t="s">
        <v>649</v>
      </c>
      <c r="E77" s="891">
        <v>0.5</v>
      </c>
      <c r="F77" s="878">
        <v>80</v>
      </c>
    </row>
    <row r="78" spans="1:6" s="874" customFormat="1" ht="24">
      <c r="A78" s="878">
        <v>18</v>
      </c>
      <c r="B78" s="3401"/>
      <c r="C78" s="814" t="s">
        <v>650</v>
      </c>
      <c r="D78" s="814" t="s">
        <v>651</v>
      </c>
      <c r="E78" s="891">
        <v>0.2</v>
      </c>
      <c r="F78" s="878">
        <v>30</v>
      </c>
    </row>
    <row r="79" spans="1:6" s="874" customFormat="1" ht="24">
      <c r="A79" s="878">
        <v>19</v>
      </c>
      <c r="B79" s="3401"/>
      <c r="C79" s="814" t="s">
        <v>652</v>
      </c>
      <c r="D79" s="814" t="s">
        <v>653</v>
      </c>
      <c r="E79" s="891">
        <v>0.5</v>
      </c>
      <c r="F79" s="878">
        <v>80</v>
      </c>
    </row>
    <row r="80" spans="1:6" s="874" customFormat="1" ht="36">
      <c r="A80" s="878">
        <v>20</v>
      </c>
      <c r="B80" s="3401"/>
      <c r="C80" s="814" t="s">
        <v>654</v>
      </c>
      <c r="D80" s="814" t="s">
        <v>655</v>
      </c>
      <c r="E80" s="891">
        <v>0.2</v>
      </c>
      <c r="F80" s="878">
        <v>30</v>
      </c>
    </row>
    <row r="81" spans="1:6" s="874" customFormat="1" ht="36">
      <c r="A81" s="878">
        <v>21</v>
      </c>
      <c r="B81" s="3401"/>
      <c r="C81" s="814" t="s">
        <v>656</v>
      </c>
      <c r="D81" s="814" t="s">
        <v>657</v>
      </c>
      <c r="E81" s="891">
        <v>0.2</v>
      </c>
      <c r="F81" s="878">
        <v>30</v>
      </c>
    </row>
    <row r="82" spans="1:6" s="874" customFormat="1" ht="48">
      <c r="A82" s="878">
        <v>22</v>
      </c>
      <c r="B82" s="3401"/>
      <c r="C82" s="814" t="s">
        <v>658</v>
      </c>
      <c r="D82" s="814" t="s">
        <v>659</v>
      </c>
      <c r="E82" s="891">
        <v>0.2</v>
      </c>
      <c r="F82" s="878">
        <v>30</v>
      </c>
    </row>
    <row r="83" spans="1:6" s="874" customFormat="1" ht="48">
      <c r="A83" s="878">
        <v>23</v>
      </c>
      <c r="B83" s="3401"/>
      <c r="C83" s="814" t="s">
        <v>660</v>
      </c>
      <c r="D83" s="814" t="s">
        <v>661</v>
      </c>
      <c r="E83" s="891">
        <v>0.2</v>
      </c>
      <c r="F83" s="878">
        <v>30</v>
      </c>
    </row>
    <row r="84" spans="1:6" s="874" customFormat="1" ht="36">
      <c r="A84" s="878">
        <v>24</v>
      </c>
      <c r="B84" s="3401"/>
      <c r="C84" s="814" t="s">
        <v>662</v>
      </c>
      <c r="D84" s="814" t="s">
        <v>663</v>
      </c>
      <c r="E84" s="891">
        <v>0.2</v>
      </c>
      <c r="F84" s="878">
        <v>30</v>
      </c>
    </row>
    <row r="85" spans="1:6" s="874" customFormat="1" ht="36">
      <c r="A85" s="878">
        <v>25</v>
      </c>
      <c r="B85" s="3401"/>
      <c r="C85" s="814" t="s">
        <v>664</v>
      </c>
      <c r="D85" s="814" t="s">
        <v>665</v>
      </c>
      <c r="E85" s="891">
        <v>0.5</v>
      </c>
      <c r="F85" s="878">
        <v>80</v>
      </c>
    </row>
    <row r="86" spans="1:6" s="874" customFormat="1" ht="36">
      <c r="A86" s="878">
        <v>26</v>
      </c>
      <c r="B86" s="3401"/>
      <c r="C86" s="814" t="s">
        <v>666</v>
      </c>
      <c r="D86" s="814" t="s">
        <v>667</v>
      </c>
      <c r="E86" s="891">
        <v>0.2</v>
      </c>
      <c r="F86" s="878">
        <v>30</v>
      </c>
    </row>
    <row r="87" spans="1:6" s="874" customFormat="1" ht="36">
      <c r="A87" s="878">
        <v>27</v>
      </c>
      <c r="B87" s="3401"/>
      <c r="C87" s="814" t="s">
        <v>668</v>
      </c>
      <c r="D87" s="814" t="s">
        <v>669</v>
      </c>
      <c r="E87" s="891">
        <v>0.2</v>
      </c>
      <c r="F87" s="878">
        <v>30</v>
      </c>
    </row>
    <row r="88" spans="1:6" s="874" customFormat="1" ht="36">
      <c r="A88" s="878">
        <v>28</v>
      </c>
      <c r="B88" s="3401"/>
      <c r="C88" s="814" t="s">
        <v>670</v>
      </c>
      <c r="D88" s="814" t="s">
        <v>671</v>
      </c>
      <c r="E88" s="891">
        <v>0.2</v>
      </c>
      <c r="F88" s="878">
        <v>30</v>
      </c>
    </row>
    <row r="89" spans="1:6" s="874" customFormat="1" ht="24">
      <c r="A89" s="878">
        <v>29</v>
      </c>
      <c r="B89" s="3401"/>
      <c r="C89" s="814" t="s">
        <v>672</v>
      </c>
      <c r="D89" s="814" t="s">
        <v>673</v>
      </c>
      <c r="E89" s="891">
        <v>0.2</v>
      </c>
      <c r="F89" s="878">
        <v>30</v>
      </c>
    </row>
    <row r="90" spans="1:6" s="874" customFormat="1" ht="24">
      <c r="A90" s="878">
        <v>30</v>
      </c>
      <c r="B90" s="3401"/>
      <c r="C90" s="814" t="s">
        <v>674</v>
      </c>
      <c r="D90" s="814" t="s">
        <v>675</v>
      </c>
      <c r="E90" s="891">
        <v>0.2</v>
      </c>
      <c r="F90" s="878">
        <v>30</v>
      </c>
    </row>
    <row r="91" spans="1:6" s="874" customFormat="1" ht="36">
      <c r="A91" s="878">
        <v>31</v>
      </c>
      <c r="B91" s="3401"/>
      <c r="C91" s="814" t="s">
        <v>676</v>
      </c>
      <c r="D91" s="814" t="s">
        <v>677</v>
      </c>
      <c r="E91" s="891">
        <v>0.2</v>
      </c>
      <c r="F91" s="878">
        <v>30</v>
      </c>
    </row>
    <row r="92" spans="1:6" s="874" customFormat="1" ht="24">
      <c r="A92" s="878">
        <v>32</v>
      </c>
      <c r="B92" s="3401" t="s">
        <v>678</v>
      </c>
      <c r="C92" s="878" t="s">
        <v>679</v>
      </c>
      <c r="D92" s="814" t="s">
        <v>680</v>
      </c>
      <c r="E92" s="891">
        <v>0.2</v>
      </c>
      <c r="F92" s="878">
        <v>30</v>
      </c>
    </row>
    <row r="93" spans="1:6" s="874" customFormat="1" ht="36">
      <c r="A93" s="878">
        <v>33</v>
      </c>
      <c r="B93" s="3401"/>
      <c r="C93" s="878" t="s">
        <v>681</v>
      </c>
      <c r="D93" s="814" t="s">
        <v>682</v>
      </c>
      <c r="E93" s="891">
        <v>0.2</v>
      </c>
      <c r="F93" s="878">
        <v>30</v>
      </c>
    </row>
    <row r="94" spans="1:6" s="874" customFormat="1" ht="48">
      <c r="A94" s="878">
        <v>34</v>
      </c>
      <c r="B94" s="3401"/>
      <c r="C94" s="878" t="s">
        <v>683</v>
      </c>
      <c r="D94" s="814" t="s">
        <v>684</v>
      </c>
      <c r="E94" s="891">
        <v>0.2</v>
      </c>
      <c r="F94" s="878">
        <v>30</v>
      </c>
    </row>
    <row r="95" spans="1:6" s="874" customFormat="1" ht="36">
      <c r="A95" s="878">
        <v>35</v>
      </c>
      <c r="B95" s="3401"/>
      <c r="C95" s="878" t="s">
        <v>685</v>
      </c>
      <c r="D95" s="814" t="s">
        <v>686</v>
      </c>
      <c r="E95" s="891">
        <v>0.2</v>
      </c>
      <c r="F95" s="878">
        <v>30</v>
      </c>
    </row>
    <row r="96" spans="1:6" s="874" customFormat="1" ht="48">
      <c r="A96" s="878">
        <v>36</v>
      </c>
      <c r="B96" s="3401"/>
      <c r="C96" s="814" t="s">
        <v>687</v>
      </c>
      <c r="D96" s="814" t="s">
        <v>688</v>
      </c>
      <c r="E96" s="891">
        <v>0.2</v>
      </c>
      <c r="F96" s="878">
        <v>30</v>
      </c>
    </row>
    <row r="97" spans="1:6" s="874" customFormat="1" ht="36">
      <c r="A97" s="878">
        <v>37</v>
      </c>
      <c r="B97" s="3401"/>
      <c r="C97" s="878" t="s">
        <v>689</v>
      </c>
      <c r="D97" s="814" t="s">
        <v>690</v>
      </c>
      <c r="E97" s="891">
        <v>0.2</v>
      </c>
      <c r="F97" s="878">
        <v>30</v>
      </c>
    </row>
    <row r="98" spans="1:6" s="874" customFormat="1" ht="36">
      <c r="A98" s="878">
        <v>38</v>
      </c>
      <c r="B98" s="3401"/>
      <c r="C98" s="878" t="s">
        <v>691</v>
      </c>
      <c r="D98" s="814" t="s">
        <v>692</v>
      </c>
      <c r="E98" s="891">
        <v>0.2</v>
      </c>
      <c r="F98" s="878">
        <v>30</v>
      </c>
    </row>
    <row r="99" spans="1:6" s="874" customFormat="1" ht="36">
      <c r="A99" s="878">
        <v>39</v>
      </c>
      <c r="B99" s="3401" t="s">
        <v>693</v>
      </c>
      <c r="C99" s="878" t="s">
        <v>694</v>
      </c>
      <c r="D99" s="814" t="s">
        <v>695</v>
      </c>
      <c r="E99" s="891">
        <v>0.3</v>
      </c>
      <c r="F99" s="878">
        <v>50</v>
      </c>
    </row>
    <row r="100" spans="1:6" s="874" customFormat="1" ht="24">
      <c r="A100" s="878">
        <v>40</v>
      </c>
      <c r="B100" s="3401"/>
      <c r="C100" s="878" t="s">
        <v>696</v>
      </c>
      <c r="D100" s="814" t="s">
        <v>697</v>
      </c>
      <c r="E100" s="891">
        <v>0.2</v>
      </c>
      <c r="F100" s="878">
        <v>30</v>
      </c>
    </row>
    <row r="101" spans="1:6" s="874" customFormat="1" ht="36">
      <c r="A101" s="878">
        <v>41</v>
      </c>
      <c r="B101" s="3401"/>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401" t="s">
        <v>708</v>
      </c>
      <c r="C105" s="878" t="s">
        <v>709</v>
      </c>
      <c r="D105" s="814" t="s">
        <v>710</v>
      </c>
      <c r="E105" s="891">
        <v>0.2</v>
      </c>
      <c r="F105" s="878">
        <v>30</v>
      </c>
    </row>
    <row r="106" spans="1:6" s="874" customFormat="1" ht="36">
      <c r="A106" s="878">
        <v>46</v>
      </c>
      <c r="B106" s="3401"/>
      <c r="C106" s="878" t="s">
        <v>711</v>
      </c>
      <c r="D106" s="814" t="s">
        <v>712</v>
      </c>
      <c r="E106" s="891">
        <v>0.2</v>
      </c>
      <c r="F106" s="878">
        <v>30</v>
      </c>
    </row>
    <row r="107" spans="1:6" s="874" customFormat="1" ht="36">
      <c r="A107" s="878">
        <v>47</v>
      </c>
      <c r="B107" s="3401" t="s">
        <v>713</v>
      </c>
      <c r="C107" s="878" t="s">
        <v>714</v>
      </c>
      <c r="D107" s="814" t="s">
        <v>715</v>
      </c>
      <c r="E107" s="891">
        <v>0.3</v>
      </c>
      <c r="F107" s="878">
        <v>50</v>
      </c>
    </row>
    <row r="108" spans="1:6" s="874" customFormat="1" ht="36">
      <c r="A108" s="878">
        <v>48</v>
      </c>
      <c r="B108" s="3401"/>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401" t="s">
        <v>724</v>
      </c>
      <c r="C111" s="878" t="s">
        <v>725</v>
      </c>
      <c r="D111" s="814" t="s">
        <v>726</v>
      </c>
      <c r="E111" s="891">
        <v>0.2</v>
      </c>
      <c r="F111" s="878">
        <v>30</v>
      </c>
    </row>
    <row r="112" spans="1:6" s="874" customFormat="1" ht="24">
      <c r="A112" s="878">
        <v>52</v>
      </c>
      <c r="B112" s="3401"/>
      <c r="C112" s="878" t="s">
        <v>727</v>
      </c>
      <c r="D112" s="814" t="s">
        <v>728</v>
      </c>
      <c r="E112" s="891">
        <v>0.2</v>
      </c>
      <c r="F112" s="878">
        <v>30</v>
      </c>
    </row>
    <row r="113" spans="1:6" s="874" customFormat="1" ht="24">
      <c r="A113" s="878">
        <v>53</v>
      </c>
      <c r="B113" s="3401"/>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401" t="s">
        <v>737</v>
      </c>
      <c r="C116" s="878" t="s">
        <v>738</v>
      </c>
      <c r="D116" s="814" t="s">
        <v>739</v>
      </c>
      <c r="E116" s="891">
        <v>0.2</v>
      </c>
      <c r="F116" s="878">
        <v>30</v>
      </c>
    </row>
    <row r="117" spans="1:6" ht="36">
      <c r="A117" s="878">
        <v>57</v>
      </c>
      <c r="B117" s="3401"/>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4" t="s">
        <v>2995</v>
      </c>
    </row>
    <row r="2" spans="1:5" ht="15.75">
      <c r="A2" s="2893" t="s">
        <v>2987</v>
      </c>
      <c r="B2" s="2894" t="e">
        <f ca="1">SUMIF(B6:B13,"&lt;&gt;#ref!",B6:B13)</f>
        <v>#DIV/0!</v>
      </c>
      <c r="C2" s="2893" t="s">
        <v>2988</v>
      </c>
      <c r="D2" s="2893" t="s">
        <v>2989</v>
      </c>
      <c r="E2" s="2894">
        <f ca="1">SUMIF(E6:E13,"&lt;&gt;#ref!",E6:E13)</f>
        <v>0</v>
      </c>
    </row>
    <row r="3" spans="1:5" ht="15.75">
      <c r="A3" s="2893" t="s">
        <v>2990</v>
      </c>
      <c r="B3" s="2894" t="e">
        <f ca="1">ROUND(B2*10000/E2,0)</f>
        <v>#DIV/0!</v>
      </c>
      <c r="C3" s="2893" t="s">
        <v>2996</v>
      </c>
      <c r="D3" s="2895"/>
      <c r="E3" s="2895"/>
    </row>
    <row r="4" spans="1:5" ht="15.75">
      <c r="A4" s="2896"/>
      <c r="B4" s="2895"/>
      <c r="C4" s="2895"/>
      <c r="D4" s="2895"/>
      <c r="E4" s="2895"/>
    </row>
    <row r="5" spans="1:5" ht="28.5">
      <c r="A5" s="2897" t="s">
        <v>2991</v>
      </c>
      <c r="B5" s="2893" t="s">
        <v>2992</v>
      </c>
      <c r="C5" s="2894"/>
      <c r="D5" s="2895"/>
      <c r="E5" s="2893" t="s">
        <v>2993</v>
      </c>
    </row>
    <row r="6" spans="1:5" ht="15.75">
      <c r="A6" s="2898" t="s">
        <v>2994</v>
      </c>
      <c r="B6" s="2894" t="e">
        <f ca="1">SUMIF(INDIRECT("'"&amp;A6&amp;"'"&amp;"!A:A"),"总价",INDIRECT("'"&amp;A6&amp;"'"&amp;"!B:B"))</f>
        <v>#DIV/0!</v>
      </c>
      <c r="C6" s="2893" t="s">
        <v>2988</v>
      </c>
      <c r="D6" s="2895"/>
      <c r="E6" s="2568">
        <f ca="1">SUMIF(INDIRECT("'"&amp;A6&amp;"'"&amp;"!C:C"),"建筑面积",INDIRECT("'"&amp;A6&amp;"'"&amp;"!D:D"))</f>
        <v>0</v>
      </c>
    </row>
    <row r="7" spans="1:5" ht="15.75">
      <c r="A7" s="2898"/>
      <c r="B7" s="2894" t="e">
        <f ca="1">SUMIF(INDIRECT("'"&amp;A7&amp;"'"&amp;"!A:A"),"总价",INDIRECT("'"&amp;A7&amp;"'"&amp;"!B:B"))</f>
        <v>#REF!</v>
      </c>
      <c r="C7" s="2893" t="s">
        <v>2988</v>
      </c>
      <c r="D7" s="2895"/>
      <c r="E7" s="2568" t="e">
        <f t="shared" ref="E7:E13" ca="1" si="0">SUMIF(INDIRECT("'"&amp;A7&amp;"'"&amp;"!C:C"),"建筑面积",INDIRECT("'"&amp;A7&amp;"'"&amp;"!D:D"))</f>
        <v>#REF!</v>
      </c>
    </row>
    <row r="8" spans="1:5" ht="15.75">
      <c r="A8" s="2898"/>
      <c r="B8" s="2894" t="e">
        <f t="shared" ref="B8:B13" ca="1" si="1">SUMIF(INDIRECT("'"&amp;A8&amp;"'"&amp;"!A:A"),"总价",INDIRECT("'"&amp;A8&amp;"'"&amp;"!B:B"))</f>
        <v>#REF!</v>
      </c>
      <c r="C8" s="2893" t="s">
        <v>2988</v>
      </c>
      <c r="D8" s="2895"/>
      <c r="E8" s="2568" t="e">
        <f t="shared" ca="1" si="0"/>
        <v>#REF!</v>
      </c>
    </row>
    <row r="9" spans="1:5" ht="15.75">
      <c r="A9" s="2898"/>
      <c r="B9" s="2894" t="e">
        <f t="shared" ca="1" si="1"/>
        <v>#REF!</v>
      </c>
      <c r="C9" s="2893" t="s">
        <v>2988</v>
      </c>
      <c r="D9" s="2895"/>
      <c r="E9" s="2568" t="e">
        <f t="shared" ca="1" si="0"/>
        <v>#REF!</v>
      </c>
    </row>
    <row r="10" spans="1:5" ht="15.75">
      <c r="A10" s="2898"/>
      <c r="B10" s="2894" t="e">
        <f t="shared" ca="1" si="1"/>
        <v>#REF!</v>
      </c>
      <c r="C10" s="2893" t="s">
        <v>2988</v>
      </c>
      <c r="D10" s="2895"/>
      <c r="E10" s="2568" t="e">
        <f t="shared" ca="1" si="0"/>
        <v>#REF!</v>
      </c>
    </row>
    <row r="11" spans="1:5" ht="15.75">
      <c r="A11" s="2898"/>
      <c r="B11" s="2894" t="e">
        <f t="shared" ca="1" si="1"/>
        <v>#REF!</v>
      </c>
      <c r="C11" s="2893" t="s">
        <v>2988</v>
      </c>
      <c r="D11" s="2895"/>
      <c r="E11" s="2568" t="e">
        <f t="shared" ca="1" si="0"/>
        <v>#REF!</v>
      </c>
    </row>
    <row r="12" spans="1:5" ht="15.75">
      <c r="A12" s="2898"/>
      <c r="B12" s="2894" t="e">
        <f t="shared" ca="1" si="1"/>
        <v>#REF!</v>
      </c>
      <c r="C12" s="2893" t="s">
        <v>2988</v>
      </c>
      <c r="D12" s="2895"/>
      <c r="E12" s="2568" t="e">
        <f t="shared" ca="1" si="0"/>
        <v>#REF!</v>
      </c>
    </row>
    <row r="13" spans="1:5" ht="15.75">
      <c r="A13" s="2898"/>
      <c r="B13" s="2894" t="e">
        <f t="shared" ca="1" si="1"/>
        <v>#REF!</v>
      </c>
      <c r="C13" s="2893" t="s">
        <v>2988</v>
      </c>
      <c r="D13" s="289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sqref="A1:XFD1048576"/>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407" t="s">
        <v>1146</v>
      </c>
      <c r="C1" s="3407"/>
      <c r="D1" s="3407"/>
      <c r="E1" s="3407"/>
      <c r="F1" s="3407"/>
      <c r="G1" s="3403" t="s">
        <v>1147</v>
      </c>
      <c r="H1" s="3403"/>
      <c r="I1" s="3403"/>
      <c r="J1" s="3403"/>
      <c r="K1" s="3403"/>
      <c r="L1" s="3403"/>
      <c r="N1" s="3403" t="s">
        <v>1148</v>
      </c>
      <c r="O1" s="3403"/>
      <c r="P1" s="3403"/>
      <c r="Q1" s="3403"/>
      <c r="R1" s="1442"/>
      <c r="S1" s="3403" t="s">
        <v>1149</v>
      </c>
      <c r="T1" s="3403"/>
      <c r="U1" s="3403"/>
      <c r="V1" s="3403"/>
      <c r="X1" s="3402" t="s">
        <v>1150</v>
      </c>
      <c r="Y1" s="3403"/>
      <c r="Z1" s="3403"/>
      <c r="AA1" s="3403"/>
      <c r="AB1" s="3403"/>
      <c r="AD1" s="3402" t="s">
        <v>1151</v>
      </c>
      <c r="AE1" s="3403"/>
      <c r="AF1" s="3403"/>
      <c r="AG1" s="3403"/>
      <c r="AH1" s="3403"/>
    </row>
    <row r="2" spans="1:34" s="1443" customFormat="1" ht="14.25" thickBot="1">
      <c r="B2" s="1444" t="s">
        <v>1152</v>
      </c>
      <c r="C2" s="1444" t="s">
        <v>1153</v>
      </c>
      <c r="D2" s="1445" t="s">
        <v>1154</v>
      </c>
      <c r="E2" s="1445" t="s">
        <v>1155</v>
      </c>
      <c r="F2" s="1444" t="s">
        <v>1156</v>
      </c>
      <c r="G2" s="1446"/>
      <c r="H2" s="1447"/>
      <c r="I2" s="1444" t="s">
        <v>1152</v>
      </c>
      <c r="J2" s="1445" t="s">
        <v>1380</v>
      </c>
      <c r="K2" s="1445" t="s">
        <v>751</v>
      </c>
      <c r="L2" s="1444" t="s">
        <v>1156</v>
      </c>
      <c r="N2" s="1444" t="s">
        <v>1152</v>
      </c>
      <c r="O2" s="1445" t="s">
        <v>1380</v>
      </c>
      <c r="P2" s="1445" t="s">
        <v>751</v>
      </c>
      <c r="Q2" s="1444" t="s">
        <v>1156</v>
      </c>
      <c r="R2" s="1448"/>
      <c r="S2" s="1444" t="s">
        <v>1152</v>
      </c>
      <c r="T2" s="1445" t="s">
        <v>1380</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09" customFormat="1" ht="14.25">
      <c r="A3" s="2918" t="s">
        <v>3030</v>
      </c>
      <c r="B3" s="2910"/>
      <c r="C3" s="2910"/>
      <c r="D3" s="2911"/>
      <c r="E3" s="2911"/>
      <c r="F3" s="2910"/>
      <c r="G3" s="2912"/>
      <c r="H3" s="2913"/>
      <c r="I3" s="2914">
        <f>ROUND(AVERAGE($I4:$I28),2)</f>
        <v>1.98</v>
      </c>
      <c r="J3" s="2914">
        <f>ROUND(AVERAGE($J4:$J28),2)</f>
        <v>1.41</v>
      </c>
      <c r="K3" s="2914">
        <f>ROUND(AVERAGE($K4:$K28),2)</f>
        <v>2.16</v>
      </c>
      <c r="L3" s="2914">
        <f>ROUND(AVERAGE($L4:$L28),2)</f>
        <v>1.38</v>
      </c>
      <c r="N3" s="2912"/>
      <c r="O3" s="2915"/>
      <c r="P3" s="2915"/>
      <c r="Q3" s="2915"/>
      <c r="R3" s="2915"/>
      <c r="S3" s="2912"/>
      <c r="T3" s="2915"/>
      <c r="U3" s="2915"/>
      <c r="V3" s="2915"/>
      <c r="W3" s="2907"/>
      <c r="X3" s="2916">
        <f>ROUND(SUMPRODUCT(PRODUCT(1+N3:N$27)),4)</f>
        <v>1.5516000000000001</v>
      </c>
      <c r="Y3" s="2916">
        <f>ROUND(SUMPRODUCT(PRODUCT(1+O3:O$27)),4)</f>
        <v>1.3649</v>
      </c>
      <c r="Z3" s="2916">
        <f t="shared" ref="Z3:Z25" si="0">Y3</f>
        <v>1.3649</v>
      </c>
      <c r="AA3" s="2916">
        <f>ROUND(SUMPRODUCT(PRODUCT(1+P3:P$27)),4)</f>
        <v>1.6133999999999999</v>
      </c>
      <c r="AB3" s="2916">
        <f>ROUND(SUMPRODUCT(PRODUCT(1+Q3:Q$27)),4)</f>
        <v>1.3713</v>
      </c>
      <c r="AD3" s="2917">
        <f>ROUND(AVERAGE(I3:I$28)/100,4)</f>
        <v>1.9800000000000002E-2</v>
      </c>
      <c r="AE3" s="2917">
        <f>ROUND(AVERAGE(J3:J$28)/100,4)</f>
        <v>1.41E-2</v>
      </c>
      <c r="AF3" s="2917">
        <f t="shared" ref="AF3:AF26" si="1">AE3</f>
        <v>1.41E-2</v>
      </c>
      <c r="AG3" s="2917">
        <f>ROUND(AVERAGE(K3:K$28)/100,4)</f>
        <v>2.1600000000000001E-2</v>
      </c>
      <c r="AH3" s="2917">
        <f>ROUND(AVERAGE(L3:L$28)/100,4)</f>
        <v>1.38E-2</v>
      </c>
    </row>
    <row r="4" spans="1:34" s="1449" customFormat="1" ht="14.25">
      <c r="B4" s="1450"/>
      <c r="C4" s="1450"/>
      <c r="D4" s="1451"/>
      <c r="E4" s="1451"/>
      <c r="F4" s="1450"/>
      <c r="G4" s="1452"/>
      <c r="H4" s="1453"/>
      <c r="I4" s="2904"/>
      <c r="J4" s="2904"/>
      <c r="K4" s="2904"/>
      <c r="L4" s="2904"/>
      <c r="N4" s="1452"/>
      <c r="O4" s="1454"/>
      <c r="P4" s="1454"/>
      <c r="Q4" s="1454"/>
      <c r="R4" s="1454"/>
      <c r="S4" s="1452"/>
      <c r="T4" s="1454"/>
      <c r="U4" s="1454"/>
      <c r="V4" s="1454"/>
      <c r="X4" s="1455"/>
      <c r="Y4" s="1455"/>
      <c r="Z4" s="1455"/>
      <c r="AA4" s="1455"/>
      <c r="AB4" s="1455"/>
      <c r="AD4" s="1456"/>
      <c r="AE4" s="1456"/>
      <c r="AF4" s="1456"/>
      <c r="AG4" s="1456"/>
      <c r="AH4" s="1456"/>
    </row>
    <row r="5" spans="1:34" s="1726" customFormat="1">
      <c r="A5" s="1724" t="s">
        <v>3048</v>
      </c>
      <c r="B5" s="1786">
        <f t="shared" ref="B5" si="2">B6*(1+N5)</f>
        <v>477.19997390765138</v>
      </c>
      <c r="C5" s="1786">
        <f t="shared" ref="C5" si="3">C6*(1+O5)</f>
        <v>351.84874729536665</v>
      </c>
      <c r="D5" s="1786">
        <f t="shared" ref="D5" si="4">C5</f>
        <v>351.84874729536665</v>
      </c>
      <c r="E5" s="1786">
        <f t="shared" ref="E5" si="5">E6*(1+P5)</f>
        <v>682.29768951465201</v>
      </c>
      <c r="F5" s="1786">
        <f t="shared" ref="F5" si="6">F6*(1+Q5)</f>
        <v>315.26985675409043</v>
      </c>
      <c r="G5" s="2942">
        <v>2019</v>
      </c>
      <c r="H5" s="1725">
        <v>4</v>
      </c>
      <c r="I5" s="2905">
        <v>0</v>
      </c>
      <c r="J5" s="2905">
        <v>0</v>
      </c>
      <c r="K5" s="2905">
        <v>0</v>
      </c>
      <c r="L5" s="2905">
        <v>0</v>
      </c>
      <c r="N5" s="1463">
        <f t="shared" ref="N5:N10" si="7">I5/100</f>
        <v>0</v>
      </c>
      <c r="O5" s="1463">
        <f t="shared" ref="O5" si="8">J5/100</f>
        <v>0</v>
      </c>
      <c r="P5" s="1463">
        <f t="shared" ref="P5" si="9">K5/100</f>
        <v>0</v>
      </c>
      <c r="Q5" s="1463">
        <f t="shared" ref="Q5" si="10">L5/100</f>
        <v>0</v>
      </c>
      <c r="R5" s="1727"/>
      <c r="S5" s="1728"/>
      <c r="T5" s="1727"/>
      <c r="U5" s="1727"/>
      <c r="V5" s="1727"/>
      <c r="W5" s="2908" t="s">
        <v>3031</v>
      </c>
      <c r="X5" s="1721">
        <f>ROUND(IF(项目基本情况!B7="出让",SUMPRODUCT(PRODUCT(1+N5:N$28)),SUMPRODUCT(PRODUCT(1+N5:N$27))),4)</f>
        <v>1.5516000000000001</v>
      </c>
      <c r="Y5" s="1721">
        <f>ROUND(IF(项目基本情况!B7="出让",SUMPRODUCT(PRODUCT(1+O5:O$28)),SUMPRODUCT(PRODUCT(1+O5:O$27))),4)</f>
        <v>1.3649</v>
      </c>
      <c r="Z5" s="1721">
        <f t="shared" ref="Z5" si="11">Y5</f>
        <v>1.3649</v>
      </c>
      <c r="AA5" s="1721">
        <f>ROUND(IF(项目基本情况!B7="出让",SUMPRODUCT(PRODUCT(1+P5:P$28)),SUMPRODUCT(PRODUCT(1+P5:P$27))),4)</f>
        <v>1.6133999999999999</v>
      </c>
      <c r="AB5" s="1721">
        <f>ROUND(IF(项目基本情况!B7="出让",SUMPRODUCT(PRODUCT(1+Q5:Q$28)),SUMPRODUCT(PRODUCT(1+Q5:Q$27))),4)</f>
        <v>1.3713</v>
      </c>
      <c r="AD5" s="1464">
        <f>ROUND(AVERAGE(I5:I$28)/100,4)</f>
        <v>1.9800000000000002E-2</v>
      </c>
      <c r="AE5" s="1464">
        <f>ROUND(AVERAGE(J5:J$28)/100,4)</f>
        <v>1.41E-2</v>
      </c>
      <c r="AF5" s="1464">
        <f t="shared" ref="AF5" si="12">AE5</f>
        <v>1.41E-2</v>
      </c>
      <c r="AG5" s="1464">
        <f>ROUND(AVERAGE(K5:K$28)/100,4)</f>
        <v>2.1600000000000001E-2</v>
      </c>
      <c r="AH5" s="1464">
        <f>ROUND(AVERAGE(L5:L$28)/100,4)</f>
        <v>1.38E-2</v>
      </c>
    </row>
    <row r="6" spans="1:34" s="1462" customFormat="1" ht="13.5" thickBot="1">
      <c r="A6" s="1457" t="s">
        <v>3047</v>
      </c>
      <c r="B6" s="1473">
        <f t="shared" ref="B6" si="13">B7*(1+N6)</f>
        <v>477.19997390765138</v>
      </c>
      <c r="C6" s="1473">
        <f t="shared" ref="C6" si="14">C7*(1+O6)</f>
        <v>351.84874729536665</v>
      </c>
      <c r="D6" s="1473">
        <f t="shared" ref="D6" si="15">C6</f>
        <v>351.84874729536665</v>
      </c>
      <c r="E6" s="1473">
        <f t="shared" ref="E6" si="16">E7*(1+P6)</f>
        <v>682.29768951465201</v>
      </c>
      <c r="F6" s="1473">
        <f t="shared" ref="F6" si="17">F7*(1+Q6)</f>
        <v>315.26985675409043</v>
      </c>
      <c r="G6" s="2942">
        <v>2019</v>
      </c>
      <c r="H6" s="1460">
        <v>3</v>
      </c>
      <c r="I6" s="1460">
        <v>0.61</v>
      </c>
      <c r="J6" s="1460">
        <v>0.67</v>
      </c>
      <c r="K6" s="1460">
        <v>0.6</v>
      </c>
      <c r="L6" s="1474">
        <v>1.03</v>
      </c>
      <c r="M6" s="1467"/>
      <c r="N6" s="1468">
        <f t="shared" si="7"/>
        <v>6.0999999999999995E-3</v>
      </c>
      <c r="O6" s="1469">
        <f t="shared" ref="O6" si="18">J6/100</f>
        <v>6.7000000000000002E-3</v>
      </c>
      <c r="P6" s="1469">
        <f t="shared" ref="P6" si="19">K6/100</f>
        <v>6.0000000000000001E-3</v>
      </c>
      <c r="Q6" s="1469">
        <f t="shared" ref="Q6" si="20">L6/100</f>
        <v>1.03E-2</v>
      </c>
      <c r="R6" s="1470"/>
      <c r="S6" s="1468"/>
      <c r="T6" s="1469"/>
      <c r="U6" s="1469"/>
      <c r="V6" s="1469"/>
      <c r="W6" s="1785"/>
      <c r="X6" s="1783">
        <f>ROUND(IF(项目基本情况!B8="出让",SUMPRODUCT(PRODUCT(1+N6:N$28)),SUMPRODUCT(PRODUCT(1+N6:N$27))),4)</f>
        <v>1.5516000000000001</v>
      </c>
      <c r="Y6" s="1783">
        <f>ROUND(IF(项目基本情况!B8="出让",SUMPRODUCT(PRODUCT(1+O6:O$28)),SUMPRODUCT(PRODUCT(1+O6:O$27))),4)</f>
        <v>1.3649</v>
      </c>
      <c r="Z6" s="1783">
        <f t="shared" ref="Z6" si="21">Y6</f>
        <v>1.3649</v>
      </c>
      <c r="AA6" s="1783">
        <f>ROUND(IF(项目基本情况!B8="出让",SUMPRODUCT(PRODUCT(1+P6:P$28)),SUMPRODUCT(PRODUCT(1+P6:P$27))),4)</f>
        <v>1.6133999999999999</v>
      </c>
      <c r="AB6" s="1783">
        <f>ROUND(IF(项目基本情况!B8="出让",SUMPRODUCT(PRODUCT(1+Q6:Q$28)),SUMPRODUCT(PRODUCT(1+Q6:Q$27))),4)</f>
        <v>1.3713</v>
      </c>
      <c r="AC6" s="1785"/>
      <c r="AD6" s="1784">
        <f>ROUND(AVERAGE(I6:I$28)/100,4)</f>
        <v>2.07E-2</v>
      </c>
      <c r="AE6" s="1784">
        <f>ROUND(AVERAGE(J6:J$28)/100,4)</f>
        <v>1.47E-2</v>
      </c>
      <c r="AF6" s="1784">
        <f t="shared" ref="AF6" si="22">AE6</f>
        <v>1.47E-2</v>
      </c>
      <c r="AG6" s="1784">
        <f>ROUND(AVERAGE(K6:K$28)/100,4)</f>
        <v>2.2599999999999999E-2</v>
      </c>
      <c r="AH6" s="1784">
        <f>ROUND(AVERAGE(L6:L$28)/100,4)</f>
        <v>1.44E-2</v>
      </c>
    </row>
    <row r="7" spans="1:34" s="1462" customFormat="1">
      <c r="A7" s="1457" t="s">
        <v>3045</v>
      </c>
      <c r="B7" s="1473">
        <f t="shared" ref="B7" si="23">B8*(1+N7)</f>
        <v>474.30670301923408</v>
      </c>
      <c r="C7" s="1473">
        <f t="shared" ref="C7" si="24">C8*(1+O7)</f>
        <v>349.50705005996491</v>
      </c>
      <c r="D7" s="1473">
        <f t="shared" ref="D7" si="25">C7</f>
        <v>349.50705005996491</v>
      </c>
      <c r="E7" s="1473">
        <f t="shared" ref="E7" si="26">E8*(1+P7)</f>
        <v>678.22831959706957</v>
      </c>
      <c r="F7" s="1473">
        <f t="shared" ref="F7" si="27">F8*(1+Q7)</f>
        <v>312.0556832169558</v>
      </c>
      <c r="G7" s="2938">
        <v>2019</v>
      </c>
      <c r="H7" s="1458">
        <v>2</v>
      </c>
      <c r="I7" s="1458">
        <v>1.53</v>
      </c>
      <c r="J7" s="1458">
        <v>1.01</v>
      </c>
      <c r="K7" s="1458">
        <v>1.62</v>
      </c>
      <c r="L7" s="1459">
        <v>1.25</v>
      </c>
      <c r="M7" s="1467"/>
      <c r="N7" s="1468">
        <f t="shared" si="7"/>
        <v>1.5300000000000001E-2</v>
      </c>
      <c r="O7" s="1469">
        <f t="shared" ref="O7" si="28">J7/100</f>
        <v>1.01E-2</v>
      </c>
      <c r="P7" s="1469">
        <f t="shared" ref="P7" si="29">K7/100</f>
        <v>1.6200000000000003E-2</v>
      </c>
      <c r="Q7" s="1469">
        <f t="shared" ref="Q7" si="30">L7/100</f>
        <v>1.2500000000000001E-2</v>
      </c>
      <c r="R7" s="1470"/>
      <c r="S7" s="1468"/>
      <c r="T7" s="1469"/>
      <c r="U7" s="1469"/>
      <c r="V7" s="1469"/>
      <c r="W7" s="1785"/>
      <c r="X7" s="1783">
        <f>ROUND(IF(项目基本情况!B8="出让",SUMPRODUCT(PRODUCT(1+N7:N$28)),SUMPRODUCT(PRODUCT(1+N7:N$27))),4)</f>
        <v>1.5422</v>
      </c>
      <c r="Y7" s="1783">
        <f>ROUND(IF(项目基本情况!B8="出让",SUMPRODUCT(PRODUCT(1+O7:O$28)),SUMPRODUCT(PRODUCT(1+O7:O$27))),4)</f>
        <v>1.3557999999999999</v>
      </c>
      <c r="Z7" s="1783">
        <f t="shared" ref="Z7" si="31">Y7</f>
        <v>1.3557999999999999</v>
      </c>
      <c r="AA7" s="1783">
        <f>ROUND(IF(项目基本情况!B8="出让",SUMPRODUCT(PRODUCT(1+P7:P$28)),SUMPRODUCT(PRODUCT(1+P7:P$27))),4)</f>
        <v>1.6036999999999999</v>
      </c>
      <c r="AB7" s="1783">
        <f>ROUND(IF(项目基本情况!B8="出让",SUMPRODUCT(PRODUCT(1+Q7:Q$28)),SUMPRODUCT(PRODUCT(1+Q7:Q$27))),4)</f>
        <v>1.3573</v>
      </c>
      <c r="AC7" s="1785"/>
      <c r="AD7" s="1784">
        <f>ROUND(AVERAGE(I7:I$28)/100,4)</f>
        <v>2.1299999999999999E-2</v>
      </c>
      <c r="AE7" s="1784">
        <f>ROUND(AVERAGE(J7:J$28)/100,4)</f>
        <v>1.4999999999999999E-2</v>
      </c>
      <c r="AF7" s="1784">
        <f t="shared" ref="AF7" si="32">AE7</f>
        <v>1.4999999999999999E-2</v>
      </c>
      <c r="AG7" s="1784">
        <f>ROUND(AVERAGE(K7:K$28)/100,4)</f>
        <v>2.3300000000000001E-2</v>
      </c>
      <c r="AH7" s="1784">
        <f>ROUND(AVERAGE(L7:L$28)/100,4)</f>
        <v>1.46E-2</v>
      </c>
    </row>
    <row r="8" spans="1:34" s="1462" customFormat="1" ht="13.5" thickBot="1">
      <c r="A8" s="1457" t="s">
        <v>3043</v>
      </c>
      <c r="B8" s="1473">
        <f t="shared" ref="B8" si="33">B9*(1+N8)</f>
        <v>467.15916775261894</v>
      </c>
      <c r="C8" s="1473">
        <f t="shared" ref="C8" si="34">C9*(1+O8)</f>
        <v>346.01232557169084</v>
      </c>
      <c r="D8" s="1473">
        <f t="shared" ref="D8" si="35">C8</f>
        <v>346.01232557169084</v>
      </c>
      <c r="E8" s="1473">
        <f t="shared" ref="E8" si="36">E9*(1+P8)</f>
        <v>667.41617752122568</v>
      </c>
      <c r="F8" s="1473">
        <f t="shared" ref="F8" si="37">F9*(1+Q8)</f>
        <v>308.20314391798104</v>
      </c>
      <c r="G8" s="2922">
        <v>2019</v>
      </c>
      <c r="H8" s="1460">
        <v>1</v>
      </c>
      <c r="I8" s="1460">
        <v>0.6</v>
      </c>
      <c r="J8" s="1460">
        <v>0.37</v>
      </c>
      <c r="K8" s="1460">
        <v>0.63</v>
      </c>
      <c r="L8" s="1474">
        <v>1.1299999999999999</v>
      </c>
      <c r="M8" s="1467"/>
      <c r="N8" s="1468">
        <f t="shared" si="7"/>
        <v>6.0000000000000001E-3</v>
      </c>
      <c r="O8" s="1469">
        <f t="shared" ref="O8" si="38">J8/100</f>
        <v>3.7000000000000002E-3</v>
      </c>
      <c r="P8" s="1469">
        <f t="shared" ref="P8" si="39">K8/100</f>
        <v>6.3E-3</v>
      </c>
      <c r="Q8" s="1469">
        <f t="shared" ref="Q8" si="40">L8/100</f>
        <v>1.1299999999999999E-2</v>
      </c>
      <c r="R8" s="1470"/>
      <c r="S8" s="1468">
        <f>B8/B9-1</f>
        <v>6.0000000000000053E-3</v>
      </c>
      <c r="T8" s="1469">
        <f t="shared" ref="T8" si="41">C8/C9-1</f>
        <v>3.7000000000000366E-3</v>
      </c>
      <c r="U8" s="1469">
        <f t="shared" ref="U8" si="42">D8/D9-1</f>
        <v>3.7000000000000366E-3</v>
      </c>
      <c r="V8" s="1469">
        <f t="shared" ref="V8" si="43">E8/E9-1</f>
        <v>6.2999999999999723E-3</v>
      </c>
      <c r="W8" s="1785"/>
      <c r="X8" s="1783">
        <f>ROUND(IF(项目基本情况!B8="出让",SUMPRODUCT(PRODUCT(1+N8:N$28)),SUMPRODUCT(PRODUCT(1+N8:N$27))),4)</f>
        <v>1.5189999999999999</v>
      </c>
      <c r="Y8" s="1783">
        <f>ROUND(IF(项目基本情况!B8="出让",SUMPRODUCT(PRODUCT(1+O8:O$28)),SUMPRODUCT(PRODUCT(1+O8:O$27))),4)</f>
        <v>1.3423</v>
      </c>
      <c r="Z8" s="1783">
        <f t="shared" ref="Z8" si="44">Y8</f>
        <v>1.3423</v>
      </c>
      <c r="AA8" s="1783">
        <f>ROUND(IF(项目基本情况!B8="出让",SUMPRODUCT(PRODUCT(1+P8:P$28)),SUMPRODUCT(PRODUCT(1+P8:P$27))),4)</f>
        <v>1.5782</v>
      </c>
      <c r="AB8" s="1783">
        <f>ROUND(IF(项目基本情况!B8="出让",SUMPRODUCT(PRODUCT(1+Q8:Q$28)),SUMPRODUCT(PRODUCT(1+Q8:Q$27))),4)</f>
        <v>1.3405</v>
      </c>
      <c r="AC8" s="1785"/>
      <c r="AD8" s="1784">
        <f>ROUND(AVERAGE(I8:I$28)/100,4)</f>
        <v>2.1600000000000001E-2</v>
      </c>
      <c r="AE8" s="1784">
        <f>ROUND(AVERAGE(J8:J$28)/100,4)</f>
        <v>1.5299999999999999E-2</v>
      </c>
      <c r="AF8" s="1784">
        <f t="shared" ref="AF8" si="45">AE8</f>
        <v>1.5299999999999999E-2</v>
      </c>
      <c r="AG8" s="1784">
        <f>ROUND(AVERAGE(K8:K$28)/100,4)</f>
        <v>2.3699999999999999E-2</v>
      </c>
      <c r="AH8" s="1784">
        <f>ROUND(AVERAGE(L8:L$28)/100,4)</f>
        <v>1.47E-2</v>
      </c>
    </row>
    <row r="9" spans="1:34" s="1462" customFormat="1">
      <c r="A9" s="1457" t="s">
        <v>3046</v>
      </c>
      <c r="B9" s="2939">
        <f t="shared" ref="B9" si="46">B10*(1+N9)</f>
        <v>464.37293017158942</v>
      </c>
      <c r="C9" s="2939">
        <f t="shared" ref="C9" si="47">C10*(1+O9)</f>
        <v>344.73679941385956</v>
      </c>
      <c r="D9" s="2939">
        <f t="shared" ref="D9" si="48">C9</f>
        <v>344.73679941385956</v>
      </c>
      <c r="E9" s="2939">
        <f t="shared" ref="E9" si="49">E10*(1+P9)</f>
        <v>663.2377795103107</v>
      </c>
      <c r="F9" s="2940">
        <f t="shared" ref="F9" si="50">F10*(1+Q9)</f>
        <v>304.75936311478398</v>
      </c>
      <c r="G9" s="3405">
        <v>2018</v>
      </c>
      <c r="H9" s="1458">
        <v>4</v>
      </c>
      <c r="I9" s="1458">
        <v>0.96</v>
      </c>
      <c r="J9" s="1458">
        <v>1.03</v>
      </c>
      <c r="K9" s="1458">
        <v>0.92</v>
      </c>
      <c r="L9" s="1459">
        <v>1.29</v>
      </c>
      <c r="M9" s="1467"/>
      <c r="N9" s="1468">
        <f t="shared" si="7"/>
        <v>9.5999999999999992E-3</v>
      </c>
      <c r="O9" s="1469">
        <f t="shared" ref="O9" si="51">J9/100</f>
        <v>1.03E-2</v>
      </c>
      <c r="P9" s="1469">
        <f t="shared" ref="P9" si="52">K9/100</f>
        <v>9.1999999999999998E-3</v>
      </c>
      <c r="Q9" s="1469">
        <f t="shared" ref="Q9" si="53">L9/100</f>
        <v>1.29E-2</v>
      </c>
      <c r="R9" s="1470"/>
      <c r="S9" s="1468"/>
      <c r="T9" s="1469"/>
      <c r="U9" s="1469"/>
      <c r="V9" s="1469"/>
      <c r="W9" s="1785"/>
      <c r="X9" s="1783">
        <f>ROUND(SUMPRODUCT(PRODUCT(1+N9:N$27)),4)</f>
        <v>1.5099</v>
      </c>
      <c r="Y9" s="1783">
        <f>ROUND(SUMPRODUCT(PRODUCT(1+O9:O$27)),4)</f>
        <v>1.3372999999999999</v>
      </c>
      <c r="Z9" s="1783">
        <f t="shared" ref="Z9" si="54">Y9</f>
        <v>1.3372999999999999</v>
      </c>
      <c r="AA9" s="1783">
        <f>ROUND(SUMPRODUCT(PRODUCT(1+P9:P$27)),4)</f>
        <v>1.5683</v>
      </c>
      <c r="AB9" s="1783">
        <f>ROUND(SUMPRODUCT(PRODUCT(1+Q9:Q$27)),4)</f>
        <v>1.3255999999999999</v>
      </c>
      <c r="AC9" s="1785"/>
      <c r="AD9" s="1784">
        <f>ROUND(AVERAGE(I9:I$28)/100,4)</f>
        <v>2.24E-2</v>
      </c>
      <c r="AE9" s="1784">
        <f>ROUND(AVERAGE(J9:J$28)/100,4)</f>
        <v>1.5800000000000002E-2</v>
      </c>
      <c r="AF9" s="1784">
        <f t="shared" ref="AF9" si="55">AE9</f>
        <v>1.5800000000000002E-2</v>
      </c>
      <c r="AG9" s="1784">
        <f>ROUND(AVERAGE(K9:K$28)/100,4)</f>
        <v>2.4500000000000001E-2</v>
      </c>
      <c r="AH9" s="1784">
        <f>ROUND(AVERAGE(L9:L$28)/100,4)</f>
        <v>1.49E-2</v>
      </c>
    </row>
    <row r="10" spans="1:34" s="1462" customFormat="1" ht="14.45" customHeight="1">
      <c r="A10" s="1457" t="s">
        <v>3037</v>
      </c>
      <c r="B10" s="1473">
        <f t="shared" ref="B10" si="56">B11*(1+N10)</f>
        <v>459.95733971036987</v>
      </c>
      <c r="C10" s="1473">
        <f t="shared" ref="C10" si="57">C11*(1+O10)</f>
        <v>341.22221064422405</v>
      </c>
      <c r="D10" s="1473">
        <f t="shared" ref="D10" si="58">C10</f>
        <v>341.22221064422405</v>
      </c>
      <c r="E10" s="1473">
        <f t="shared" ref="E10" si="59">E11*(1+P10)</f>
        <v>657.19161663724799</v>
      </c>
      <c r="F10" s="1473">
        <f t="shared" ref="F10" si="60">F11*(1+Q10)</f>
        <v>300.87803644464805</v>
      </c>
      <c r="G10" s="3405"/>
      <c r="H10" s="1460">
        <v>3</v>
      </c>
      <c r="I10" s="1460">
        <v>1.51</v>
      </c>
      <c r="J10" s="1460">
        <v>1.41</v>
      </c>
      <c r="K10" s="1460">
        <v>1.52</v>
      </c>
      <c r="L10" s="1474">
        <v>1.74</v>
      </c>
      <c r="M10" s="1467"/>
      <c r="N10" s="1468">
        <f t="shared" si="7"/>
        <v>1.5100000000000001E-2</v>
      </c>
      <c r="O10" s="1469">
        <f t="shared" ref="O10" si="61">J10/100</f>
        <v>1.41E-2</v>
      </c>
      <c r="P10" s="1469">
        <f t="shared" ref="P10" si="62">K10/100</f>
        <v>1.52E-2</v>
      </c>
      <c r="Q10" s="1469">
        <f t="shared" ref="Q10" si="63">L10/100</f>
        <v>1.7399999999999999E-2</v>
      </c>
      <c r="R10" s="1470"/>
      <c r="S10" s="1468"/>
      <c r="T10" s="1469"/>
      <c r="U10" s="1469"/>
      <c r="V10" s="1469"/>
      <c r="W10" s="1785"/>
      <c r="X10" s="1783">
        <f>ROUND(SUMPRODUCT(PRODUCT(1+N10:N$27)),4)</f>
        <v>1.4956</v>
      </c>
      <c r="Y10" s="1783">
        <f>ROUND(SUMPRODUCT(PRODUCT(1+O10:O$27)),4)</f>
        <v>1.3237000000000001</v>
      </c>
      <c r="Z10" s="1783">
        <f t="shared" ref="Z10" si="64">Y10</f>
        <v>1.3237000000000001</v>
      </c>
      <c r="AA10" s="1783">
        <f>ROUND(SUMPRODUCT(PRODUCT(1+P10:P$27)),4)</f>
        <v>1.554</v>
      </c>
      <c r="AB10" s="1783">
        <f>ROUND(SUMPRODUCT(PRODUCT(1+Q10:Q$27)),4)</f>
        <v>1.3087</v>
      </c>
      <c r="AC10" s="1785"/>
      <c r="AD10" s="1784">
        <f>ROUND(AVERAGE(I10:I$28)/100,4)</f>
        <v>2.3099999999999999E-2</v>
      </c>
      <c r="AE10" s="1784">
        <f>ROUND(AVERAGE(J10:J$28)/100,4)</f>
        <v>1.61E-2</v>
      </c>
      <c r="AF10" s="1784">
        <f t="shared" ref="AF10" si="65">AE10</f>
        <v>1.61E-2</v>
      </c>
      <c r="AG10" s="1784">
        <f>ROUND(AVERAGE(K10:K$28)/100,4)</f>
        <v>2.53E-2</v>
      </c>
      <c r="AH10" s="1784">
        <f>ROUND(AVERAGE(L10:L$28)/100,4)</f>
        <v>1.4999999999999999E-2</v>
      </c>
    </row>
    <row r="11" spans="1:34" s="1462" customFormat="1" ht="14.45" customHeight="1">
      <c r="A11" s="1457" t="s">
        <v>3036</v>
      </c>
      <c r="B11" s="1473">
        <f t="shared" ref="B11" si="66">B12*(1+N11)</f>
        <v>453.11529869999993</v>
      </c>
      <c r="C11" s="1473">
        <f t="shared" ref="C11" si="67">C12*(1+O11)</f>
        <v>336.47787264000004</v>
      </c>
      <c r="D11" s="1473">
        <f t="shared" ref="D11" si="68">C11</f>
        <v>336.47787264000004</v>
      </c>
      <c r="E11" s="1473">
        <f t="shared" ref="E11" si="69">E12*(1+P11)</f>
        <v>647.35186823999993</v>
      </c>
      <c r="F11" s="1473">
        <f t="shared" ref="F11" si="70">F12*(1+Q11)</f>
        <v>295.73229452000004</v>
      </c>
      <c r="G11" s="3405"/>
      <c r="H11" s="1461">
        <v>2</v>
      </c>
      <c r="I11" s="1461">
        <v>1.49</v>
      </c>
      <c r="J11" s="1461">
        <v>0.96</v>
      </c>
      <c r="K11" s="1461">
        <v>1.58</v>
      </c>
      <c r="L11" s="1475">
        <v>2.44</v>
      </c>
      <c r="M11" s="1467"/>
      <c r="N11" s="1468">
        <f t="shared" ref="N11" si="71">I11/100</f>
        <v>1.49E-2</v>
      </c>
      <c r="O11" s="1469">
        <f t="shared" ref="O11" si="72">J11/100</f>
        <v>9.5999999999999992E-3</v>
      </c>
      <c r="P11" s="1469">
        <f t="shared" ref="P11" si="73">K11/100</f>
        <v>1.5800000000000002E-2</v>
      </c>
      <c r="Q11" s="1469">
        <f t="shared" ref="Q11" si="74">L11/100</f>
        <v>2.4399999999999998E-2</v>
      </c>
      <c r="R11" s="1470"/>
      <c r="S11" s="1468"/>
      <c r="T11" s="1469"/>
      <c r="U11" s="1469"/>
      <c r="V11" s="1469"/>
      <c r="W11" s="1785"/>
      <c r="X11" s="1783">
        <f>ROUND(SUMPRODUCT(PRODUCT(1+N11:N$27)),4)</f>
        <v>1.4733000000000001</v>
      </c>
      <c r="Y11" s="1783">
        <f>ROUND(SUMPRODUCT(PRODUCT(1+O11:O$27)),4)</f>
        <v>1.3052999999999999</v>
      </c>
      <c r="Z11" s="1783">
        <f t="shared" ref="Z11" si="75">Y11</f>
        <v>1.3052999999999999</v>
      </c>
      <c r="AA11" s="1783">
        <f>ROUND(SUMPRODUCT(PRODUCT(1+P11:P$27)),4)</f>
        <v>1.5306999999999999</v>
      </c>
      <c r="AB11" s="1783">
        <f>ROUND(SUMPRODUCT(PRODUCT(1+Q11:Q$27)),4)</f>
        <v>1.2863</v>
      </c>
      <c r="AC11" s="1785"/>
      <c r="AD11" s="1784">
        <f>ROUND(AVERAGE(I11:I$28)/100,4)</f>
        <v>2.35E-2</v>
      </c>
      <c r="AE11" s="1784">
        <f>ROUND(AVERAGE(J11:J$28)/100,4)</f>
        <v>1.6199999999999999E-2</v>
      </c>
      <c r="AF11" s="1784">
        <f t="shared" ref="AF11" si="76">AE11</f>
        <v>1.6199999999999999E-2</v>
      </c>
      <c r="AG11" s="1784">
        <f>ROUND(AVERAGE(K11:K$28)/100,4)</f>
        <v>2.5899999999999999E-2</v>
      </c>
      <c r="AH11" s="1784">
        <f>ROUND(AVERAGE(L11:L$28)/100,4)</f>
        <v>1.49E-2</v>
      </c>
    </row>
    <row r="12" spans="1:34" s="1462" customFormat="1" ht="15" customHeight="1" thickBot="1">
      <c r="A12" s="1457" t="s">
        <v>3029</v>
      </c>
      <c r="B12" s="1473">
        <f t="shared" ref="B12" si="77">B13*(1+N12)</f>
        <v>446.46299999999997</v>
      </c>
      <c r="C12" s="1473">
        <f t="shared" ref="C12" si="78">C13*(1+O12)</f>
        <v>333.27840000000003</v>
      </c>
      <c r="D12" s="1473">
        <f t="shared" ref="D12" si="79">C12</f>
        <v>333.27840000000003</v>
      </c>
      <c r="E12" s="1473">
        <f t="shared" ref="E12" si="80">E13*(1+P12)</f>
        <v>637.28279999999995</v>
      </c>
      <c r="F12" s="1473">
        <f t="shared" ref="F12" si="81">F13*(1+Q12)</f>
        <v>288.68830000000003</v>
      </c>
      <c r="G12" s="3412"/>
      <c r="H12" s="1460">
        <v>1</v>
      </c>
      <c r="I12" s="1460">
        <v>1.7</v>
      </c>
      <c r="J12" s="1460">
        <v>1.92</v>
      </c>
      <c r="K12" s="1460">
        <v>1.64</v>
      </c>
      <c r="L12" s="1474">
        <v>2.0099999999999998</v>
      </c>
      <c r="M12" s="1467"/>
      <c r="N12" s="1468">
        <f t="shared" ref="N12:N17" si="82">I12/100</f>
        <v>1.7000000000000001E-2</v>
      </c>
      <c r="O12" s="1469">
        <f t="shared" ref="O12" si="83">J12/100</f>
        <v>1.9199999999999998E-2</v>
      </c>
      <c r="P12" s="1469">
        <f t="shared" ref="P12" si="84">K12/100</f>
        <v>1.6399999999999998E-2</v>
      </c>
      <c r="Q12" s="1469">
        <f t="shared" ref="Q12" si="85">L12/100</f>
        <v>2.0099999999999996E-2</v>
      </c>
      <c r="R12" s="1470"/>
      <c r="S12" s="1468">
        <f>B12/B13-1</f>
        <v>1.6999999999999904E-2</v>
      </c>
      <c r="T12" s="1469">
        <f t="shared" ref="T12" si="86">C12/C13-1</f>
        <v>1.9200000000000106E-2</v>
      </c>
      <c r="U12" s="1469">
        <f t="shared" ref="U12" si="87">D12/D13-1</f>
        <v>1.9200000000000106E-2</v>
      </c>
      <c r="V12" s="1469">
        <f t="shared" ref="V12" si="88">E12/E13-1</f>
        <v>1.639999999999997E-2</v>
      </c>
      <c r="W12" s="1785"/>
      <c r="X12" s="1783">
        <f>ROUND(SUMPRODUCT(PRODUCT(1+N12:N$27)),4)</f>
        <v>1.4517</v>
      </c>
      <c r="Y12" s="1783">
        <f>ROUND(SUMPRODUCT(PRODUCT(1+O12:O$27)),4)</f>
        <v>1.2928999999999999</v>
      </c>
      <c r="Z12" s="1783">
        <f t="shared" ref="Z12" si="89">Y12</f>
        <v>1.2928999999999999</v>
      </c>
      <c r="AA12" s="1783">
        <f>ROUND(SUMPRODUCT(PRODUCT(1+P12:P$27)),4)</f>
        <v>1.5068999999999999</v>
      </c>
      <c r="AB12" s="1783">
        <f>ROUND(SUMPRODUCT(PRODUCT(1+Q12:Q$27)),4)</f>
        <v>1.2557</v>
      </c>
      <c r="AC12" s="1785"/>
      <c r="AD12" s="1784">
        <f>ROUND(AVERAGE(I12:I$28)/100,4)</f>
        <v>2.4E-2</v>
      </c>
      <c r="AE12" s="1784">
        <f>ROUND(AVERAGE(J12:J$28)/100,4)</f>
        <v>1.66E-2</v>
      </c>
      <c r="AF12" s="1784">
        <f t="shared" ref="AF12" si="90">AE12</f>
        <v>1.66E-2</v>
      </c>
      <c r="AG12" s="1784">
        <f>ROUND(AVERAGE(K12:K$28)/100,4)</f>
        <v>2.6499999999999999E-2</v>
      </c>
      <c r="AH12" s="1784">
        <f>ROUND(AVERAGE(L12:L$28)/100,4)</f>
        <v>1.43E-2</v>
      </c>
    </row>
    <row r="13" spans="1:34">
      <c r="A13" s="1457" t="s">
        <v>3026</v>
      </c>
      <c r="B13" s="1465">
        <v>439</v>
      </c>
      <c r="C13" s="1465">
        <v>327</v>
      </c>
      <c r="D13" s="1465">
        <f>C13</f>
        <v>327</v>
      </c>
      <c r="E13" s="1465">
        <v>627</v>
      </c>
      <c r="F13" s="1466">
        <v>283</v>
      </c>
      <c r="G13" s="3408">
        <v>2017</v>
      </c>
      <c r="H13" s="1458">
        <v>4</v>
      </c>
      <c r="I13" s="1458">
        <v>1.71</v>
      </c>
      <c r="J13" s="1458">
        <v>1.78</v>
      </c>
      <c r="K13" s="1458">
        <v>1.71</v>
      </c>
      <c r="L13" s="1459">
        <v>1.43</v>
      </c>
      <c r="N13" s="1468">
        <f t="shared" si="82"/>
        <v>1.7100000000000001E-2</v>
      </c>
      <c r="O13" s="1469">
        <f t="shared" ref="O13" si="91">J13/100</f>
        <v>1.78E-2</v>
      </c>
      <c r="P13" s="1469">
        <f t="shared" ref="P13" si="92">K13/100</f>
        <v>1.7100000000000001E-2</v>
      </c>
      <c r="Q13" s="1469">
        <f t="shared" ref="Q13" si="93">L13/100</f>
        <v>1.43E-2</v>
      </c>
      <c r="R13" s="1470"/>
      <c r="S13" s="1471"/>
      <c r="T13" s="1472"/>
      <c r="U13" s="1472"/>
      <c r="V13" s="1472"/>
      <c r="X13" s="1455">
        <f>ROUND(SUMPRODUCT(PRODUCT(1+N13:N$27)),4)</f>
        <v>1.4274</v>
      </c>
      <c r="Y13" s="1455">
        <f>ROUND(SUMPRODUCT(PRODUCT(1+O13:O$27)),4)</f>
        <v>1.2685</v>
      </c>
      <c r="Z13" s="1455">
        <f t="shared" si="0"/>
        <v>1.2685</v>
      </c>
      <c r="AA13" s="1455">
        <f>ROUND(SUMPRODUCT(PRODUCT(1+P13:P$27)),4)</f>
        <v>1.4825999999999999</v>
      </c>
      <c r="AB13" s="1455">
        <f>ROUND(SUMPRODUCT(PRODUCT(1+Q13:Q$27)),4)</f>
        <v>1.2309000000000001</v>
      </c>
      <c r="AD13" s="1456">
        <f>ROUND(AVERAGE(I13:I$28)/100,4)</f>
        <v>2.4500000000000001E-2</v>
      </c>
      <c r="AE13" s="1456">
        <f>ROUND(AVERAGE(J13:J$28)/100,4)</f>
        <v>1.6500000000000001E-2</v>
      </c>
      <c r="AF13" s="1456">
        <f t="shared" si="1"/>
        <v>1.6500000000000001E-2</v>
      </c>
      <c r="AG13" s="1456">
        <f>ROUND(AVERAGE(K13:K$28)/100,4)</f>
        <v>2.7099999999999999E-2</v>
      </c>
      <c r="AH13" s="1456">
        <f>ROUND(AVERAGE(L13:L$28)/100,4)</f>
        <v>1.3899999999999999E-2</v>
      </c>
    </row>
    <row r="14" spans="1:34" s="1462" customFormat="1" ht="14.45" customHeight="1">
      <c r="A14" s="1457" t="s">
        <v>3027</v>
      </c>
      <c r="B14" s="1473">
        <f t="shared" ref="B14:B15" si="94">B15*(1+N14)</f>
        <v>431.80730811680002</v>
      </c>
      <c r="C14" s="1473">
        <f t="shared" ref="C14:C15" si="95">C15*(1+O14)</f>
        <v>320.57880516480003</v>
      </c>
      <c r="D14" s="1473">
        <f t="shared" ref="D14:D15" si="96">C14</f>
        <v>320.57880516480003</v>
      </c>
      <c r="E14" s="1473">
        <f t="shared" ref="E14:E15" si="97">E15*(1+P14)</f>
        <v>615.96110553196797</v>
      </c>
      <c r="F14" s="1473">
        <f t="shared" ref="F14:F15" si="98">F15*(1+Q14)</f>
        <v>279.46777300108801</v>
      </c>
      <c r="G14" s="3405"/>
      <c r="H14" s="1460">
        <v>3</v>
      </c>
      <c r="I14" s="1460">
        <v>2.98</v>
      </c>
      <c r="J14" s="1460">
        <v>2.11</v>
      </c>
      <c r="K14" s="1460">
        <v>3.24</v>
      </c>
      <c r="L14" s="1474">
        <v>1.72</v>
      </c>
      <c r="M14" s="1467"/>
      <c r="N14" s="1468">
        <f t="shared" si="82"/>
        <v>2.98E-2</v>
      </c>
      <c r="O14" s="1469">
        <f t="shared" ref="O14" si="99">J14/100</f>
        <v>2.1099999999999997E-2</v>
      </c>
      <c r="P14" s="1469">
        <f t="shared" ref="P14" si="100">K14/100</f>
        <v>3.2400000000000005E-2</v>
      </c>
      <c r="Q14" s="1469">
        <f t="shared" ref="Q14" si="101">L14/100</f>
        <v>1.72E-2</v>
      </c>
      <c r="R14" s="1470"/>
      <c r="S14" s="1468"/>
      <c r="T14" s="1469"/>
      <c r="U14" s="1469"/>
      <c r="V14" s="1469"/>
      <c r="W14" s="1785"/>
      <c r="X14" s="1783">
        <f>ROUND(SUMPRODUCT(PRODUCT(1+N14:N$27)),4)</f>
        <v>1.4034</v>
      </c>
      <c r="Y14" s="1783">
        <f>ROUND(SUMPRODUCT(PRODUCT(1+O14:O$27)),4)</f>
        <v>1.2463</v>
      </c>
      <c r="Z14" s="1783">
        <f t="shared" si="0"/>
        <v>1.2463</v>
      </c>
      <c r="AA14" s="1783">
        <f>ROUND(SUMPRODUCT(PRODUCT(1+P14:P$27)),4)</f>
        <v>1.4577</v>
      </c>
      <c r="AB14" s="1783">
        <f>ROUND(SUMPRODUCT(PRODUCT(1+Q14:Q$27)),4)</f>
        <v>1.2136</v>
      </c>
      <c r="AC14" s="1785"/>
      <c r="AD14" s="1784">
        <f>ROUND(AVERAGE(I14:I$28)/100,4)</f>
        <v>2.4899999999999999E-2</v>
      </c>
      <c r="AE14" s="1784">
        <f>ROUND(AVERAGE(J14:J$28)/100,4)</f>
        <v>1.6400000000000001E-2</v>
      </c>
      <c r="AF14" s="1784">
        <f t="shared" si="1"/>
        <v>1.6400000000000001E-2</v>
      </c>
      <c r="AG14" s="1784">
        <f>ROUND(AVERAGE(K14:K$28)/100,4)</f>
        <v>2.7799999999999998E-2</v>
      </c>
      <c r="AH14" s="1784">
        <f>ROUND(AVERAGE(L14:L$28)/100,4)</f>
        <v>1.3899999999999999E-2</v>
      </c>
    </row>
    <row r="15" spans="1:34" s="1726" customFormat="1" ht="14.45" customHeight="1">
      <c r="A15" s="1457" t="s">
        <v>1381</v>
      </c>
      <c r="B15" s="1473">
        <f t="shared" si="94"/>
        <v>419.31181600000002</v>
      </c>
      <c r="C15" s="1473">
        <f t="shared" si="95"/>
        <v>313.95436800000004</v>
      </c>
      <c r="D15" s="1473">
        <f t="shared" si="96"/>
        <v>313.95436800000004</v>
      </c>
      <c r="E15" s="1473">
        <f t="shared" si="97"/>
        <v>596.63028431999999</v>
      </c>
      <c r="F15" s="1473">
        <f t="shared" si="98"/>
        <v>274.74220703999998</v>
      </c>
      <c r="G15" s="3405"/>
      <c r="H15" s="1461">
        <v>2</v>
      </c>
      <c r="I15" s="1461">
        <v>3.4</v>
      </c>
      <c r="J15" s="1461">
        <v>2</v>
      </c>
      <c r="K15" s="1461">
        <v>3.82</v>
      </c>
      <c r="L15" s="1475">
        <v>1.68</v>
      </c>
      <c r="M15" s="1467"/>
      <c r="N15" s="1468">
        <f t="shared" si="82"/>
        <v>3.4000000000000002E-2</v>
      </c>
      <c r="O15" s="1469">
        <f t="shared" ref="O15" si="102">J15/100</f>
        <v>0.02</v>
      </c>
      <c r="P15" s="1469">
        <f t="shared" ref="P15" si="103">K15/100</f>
        <v>3.8199999999999998E-2</v>
      </c>
      <c r="Q15" s="1469">
        <f t="shared" ref="Q15" si="104">L15/100</f>
        <v>1.6799999999999999E-2</v>
      </c>
      <c r="R15" s="1470"/>
      <c r="S15" s="1471"/>
      <c r="T15" s="1472"/>
      <c r="U15" s="1472"/>
      <c r="V15" s="1472"/>
      <c r="W15" s="1449"/>
      <c r="X15" s="1783">
        <f>ROUND(SUMPRODUCT(PRODUCT(1+N15:N$27)),4)</f>
        <v>1.3628</v>
      </c>
      <c r="Y15" s="1783">
        <f>ROUND(SUMPRODUCT(PRODUCT(1+O15:O$27)),4)</f>
        <v>1.2205999999999999</v>
      </c>
      <c r="Z15" s="1783">
        <f t="shared" si="0"/>
        <v>1.2205999999999999</v>
      </c>
      <c r="AA15" s="1783">
        <f>ROUND(SUMPRODUCT(PRODUCT(1+P15:P$27)),4)</f>
        <v>1.4118999999999999</v>
      </c>
      <c r="AB15" s="1783">
        <f>ROUND(SUMPRODUCT(PRODUCT(1+Q15:Q$27)),4)</f>
        <v>1.1930000000000001</v>
      </c>
      <c r="AC15" s="1449"/>
      <c r="AD15" s="1784">
        <f>ROUND(AVERAGE(I15:I$28)/100,4)</f>
        <v>2.46E-2</v>
      </c>
      <c r="AE15" s="1784">
        <f>ROUND(AVERAGE(J15:J$28)/100,4)</f>
        <v>1.6E-2</v>
      </c>
      <c r="AF15" s="1784">
        <f t="shared" si="1"/>
        <v>1.6E-2</v>
      </c>
      <c r="AG15" s="1784">
        <f>ROUND(AVERAGE(K15:K$28)/100,4)</f>
        <v>2.75E-2</v>
      </c>
      <c r="AH15" s="1784">
        <f>ROUND(AVERAGE(L15:L$28)/100,4)</f>
        <v>1.37E-2</v>
      </c>
    </row>
    <row r="16" spans="1:34" s="1462" customFormat="1" ht="15" customHeight="1" thickBot="1">
      <c r="A16" s="1457" t="s">
        <v>1157</v>
      </c>
      <c r="B16" s="1473">
        <f>B17*(1+N16)</f>
        <v>405.524</v>
      </c>
      <c r="C16" s="1473">
        <f>C17*(1+O16)</f>
        <v>307.79840000000002</v>
      </c>
      <c r="D16" s="1473">
        <f>C16</f>
        <v>307.79840000000002</v>
      </c>
      <c r="E16" s="1473">
        <f>E17*(1+P16)</f>
        <v>574.67759999999998</v>
      </c>
      <c r="F16" s="1473">
        <f>F17*(1+Q16)</f>
        <v>270.20280000000002</v>
      </c>
      <c r="G16" s="3412"/>
      <c r="H16" s="1460">
        <v>1</v>
      </c>
      <c r="I16" s="1460">
        <v>3.45</v>
      </c>
      <c r="J16" s="1460">
        <v>1.92</v>
      </c>
      <c r="K16" s="1460">
        <v>3.92</v>
      </c>
      <c r="L16" s="1474">
        <v>1.58</v>
      </c>
      <c r="M16" s="1467"/>
      <c r="N16" s="1468">
        <f t="shared" si="82"/>
        <v>3.4500000000000003E-2</v>
      </c>
      <c r="O16" s="1469">
        <f t="shared" ref="O16:Q31" si="105">J16/100</f>
        <v>1.9199999999999998E-2</v>
      </c>
      <c r="P16" s="1469">
        <f t="shared" si="105"/>
        <v>3.9199999999999999E-2</v>
      </c>
      <c r="Q16" s="1469">
        <f t="shared" si="105"/>
        <v>1.5800000000000002E-2</v>
      </c>
      <c r="R16" s="1470"/>
      <c r="S16" s="1468">
        <f>B16/B17-1</f>
        <v>3.4499999999999975E-2</v>
      </c>
      <c r="T16" s="1469">
        <f t="shared" ref="T16:V16" si="106">C16/C17-1</f>
        <v>1.9200000000000106E-2</v>
      </c>
      <c r="U16" s="1469">
        <f t="shared" si="106"/>
        <v>1.9200000000000106E-2</v>
      </c>
      <c r="V16" s="1469">
        <f t="shared" si="106"/>
        <v>3.9199999999999902E-2</v>
      </c>
      <c r="W16" s="1785"/>
      <c r="X16" s="1783">
        <f>ROUND(SUMPRODUCT(PRODUCT(1+N16:N$27)),4)</f>
        <v>1.3180000000000001</v>
      </c>
      <c r="Y16" s="1783">
        <f>ROUND(SUMPRODUCT(PRODUCT(1+O16:O$27)),4)</f>
        <v>1.1966000000000001</v>
      </c>
      <c r="Z16" s="1783">
        <f t="shared" si="0"/>
        <v>1.1966000000000001</v>
      </c>
      <c r="AA16" s="1783">
        <f>ROUND(SUMPRODUCT(PRODUCT(1+P16:P$27)),4)</f>
        <v>1.36</v>
      </c>
      <c r="AB16" s="1783">
        <f>ROUND(SUMPRODUCT(PRODUCT(1+Q16:Q$27)),4)</f>
        <v>1.1733</v>
      </c>
      <c r="AC16" s="1785"/>
      <c r="AD16" s="1784">
        <f>ROUND(AVERAGE(I16:I$28)/100,4)</f>
        <v>2.3900000000000001E-2</v>
      </c>
      <c r="AE16" s="1784">
        <f>ROUND(AVERAGE(J16:J$28)/100,4)</f>
        <v>1.5699999999999999E-2</v>
      </c>
      <c r="AF16" s="1784">
        <f t="shared" si="1"/>
        <v>1.5699999999999999E-2</v>
      </c>
      <c r="AG16" s="1784">
        <f>ROUND(AVERAGE(K16:K$28)/100,4)</f>
        <v>2.6599999999999999E-2</v>
      </c>
      <c r="AH16" s="1784">
        <f>ROUND(AVERAGE(L16:L$28)/100,4)</f>
        <v>1.34E-2</v>
      </c>
    </row>
    <row r="17" spans="1:34">
      <c r="A17" s="1457" t="s">
        <v>154</v>
      </c>
      <c r="B17" s="1465">
        <v>392</v>
      </c>
      <c r="C17" s="1465">
        <v>302</v>
      </c>
      <c r="D17" s="1465">
        <f>C17</f>
        <v>302</v>
      </c>
      <c r="E17" s="1465">
        <v>553</v>
      </c>
      <c r="F17" s="1466">
        <v>266</v>
      </c>
      <c r="G17" s="3408">
        <v>2016</v>
      </c>
      <c r="H17" s="1458">
        <v>4</v>
      </c>
      <c r="I17" s="1458">
        <v>4.5599999999999996</v>
      </c>
      <c r="J17" s="1458">
        <v>2.15</v>
      </c>
      <c r="K17" s="1458">
        <v>5.32</v>
      </c>
      <c r="L17" s="1459">
        <v>1.57</v>
      </c>
      <c r="N17" s="1468">
        <f t="shared" si="82"/>
        <v>4.5599999999999995E-2</v>
      </c>
      <c r="O17" s="1469">
        <f t="shared" si="105"/>
        <v>2.1499999999999998E-2</v>
      </c>
      <c r="P17" s="1469">
        <f t="shared" si="105"/>
        <v>5.3200000000000004E-2</v>
      </c>
      <c r="Q17" s="1469">
        <f t="shared" si="105"/>
        <v>1.5700000000000002E-2</v>
      </c>
      <c r="R17" s="1470"/>
      <c r="S17" s="1471"/>
      <c r="T17" s="1472"/>
      <c r="U17" s="1472"/>
      <c r="V17" s="1472"/>
      <c r="X17" s="1455">
        <f>ROUND(SUMPRODUCT(PRODUCT(1+N17:N$27)),4)</f>
        <v>1.274</v>
      </c>
      <c r="Y17" s="1455">
        <f>ROUND(SUMPRODUCT(PRODUCT(1+O17:O$27)),4)</f>
        <v>1.1740999999999999</v>
      </c>
      <c r="Z17" s="1455">
        <f t="shared" si="0"/>
        <v>1.1740999999999999</v>
      </c>
      <c r="AA17" s="1455">
        <f>ROUND(SUMPRODUCT(PRODUCT(1+P17:P$27)),4)</f>
        <v>1.3087</v>
      </c>
      <c r="AB17" s="1455">
        <f>ROUND(SUMPRODUCT(PRODUCT(1+Q17:Q$27)),4)</f>
        <v>1.1551</v>
      </c>
      <c r="AD17" s="1456">
        <f>ROUND(AVERAGE(I17:I$28)/100,4)</f>
        <v>2.3E-2</v>
      </c>
      <c r="AE17" s="1456">
        <f>ROUND(AVERAGE(J17:J$28)/100,4)</f>
        <v>1.55E-2</v>
      </c>
      <c r="AF17" s="1456">
        <f t="shared" si="1"/>
        <v>1.55E-2</v>
      </c>
      <c r="AG17" s="1456">
        <f>ROUND(AVERAGE(K17:K$28)/100,4)</f>
        <v>2.5600000000000001E-2</v>
      </c>
      <c r="AH17" s="1456">
        <f>ROUND(AVERAGE(L17:L$28)/100,4)</f>
        <v>1.32E-2</v>
      </c>
    </row>
    <row r="18" spans="1:34">
      <c r="A18" s="1457" t="s">
        <v>153</v>
      </c>
      <c r="B18" s="1473">
        <f t="shared" ref="B18:C20" si="107">B17/(1+N17)</f>
        <v>374.90436113236416</v>
      </c>
      <c r="C18" s="1473">
        <f t="shared" si="107"/>
        <v>295.64366128242779</v>
      </c>
      <c r="D18" s="1473">
        <f t="shared" ref="D18:D77" si="108">C18</f>
        <v>295.64366128242779</v>
      </c>
      <c r="E18" s="1473">
        <f t="shared" ref="E18:F20" si="109">E17/(1+P17)</f>
        <v>525.06646410938095</v>
      </c>
      <c r="F18" s="1473">
        <f t="shared" si="109"/>
        <v>261.88835286009646</v>
      </c>
      <c r="G18" s="3405"/>
      <c r="H18" s="1460">
        <v>3</v>
      </c>
      <c r="I18" s="1460">
        <v>4.12</v>
      </c>
      <c r="J18" s="1460">
        <v>2</v>
      </c>
      <c r="K18" s="1460">
        <v>4.79</v>
      </c>
      <c r="L18" s="1474">
        <v>1.97</v>
      </c>
      <c r="N18" s="1468">
        <f t="shared" ref="N18:Q52" si="110">I18/100</f>
        <v>4.1200000000000001E-2</v>
      </c>
      <c r="O18" s="1469">
        <f t="shared" si="105"/>
        <v>0.02</v>
      </c>
      <c r="P18" s="1469">
        <f t="shared" si="105"/>
        <v>4.7899999999999998E-2</v>
      </c>
      <c r="Q18" s="1469">
        <f t="shared" si="105"/>
        <v>1.9699999999999999E-2</v>
      </c>
      <c r="R18" s="1470"/>
      <c r="S18" s="1468"/>
      <c r="T18" s="1469"/>
      <c r="U18" s="1469"/>
      <c r="V18" s="1469"/>
      <c r="X18" s="1455">
        <f>ROUND(SUMPRODUCT(PRODUCT(1+N18:N$27)),4)</f>
        <v>1.2184999999999999</v>
      </c>
      <c r="Y18" s="1455">
        <f>ROUND(SUMPRODUCT(PRODUCT(1+O18:O$27)),4)</f>
        <v>1.1494</v>
      </c>
      <c r="Z18" s="1455">
        <f t="shared" si="0"/>
        <v>1.1494</v>
      </c>
      <c r="AA18" s="1455">
        <f>ROUND(SUMPRODUCT(PRODUCT(1+P18:P$27)),4)</f>
        <v>1.2425999999999999</v>
      </c>
      <c r="AB18" s="1455">
        <f>ROUND(SUMPRODUCT(PRODUCT(1+Q18:Q$27)),4)</f>
        <v>1.1372</v>
      </c>
      <c r="AD18" s="1456">
        <f>ROUND(AVERAGE(I18:I$28)/100,4)</f>
        <v>2.0899999999999998E-2</v>
      </c>
      <c r="AE18" s="1456">
        <f>ROUND(AVERAGE(J18:J$28)/100,4)</f>
        <v>1.49E-2</v>
      </c>
      <c r="AF18" s="1456">
        <f t="shared" si="1"/>
        <v>1.49E-2</v>
      </c>
      <c r="AG18" s="1456">
        <f>ROUND(AVERAGE(K18:K$28)/100,4)</f>
        <v>2.3099999999999999E-2</v>
      </c>
      <c r="AH18" s="1456">
        <f>ROUND(AVERAGE(L18:L$28)/100,4)</f>
        <v>1.2999999999999999E-2</v>
      </c>
    </row>
    <row r="19" spans="1:34">
      <c r="A19" s="1457" t="s">
        <v>143</v>
      </c>
      <c r="B19" s="1473">
        <f t="shared" si="107"/>
        <v>360.06949782209392</v>
      </c>
      <c r="C19" s="1473">
        <f t="shared" si="107"/>
        <v>289.84672674747821</v>
      </c>
      <c r="D19" s="1473">
        <f t="shared" si="108"/>
        <v>289.84672674747821</v>
      </c>
      <c r="E19" s="1473">
        <f t="shared" si="109"/>
        <v>501.06543001181495</v>
      </c>
      <c r="F19" s="1473">
        <f t="shared" si="109"/>
        <v>256.82882500744967</v>
      </c>
      <c r="G19" s="3405"/>
      <c r="H19" s="1461">
        <v>2</v>
      </c>
      <c r="I19" s="1461">
        <v>3.85</v>
      </c>
      <c r="J19" s="1461">
        <v>1.95</v>
      </c>
      <c r="K19" s="1461">
        <v>4.4800000000000004</v>
      </c>
      <c r="L19" s="1475">
        <v>1.41</v>
      </c>
      <c r="N19" s="1468">
        <f t="shared" si="110"/>
        <v>3.85E-2</v>
      </c>
      <c r="O19" s="1469">
        <f t="shared" si="105"/>
        <v>1.95E-2</v>
      </c>
      <c r="P19" s="1469">
        <f t="shared" si="105"/>
        <v>4.4800000000000006E-2</v>
      </c>
      <c r="Q19" s="1469">
        <f t="shared" si="105"/>
        <v>1.41E-2</v>
      </c>
      <c r="R19" s="1470"/>
      <c r="S19" s="1468"/>
      <c r="T19" s="1469"/>
      <c r="U19" s="1469"/>
      <c r="V19" s="1469"/>
      <c r="X19" s="1455">
        <f>ROUND(SUMPRODUCT(PRODUCT(1+N19:N$27)),4)</f>
        <v>1.1702999999999999</v>
      </c>
      <c r="Y19" s="1455">
        <f>ROUND(SUMPRODUCT(PRODUCT(1+O19:O$27)),4)</f>
        <v>1.1269</v>
      </c>
      <c r="Z19" s="1455">
        <f t="shared" si="0"/>
        <v>1.1269</v>
      </c>
      <c r="AA19" s="1455">
        <f>ROUND(SUMPRODUCT(PRODUCT(1+P19:P$27)),4)</f>
        <v>1.1858</v>
      </c>
      <c r="AB19" s="1455">
        <f>ROUND(SUMPRODUCT(PRODUCT(1+Q19:Q$27)),4)</f>
        <v>1.1152</v>
      </c>
      <c r="AD19" s="1456">
        <f>ROUND(AVERAGE(I19:I$28)/100,4)</f>
        <v>1.89E-2</v>
      </c>
      <c r="AE19" s="1456">
        <f>ROUND(AVERAGE(J19:J$28)/100,4)</f>
        <v>1.44E-2</v>
      </c>
      <c r="AF19" s="1456">
        <f t="shared" si="1"/>
        <v>1.44E-2</v>
      </c>
      <c r="AG19" s="1456">
        <f>ROUND(AVERAGE(K19:K$28)/100,4)</f>
        <v>2.06E-2</v>
      </c>
      <c r="AH19" s="1456">
        <f>ROUND(AVERAGE(L19:L$28)/100,4)</f>
        <v>1.23E-2</v>
      </c>
    </row>
    <row r="20" spans="1:34" ht="13.5" thickBot="1">
      <c r="A20" s="1457" t="s">
        <v>152</v>
      </c>
      <c r="B20" s="1473">
        <f t="shared" si="107"/>
        <v>346.720748986128</v>
      </c>
      <c r="C20" s="1473">
        <f t="shared" si="107"/>
        <v>284.30282172386285</v>
      </c>
      <c r="D20" s="1473">
        <f t="shared" si="108"/>
        <v>284.30282172386285</v>
      </c>
      <c r="E20" s="1473">
        <f t="shared" si="109"/>
        <v>479.58023546306947</v>
      </c>
      <c r="F20" s="1473">
        <f t="shared" si="109"/>
        <v>253.25788877571213</v>
      </c>
      <c r="G20" s="3406"/>
      <c r="H20" s="1460">
        <v>1</v>
      </c>
      <c r="I20" s="1460">
        <v>4.09</v>
      </c>
      <c r="J20" s="1460">
        <v>2.93</v>
      </c>
      <c r="K20" s="1460">
        <v>4.54</v>
      </c>
      <c r="L20" s="1474">
        <v>1.48</v>
      </c>
      <c r="N20" s="1468">
        <f t="shared" si="110"/>
        <v>4.0899999999999999E-2</v>
      </c>
      <c r="O20" s="1469">
        <f t="shared" si="105"/>
        <v>2.9300000000000003E-2</v>
      </c>
      <c r="P20" s="1469">
        <f t="shared" si="105"/>
        <v>4.5400000000000003E-2</v>
      </c>
      <c r="Q20" s="1469">
        <f t="shared" si="105"/>
        <v>1.4800000000000001E-2</v>
      </c>
      <c r="R20" s="1470"/>
      <c r="S20" s="1476">
        <f>B20/B21-1</f>
        <v>4.1203450408792808E-2</v>
      </c>
      <c r="T20" s="1477">
        <f>C20/C21-1</f>
        <v>2.6363977342465095E-2</v>
      </c>
      <c r="U20" s="1477">
        <f>E20/E21-1</f>
        <v>4.4837114298626357E-2</v>
      </c>
      <c r="V20" s="1477">
        <f>F20/F21-1</f>
        <v>1.7099954922538574E-2</v>
      </c>
      <c r="X20" s="1455">
        <f>ROUND(SUMPRODUCT(PRODUCT(1+N20:N$27)),4)</f>
        <v>1.1269</v>
      </c>
      <c r="Y20" s="1455">
        <f>ROUND(SUMPRODUCT(PRODUCT(1+O20:O$27)),4)</f>
        <v>1.1052999999999999</v>
      </c>
      <c r="Z20" s="1455">
        <f t="shared" si="0"/>
        <v>1.1052999999999999</v>
      </c>
      <c r="AA20" s="1455">
        <f>ROUND(SUMPRODUCT(PRODUCT(1+P20:P$27)),4)</f>
        <v>1.1349</v>
      </c>
      <c r="AB20" s="1455">
        <f>ROUND(SUMPRODUCT(PRODUCT(1+Q20:Q$27)),4)</f>
        <v>1.0996999999999999</v>
      </c>
      <c r="AD20" s="1456">
        <f>ROUND(AVERAGE(I20:I$28)/100,4)</f>
        <v>1.67E-2</v>
      </c>
      <c r="AE20" s="1456">
        <f>ROUND(AVERAGE(J20:J$28)/100,4)</f>
        <v>1.38E-2</v>
      </c>
      <c r="AF20" s="1456">
        <f t="shared" si="1"/>
        <v>1.38E-2</v>
      </c>
      <c r="AG20" s="1456">
        <f>ROUND(AVERAGE(K20:K$28)/100,4)</f>
        <v>1.7899999999999999E-2</v>
      </c>
      <c r="AH20" s="1456">
        <f>ROUND(AVERAGE(L20:L$28)/100,4)</f>
        <v>1.21E-2</v>
      </c>
    </row>
    <row r="21" spans="1:34" ht="13.5" thickBot="1">
      <c r="A21" s="1457" t="s">
        <v>151</v>
      </c>
      <c r="B21" s="1465">
        <v>333</v>
      </c>
      <c r="C21" s="1465">
        <v>277</v>
      </c>
      <c r="D21" s="1465">
        <f t="shared" si="108"/>
        <v>277</v>
      </c>
      <c r="E21" s="1465">
        <v>459</v>
      </c>
      <c r="F21" s="1466">
        <v>249</v>
      </c>
      <c r="G21" s="3404">
        <v>2015</v>
      </c>
      <c r="H21" s="1478">
        <v>4</v>
      </c>
      <c r="I21" s="1478">
        <v>1.63</v>
      </c>
      <c r="J21" s="1478">
        <v>1.1100000000000001</v>
      </c>
      <c r="K21" s="1478">
        <v>1.77</v>
      </c>
      <c r="L21" s="1479">
        <v>1.89</v>
      </c>
      <c r="N21" s="1480">
        <f t="shared" si="110"/>
        <v>1.6299999999999999E-2</v>
      </c>
      <c r="O21" s="1481">
        <f t="shared" si="105"/>
        <v>1.11E-2</v>
      </c>
      <c r="P21" s="1481">
        <f t="shared" si="105"/>
        <v>1.77E-2</v>
      </c>
      <c r="Q21" s="1481">
        <f t="shared" si="105"/>
        <v>1.89E-2</v>
      </c>
      <c r="R21" s="1470"/>
      <c r="X21" s="1455">
        <f>ROUND(SUMPRODUCT(PRODUCT(1+N21:N$27)),4)</f>
        <v>1.0826</v>
      </c>
      <c r="Y21" s="1455">
        <f>ROUND(SUMPRODUCT(PRODUCT(1+O21:O$27)),4)</f>
        <v>1.0738000000000001</v>
      </c>
      <c r="Z21" s="1455">
        <f t="shared" si="0"/>
        <v>1.0738000000000001</v>
      </c>
      <c r="AA21" s="1455">
        <f>ROUND(SUMPRODUCT(PRODUCT(1+P21:P$27)),4)</f>
        <v>1.0855999999999999</v>
      </c>
      <c r="AB21" s="1455">
        <f>ROUND(SUMPRODUCT(PRODUCT(1+Q21:Q$27)),4)</f>
        <v>1.0837000000000001</v>
      </c>
      <c r="AD21" s="1456">
        <f>ROUND(AVERAGE(I21:I$28)/100,4)</f>
        <v>1.37E-2</v>
      </c>
      <c r="AE21" s="1456">
        <f>ROUND(AVERAGE(J21:J$28)/100,4)</f>
        <v>1.1900000000000001E-2</v>
      </c>
      <c r="AF21" s="1456">
        <f t="shared" si="1"/>
        <v>1.1900000000000001E-2</v>
      </c>
      <c r="AG21" s="1456">
        <f>ROUND(AVERAGE(K21:K$28)/100,4)</f>
        <v>1.4500000000000001E-2</v>
      </c>
      <c r="AH21" s="1456">
        <f>ROUND(AVERAGE(L21:L$28)/100,4)</f>
        <v>1.18E-2</v>
      </c>
    </row>
    <row r="22" spans="1:34">
      <c r="A22" s="1457" t="s">
        <v>150</v>
      </c>
      <c r="B22" s="1473">
        <f t="shared" ref="B22:C24" si="111">B21/(1+N21)</f>
        <v>327.65915576109415</v>
      </c>
      <c r="C22" s="1473">
        <f t="shared" si="111"/>
        <v>273.95905449510434</v>
      </c>
      <c r="D22" s="1473">
        <f t="shared" si="108"/>
        <v>273.95905449510434</v>
      </c>
      <c r="E22" s="1473">
        <f t="shared" ref="E22:F24" si="112">E21/(1+P21)</f>
        <v>451.01699911565294</v>
      </c>
      <c r="F22" s="1473">
        <f t="shared" si="112"/>
        <v>244.38119540681129</v>
      </c>
      <c r="G22" s="3405"/>
      <c r="H22" s="1483">
        <v>3</v>
      </c>
      <c r="I22" s="1483">
        <v>1.65</v>
      </c>
      <c r="J22" s="1483">
        <v>0.92</v>
      </c>
      <c r="K22" s="1483">
        <v>1.88</v>
      </c>
      <c r="L22" s="1484">
        <v>1.26</v>
      </c>
      <c r="N22" s="1468">
        <f t="shared" si="110"/>
        <v>1.6500000000000001E-2</v>
      </c>
      <c r="O22" s="1485">
        <f t="shared" si="105"/>
        <v>9.1999999999999998E-3</v>
      </c>
      <c r="P22" s="1485">
        <f t="shared" si="105"/>
        <v>1.8799999999999997E-2</v>
      </c>
      <c r="Q22" s="1485">
        <f t="shared" si="105"/>
        <v>1.26E-2</v>
      </c>
      <c r="R22" s="1470"/>
      <c r="S22" s="1468"/>
      <c r="T22" s="1469"/>
      <c r="U22" s="1469"/>
      <c r="V22" s="1469"/>
      <c r="X22" s="1455">
        <f>ROUND(SUMPRODUCT(PRODUCT(1+N22:N$27)),4)</f>
        <v>1.0651999999999999</v>
      </c>
      <c r="Y22" s="1455">
        <f>ROUND(SUMPRODUCT(PRODUCT(1+O22:O$27)),4)</f>
        <v>1.0621</v>
      </c>
      <c r="Z22" s="1455">
        <f t="shared" si="0"/>
        <v>1.0621</v>
      </c>
      <c r="AA22" s="1455">
        <f>ROUND(SUMPRODUCT(PRODUCT(1+P22:P$27)),4)</f>
        <v>1.0668</v>
      </c>
      <c r="AB22" s="1455">
        <f>ROUND(SUMPRODUCT(PRODUCT(1+Q22:Q$27)),4)</f>
        <v>1.0636000000000001</v>
      </c>
      <c r="AD22" s="1456">
        <f>ROUND(AVERAGE(I22:I$28)/100,4)</f>
        <v>1.3299999999999999E-2</v>
      </c>
      <c r="AE22" s="1456">
        <f>ROUND(AVERAGE(J22:J$28)/100,4)</f>
        <v>1.2E-2</v>
      </c>
      <c r="AF22" s="1456">
        <f t="shared" si="1"/>
        <v>1.2E-2</v>
      </c>
      <c r="AG22" s="1456">
        <f>ROUND(AVERAGE(K22:K$28)/100,4)</f>
        <v>1.4E-2</v>
      </c>
      <c r="AH22" s="1456">
        <f>ROUND(AVERAGE(L22:L$28)/100,4)</f>
        <v>1.0800000000000001E-2</v>
      </c>
    </row>
    <row r="23" spans="1:34">
      <c r="A23" s="1457" t="s">
        <v>149</v>
      </c>
      <c r="B23" s="1473">
        <f t="shared" si="111"/>
        <v>322.34053690220776</v>
      </c>
      <c r="C23" s="1473">
        <f t="shared" si="111"/>
        <v>271.46160770422546</v>
      </c>
      <c r="D23" s="1473">
        <f t="shared" si="108"/>
        <v>271.46160770422546</v>
      </c>
      <c r="E23" s="1473">
        <f t="shared" si="112"/>
        <v>442.69434542172456</v>
      </c>
      <c r="F23" s="1473">
        <f t="shared" si="112"/>
        <v>241.34030753190925</v>
      </c>
      <c r="G23" s="3405"/>
      <c r="H23" s="1461">
        <v>2</v>
      </c>
      <c r="I23" s="1461">
        <v>0.77</v>
      </c>
      <c r="J23" s="1461">
        <v>0.69</v>
      </c>
      <c r="K23" s="1461">
        <v>0.8</v>
      </c>
      <c r="L23" s="1475">
        <v>0.88</v>
      </c>
      <c r="N23" s="1468">
        <f t="shared" si="110"/>
        <v>7.7000000000000002E-3</v>
      </c>
      <c r="O23" s="1485">
        <f t="shared" si="105"/>
        <v>6.8999999999999999E-3</v>
      </c>
      <c r="P23" s="1485">
        <f t="shared" si="105"/>
        <v>8.0000000000000002E-3</v>
      </c>
      <c r="Q23" s="1485">
        <f t="shared" si="105"/>
        <v>8.8000000000000005E-3</v>
      </c>
      <c r="R23" s="1470"/>
      <c r="S23" s="1468"/>
      <c r="T23" s="1469"/>
      <c r="U23" s="1469"/>
      <c r="V23" s="1469"/>
      <c r="X23" s="1455">
        <f>ROUND(SUMPRODUCT(PRODUCT(1+N23:N$27)),4)</f>
        <v>1.048</v>
      </c>
      <c r="Y23" s="1455">
        <f>ROUND(SUMPRODUCT(PRODUCT(1+O23:O$27)),4)</f>
        <v>1.0524</v>
      </c>
      <c r="Z23" s="1455">
        <f t="shared" si="0"/>
        <v>1.0524</v>
      </c>
      <c r="AA23" s="1455">
        <f>ROUND(SUMPRODUCT(PRODUCT(1+P23:P$27)),4)</f>
        <v>1.0470999999999999</v>
      </c>
      <c r="AB23" s="1455">
        <f>ROUND(SUMPRODUCT(PRODUCT(1+Q23:Q$27)),4)</f>
        <v>1.0504</v>
      </c>
      <c r="AD23" s="1456">
        <f>ROUND(AVERAGE(I23:I$28)/100,4)</f>
        <v>1.2800000000000001E-2</v>
      </c>
      <c r="AE23" s="1456">
        <f>ROUND(AVERAGE(J23:J$28)/100,4)</f>
        <v>1.2500000000000001E-2</v>
      </c>
      <c r="AF23" s="1456">
        <f t="shared" si="1"/>
        <v>1.2500000000000001E-2</v>
      </c>
      <c r="AG23" s="1456">
        <f>ROUND(AVERAGE(K23:K$28)/100,4)</f>
        <v>1.32E-2</v>
      </c>
      <c r="AH23" s="1456">
        <f>ROUND(AVERAGE(L23:L$28)/100,4)</f>
        <v>1.0500000000000001E-2</v>
      </c>
    </row>
    <row r="24" spans="1:34">
      <c r="A24" s="1457" t="s">
        <v>148</v>
      </c>
      <c r="B24" s="1473">
        <f t="shared" si="111"/>
        <v>319.87748030386797</v>
      </c>
      <c r="C24" s="1473">
        <f t="shared" si="111"/>
        <v>269.60135833173649</v>
      </c>
      <c r="D24" s="1473">
        <f t="shared" si="108"/>
        <v>269.60135833173649</v>
      </c>
      <c r="E24" s="1473">
        <f t="shared" si="112"/>
        <v>439.18089823583784</v>
      </c>
      <c r="F24" s="1473">
        <f t="shared" si="112"/>
        <v>239.23503918706311</v>
      </c>
      <c r="G24" s="3406"/>
      <c r="H24" s="1460">
        <v>1</v>
      </c>
      <c r="I24" s="1460">
        <v>0.51</v>
      </c>
      <c r="J24" s="1460">
        <v>0.54</v>
      </c>
      <c r="K24" s="1460">
        <v>0.48</v>
      </c>
      <c r="L24" s="1474">
        <v>0.93</v>
      </c>
      <c r="N24" s="1476">
        <f t="shared" si="110"/>
        <v>5.1000000000000004E-3</v>
      </c>
      <c r="O24" s="1477">
        <f t="shared" si="105"/>
        <v>5.4000000000000003E-3</v>
      </c>
      <c r="P24" s="1477">
        <f t="shared" si="105"/>
        <v>4.7999999999999996E-3</v>
      </c>
      <c r="Q24" s="1477">
        <f t="shared" si="105"/>
        <v>9.300000000000001E-3</v>
      </c>
      <c r="R24" s="1470"/>
      <c r="S24" s="1476">
        <f>B24/B25-1</f>
        <v>5.9040261127922822E-3</v>
      </c>
      <c r="T24" s="1477">
        <f>C24/C25-1</f>
        <v>5.9752176557332781E-3</v>
      </c>
      <c r="U24" s="1477">
        <f>E24/E25-1</f>
        <v>4.9906138119859556E-3</v>
      </c>
      <c r="V24" s="1477">
        <f>F24/F25-1</f>
        <v>9.4305450930933787E-3</v>
      </c>
      <c r="X24" s="1455">
        <f>ROUND(SUMPRODUCT(PRODUCT(1+N24:N$27)),4)</f>
        <v>1.0399</v>
      </c>
      <c r="Y24" s="1455">
        <f>ROUND(SUMPRODUCT(PRODUCT(1+O24:O$27)),4)</f>
        <v>1.0451999999999999</v>
      </c>
      <c r="Z24" s="1455">
        <f t="shared" si="0"/>
        <v>1.0451999999999999</v>
      </c>
      <c r="AA24" s="1455">
        <f>ROUND(SUMPRODUCT(PRODUCT(1+P24:P$27)),4)</f>
        <v>1.0387999999999999</v>
      </c>
      <c r="AB24" s="1455">
        <f>ROUND(SUMPRODUCT(PRODUCT(1+Q24:Q$27)),4)</f>
        <v>1.0411999999999999</v>
      </c>
      <c r="AD24" s="1456">
        <f>ROUND(AVERAGE(I24:I$28)/100,4)</f>
        <v>1.38E-2</v>
      </c>
      <c r="AE24" s="1456">
        <f>ROUND(AVERAGE(J24:J$28)/100,4)</f>
        <v>1.3599999999999999E-2</v>
      </c>
      <c r="AF24" s="1456">
        <f t="shared" si="1"/>
        <v>1.3599999999999999E-2</v>
      </c>
      <c r="AG24" s="1456">
        <f>ROUND(AVERAGE(K24:K$28)/100,4)</f>
        <v>1.4200000000000001E-2</v>
      </c>
      <c r="AH24" s="1456">
        <f>ROUND(AVERAGE(L24:L$28)/100,4)</f>
        <v>1.0800000000000001E-2</v>
      </c>
    </row>
    <row r="25" spans="1:34" ht="13.5" thickBot="1">
      <c r="A25" s="1457" t="s">
        <v>147</v>
      </c>
      <c r="B25" s="1486">
        <v>318</v>
      </c>
      <c r="C25" s="1486">
        <v>268</v>
      </c>
      <c r="D25" s="1486">
        <f t="shared" si="108"/>
        <v>268</v>
      </c>
      <c r="E25" s="1486">
        <v>437</v>
      </c>
      <c r="F25" s="1487">
        <v>237</v>
      </c>
      <c r="G25" s="3404">
        <v>2014</v>
      </c>
      <c r="H25" s="1478">
        <v>4</v>
      </c>
      <c r="I25" s="1478">
        <v>0.21</v>
      </c>
      <c r="J25" s="1478">
        <v>0.41</v>
      </c>
      <c r="K25" s="1478">
        <v>0.12</v>
      </c>
      <c r="L25" s="1479">
        <v>0.89</v>
      </c>
      <c r="N25" s="1468">
        <f t="shared" si="110"/>
        <v>2.0999999999999999E-3</v>
      </c>
      <c r="O25" s="1469">
        <f t="shared" si="105"/>
        <v>4.0999999999999995E-3</v>
      </c>
      <c r="P25" s="1469">
        <f t="shared" si="105"/>
        <v>1.1999999999999999E-3</v>
      </c>
      <c r="Q25" s="1469">
        <f t="shared" si="105"/>
        <v>8.8999999999999999E-3</v>
      </c>
      <c r="R25" s="1470"/>
      <c r="S25" s="1471"/>
      <c r="T25" s="1472"/>
      <c r="U25" s="1472"/>
      <c r="V25" s="1472"/>
      <c r="X25" s="1455">
        <f>ROUND(SUMPRODUCT(PRODUCT(1+N25:N$27)),4)</f>
        <v>1.0347</v>
      </c>
      <c r="Y25" s="1455">
        <f>ROUND(SUMPRODUCT(PRODUCT(1+O25:O$27)),4)</f>
        <v>1.0395000000000001</v>
      </c>
      <c r="Z25" s="1455">
        <f t="shared" si="0"/>
        <v>1.0395000000000001</v>
      </c>
      <c r="AA25" s="1455">
        <f>ROUND(SUMPRODUCT(PRODUCT(1+P25:P$27)),4)</f>
        <v>1.0338000000000001</v>
      </c>
      <c r="AB25" s="1455">
        <f>ROUND(SUMPRODUCT(PRODUCT(1+Q25:Q$27)),4)</f>
        <v>1.0316000000000001</v>
      </c>
      <c r="AD25" s="1456">
        <f>ROUND(AVERAGE(I25:I$28)/100,4)</f>
        <v>1.6E-2</v>
      </c>
      <c r="AE25" s="1456">
        <f>ROUND(AVERAGE(J25:J$28)/100,4)</f>
        <v>1.5599999999999999E-2</v>
      </c>
      <c r="AF25" s="1456">
        <f t="shared" si="1"/>
        <v>1.5599999999999999E-2</v>
      </c>
      <c r="AG25" s="1456">
        <f>ROUND(AVERAGE(K25:K$28)/100,4)</f>
        <v>1.66E-2</v>
      </c>
      <c r="AH25" s="1456">
        <f>ROUND(AVERAGE(L25:L$28)/100,4)</f>
        <v>1.12E-2</v>
      </c>
    </row>
    <row r="26" spans="1:34">
      <c r="A26" s="1457" t="s">
        <v>146</v>
      </c>
      <c r="B26" s="1473">
        <f t="shared" ref="B26:C28" si="113">B25/(1+N25)</f>
        <v>317.33359944117353</v>
      </c>
      <c r="C26" s="1473">
        <f t="shared" si="113"/>
        <v>266.90568668459315</v>
      </c>
      <c r="D26" s="1473">
        <f t="shared" si="108"/>
        <v>266.90568668459315</v>
      </c>
      <c r="E26" s="1473">
        <f t="shared" ref="E26:F28" si="114">E25/(1+P25)</f>
        <v>436.47622852576905</v>
      </c>
      <c r="F26" s="1473">
        <f t="shared" si="114"/>
        <v>234.90930716622066</v>
      </c>
      <c r="G26" s="3405"/>
      <c r="H26" s="1488">
        <v>3</v>
      </c>
      <c r="I26" s="1488">
        <v>0.83</v>
      </c>
      <c r="J26" s="1488">
        <v>1.47</v>
      </c>
      <c r="K26" s="1488">
        <v>0.65</v>
      </c>
      <c r="L26" s="1489">
        <v>0.72</v>
      </c>
      <c r="N26" s="1468">
        <f t="shared" si="110"/>
        <v>8.3000000000000001E-3</v>
      </c>
      <c r="O26" s="1469">
        <f t="shared" si="105"/>
        <v>1.47E-2</v>
      </c>
      <c r="P26" s="1469">
        <f t="shared" si="105"/>
        <v>6.5000000000000006E-3</v>
      </c>
      <c r="Q26" s="1469">
        <f t="shared" si="105"/>
        <v>7.1999999999999998E-3</v>
      </c>
      <c r="R26" s="1470"/>
      <c r="S26" s="1468"/>
      <c r="T26" s="1469"/>
      <c r="U26" s="1469"/>
      <c r="V26" s="1469"/>
      <c r="X26" s="1455">
        <f>ROUND(SUMPRODUCT(PRODUCT(1+N26:N$27)),4)</f>
        <v>1.0325</v>
      </c>
      <c r="Y26" s="1455">
        <f>ROUND(SUMPRODUCT(PRODUCT(1+O26:O$27)),4)</f>
        <v>1.0353000000000001</v>
      </c>
      <c r="Z26" s="1455">
        <f t="shared" ref="Z26:Z27" si="115">Y26</f>
        <v>1.0353000000000001</v>
      </c>
      <c r="AA26" s="1455">
        <f>ROUND(SUMPRODUCT(PRODUCT(1+P26:P$27)),4)</f>
        <v>1.0326</v>
      </c>
      <c r="AB26" s="1455">
        <f>ROUND(SUMPRODUCT(PRODUCT(1+Q26:Q$27)),4)</f>
        <v>1.0225</v>
      </c>
      <c r="AD26" s="1456">
        <f>ROUND(AVERAGE(I26:I$28)/100,4)</f>
        <v>2.07E-2</v>
      </c>
      <c r="AE26" s="1456">
        <f>ROUND(AVERAGE(J26:J$28)/100,4)</f>
        <v>1.95E-2</v>
      </c>
      <c r="AF26" s="1456">
        <f t="shared" si="1"/>
        <v>1.95E-2</v>
      </c>
      <c r="AG26" s="1456">
        <f>ROUND(AVERAGE(K26:K$28)/100,4)</f>
        <v>2.1700000000000001E-2</v>
      </c>
      <c r="AH26" s="1456">
        <f>ROUND(AVERAGE(L26:L$28)/100,4)</f>
        <v>1.2E-2</v>
      </c>
    </row>
    <row r="27" spans="1:34" ht="13.5" thickBot="1">
      <c r="A27" s="1457" t="s">
        <v>145</v>
      </c>
      <c r="B27" s="1473">
        <f t="shared" si="113"/>
        <v>314.72141172386546</v>
      </c>
      <c r="C27" s="1473">
        <f t="shared" si="113"/>
        <v>263.03901319069001</v>
      </c>
      <c r="D27" s="1473">
        <f t="shared" si="108"/>
        <v>263.03901319069001</v>
      </c>
      <c r="E27" s="1473">
        <f t="shared" si="114"/>
        <v>433.65745506782821</v>
      </c>
      <c r="F27" s="1473">
        <f t="shared" si="114"/>
        <v>233.23005080045735</v>
      </c>
      <c r="G27" s="3405"/>
      <c r="H27" s="1478">
        <v>2</v>
      </c>
      <c r="I27" s="1478">
        <v>2.4</v>
      </c>
      <c r="J27" s="1478">
        <v>2.0299999999999998</v>
      </c>
      <c r="K27" s="1478">
        <v>2.59</v>
      </c>
      <c r="L27" s="1479">
        <v>1.52</v>
      </c>
      <c r="N27" s="1468">
        <f t="shared" si="110"/>
        <v>2.4E-2</v>
      </c>
      <c r="O27" s="1469">
        <f t="shared" si="105"/>
        <v>2.0299999999999999E-2</v>
      </c>
      <c r="P27" s="1469">
        <f t="shared" si="105"/>
        <v>2.5899999999999999E-2</v>
      </c>
      <c r="Q27" s="1469">
        <f t="shared" si="105"/>
        <v>1.52E-2</v>
      </c>
      <c r="R27" s="1470"/>
      <c r="S27" s="1468"/>
      <c r="T27" s="1469"/>
      <c r="U27" s="1469"/>
      <c r="V27" s="1469"/>
      <c r="X27" s="1455">
        <f>1+N27</f>
        <v>1.024</v>
      </c>
      <c r="Y27" s="1455">
        <f>1+O27</f>
        <v>1.0203</v>
      </c>
      <c r="Z27" s="1455">
        <f t="shared" si="115"/>
        <v>1.0203</v>
      </c>
      <c r="AA27" s="1455">
        <f>1+P27</f>
        <v>1.0259</v>
      </c>
      <c r="AB27" s="1455">
        <f>1+Q27</f>
        <v>1.0152000000000001</v>
      </c>
      <c r="AD27" s="1456">
        <f>ROUND(AVERAGE(I27:I$28)/100,4)</f>
        <v>2.69E-2</v>
      </c>
      <c r="AE27" s="1456">
        <f>ROUND(AVERAGE(J27:J$28)/100,4)</f>
        <v>2.1899999999999999E-2</v>
      </c>
      <c r="AF27" s="1456">
        <f t="shared" ref="AF27" si="116">AE27</f>
        <v>2.1899999999999999E-2</v>
      </c>
      <c r="AG27" s="1456">
        <f>ROUND(AVERAGE(K27:K$28)/100,4)</f>
        <v>2.9399999999999999E-2</v>
      </c>
      <c r="AH27" s="1456">
        <f>ROUND(AVERAGE(L27:L$28)/100,4)</f>
        <v>1.44E-2</v>
      </c>
    </row>
    <row r="28" spans="1:34" s="1494" customFormat="1" ht="13.5" thickBot="1">
      <c r="A28" s="1490" t="s">
        <v>144</v>
      </c>
      <c r="B28" s="1491">
        <f t="shared" si="113"/>
        <v>307.34512863658733</v>
      </c>
      <c r="C28" s="1491">
        <f t="shared" si="113"/>
        <v>257.80556031626975</v>
      </c>
      <c r="D28" s="1491">
        <f t="shared" si="108"/>
        <v>257.80556031626975</v>
      </c>
      <c r="E28" s="1491">
        <f t="shared" si="114"/>
        <v>422.70928459677179</v>
      </c>
      <c r="F28" s="1491">
        <f t="shared" si="114"/>
        <v>229.73803270336617</v>
      </c>
      <c r="G28" s="3406"/>
      <c r="H28" s="1492">
        <v>1</v>
      </c>
      <c r="I28" s="1492">
        <v>2.97</v>
      </c>
      <c r="J28" s="1492">
        <v>2.34</v>
      </c>
      <c r="K28" s="1492">
        <v>3.28</v>
      </c>
      <c r="L28" s="1493">
        <v>1.36</v>
      </c>
      <c r="N28" s="1495">
        <f t="shared" si="110"/>
        <v>2.9700000000000001E-2</v>
      </c>
      <c r="O28" s="1496">
        <f t="shared" si="105"/>
        <v>2.3399999999999997E-2</v>
      </c>
      <c r="P28" s="1496">
        <f t="shared" si="105"/>
        <v>3.2799999999999996E-2</v>
      </c>
      <c r="Q28" s="1496">
        <f t="shared" si="105"/>
        <v>1.3600000000000001E-2</v>
      </c>
      <c r="R28" s="1497"/>
      <c r="S28" s="1498">
        <f>B28/B29-1</f>
        <v>2.7910129219355539E-2</v>
      </c>
      <c r="T28" s="1499">
        <f>C28/C29-1</f>
        <v>2.3037937762975247E-2</v>
      </c>
      <c r="U28" s="1499">
        <f>E28/E29-1</f>
        <v>3.3519033243940788E-2</v>
      </c>
      <c r="V28" s="1499">
        <f>F28/F29-1</f>
        <v>1.2061818076502862E-2</v>
      </c>
      <c r="W28" s="1500" t="s">
        <v>1158</v>
      </c>
      <c r="X28" s="1501">
        <v>1</v>
      </c>
      <c r="Y28" s="1501">
        <v>1</v>
      </c>
      <c r="Z28" s="1501">
        <v>1</v>
      </c>
      <c r="AA28" s="1501">
        <v>1</v>
      </c>
      <c r="AB28" s="1501">
        <v>1</v>
      </c>
      <c r="AD28" s="1722">
        <f>I28/100</f>
        <v>2.9700000000000001E-2</v>
      </c>
      <c r="AE28" s="1722">
        <f>J28/100</f>
        <v>2.3399999999999997E-2</v>
      </c>
      <c r="AF28" s="1722">
        <f>AE28</f>
        <v>2.3399999999999997E-2</v>
      </c>
      <c r="AG28" s="1722">
        <f>K28/100</f>
        <v>3.2799999999999996E-2</v>
      </c>
      <c r="AH28" s="1722">
        <f>L28/100</f>
        <v>1.3600000000000001E-2</v>
      </c>
    </row>
    <row r="29" spans="1:34" ht="13.5" thickBot="1">
      <c r="A29" s="1457" t="s">
        <v>1159</v>
      </c>
      <c r="B29" s="1465">
        <v>299</v>
      </c>
      <c r="C29" s="1465">
        <v>252</v>
      </c>
      <c r="D29" s="1465">
        <f t="shared" si="108"/>
        <v>252</v>
      </c>
      <c r="E29" s="1465">
        <v>409</v>
      </c>
      <c r="F29" s="1466">
        <v>227</v>
      </c>
      <c r="G29" s="3409">
        <v>2013</v>
      </c>
      <c r="H29" s="1502">
        <v>4</v>
      </c>
      <c r="I29" s="1502">
        <v>1.83</v>
      </c>
      <c r="J29" s="1502">
        <v>1.68</v>
      </c>
      <c r="K29" s="1502">
        <v>1.97</v>
      </c>
      <c r="L29" s="1503">
        <v>0.87</v>
      </c>
      <c r="N29" s="1480">
        <f t="shared" si="110"/>
        <v>1.83E-2</v>
      </c>
      <c r="O29" s="1481">
        <f t="shared" si="105"/>
        <v>1.6799999999999999E-2</v>
      </c>
      <c r="P29" s="1481">
        <f t="shared" si="105"/>
        <v>1.9699999999999999E-2</v>
      </c>
      <c r="Q29" s="1481">
        <f t="shared" si="105"/>
        <v>8.6999999999999994E-3</v>
      </c>
      <c r="R29" s="1470"/>
      <c r="S29" s="1471"/>
      <c r="T29" s="1472"/>
      <c r="U29" s="1472"/>
      <c r="V29" s="1472"/>
      <c r="X29" s="1472"/>
      <c r="Y29" s="1472"/>
      <c r="Z29" s="1472"/>
    </row>
    <row r="30" spans="1:34">
      <c r="A30" s="1457" t="s">
        <v>1160</v>
      </c>
      <c r="B30" s="1473">
        <f t="shared" ref="B30:C32" si="117">B29/(1+N29)</f>
        <v>293.62663262299913</v>
      </c>
      <c r="C30" s="1473">
        <f t="shared" si="117"/>
        <v>247.83634933123525</v>
      </c>
      <c r="D30" s="1473">
        <f t="shared" si="108"/>
        <v>247.83634933123525</v>
      </c>
      <c r="E30" s="1473">
        <f t="shared" ref="E30:F32" si="118">E29/(1+P29)</f>
        <v>401.09836226341076</v>
      </c>
      <c r="F30" s="1473">
        <f t="shared" si="118"/>
        <v>225.04213343908003</v>
      </c>
      <c r="G30" s="3410"/>
      <c r="H30" s="1483">
        <v>3</v>
      </c>
      <c r="I30" s="1483">
        <v>1.86</v>
      </c>
      <c r="J30" s="1483">
        <v>1.72</v>
      </c>
      <c r="K30" s="1483">
        <v>1.98</v>
      </c>
      <c r="L30" s="1484">
        <v>0.88</v>
      </c>
      <c r="N30" s="1468">
        <f t="shared" si="110"/>
        <v>1.8600000000000002E-2</v>
      </c>
      <c r="O30" s="1485">
        <f t="shared" si="105"/>
        <v>1.72E-2</v>
      </c>
      <c r="P30" s="1485">
        <f t="shared" si="105"/>
        <v>1.9799999999999998E-2</v>
      </c>
      <c r="Q30" s="1485">
        <f t="shared" si="105"/>
        <v>8.8000000000000005E-3</v>
      </c>
      <c r="R30" s="1470"/>
      <c r="S30" s="1468"/>
      <c r="T30" s="1469"/>
      <c r="U30" s="1469"/>
      <c r="V30" s="1469"/>
    </row>
    <row r="31" spans="1:34">
      <c r="A31" s="1457" t="s">
        <v>1161</v>
      </c>
      <c r="B31" s="1473">
        <f t="shared" si="117"/>
        <v>288.2649053828776</v>
      </c>
      <c r="C31" s="1473">
        <f t="shared" si="117"/>
        <v>243.64564425013293</v>
      </c>
      <c r="D31" s="1473">
        <f t="shared" si="108"/>
        <v>243.64564425013293</v>
      </c>
      <c r="E31" s="1473">
        <f t="shared" si="118"/>
        <v>393.31080825986544</v>
      </c>
      <c r="F31" s="1473">
        <f t="shared" si="118"/>
        <v>223.07903790551154</v>
      </c>
      <c r="G31" s="3410"/>
      <c r="H31" s="1461">
        <v>2</v>
      </c>
      <c r="I31" s="1461">
        <v>2.04</v>
      </c>
      <c r="J31" s="1461">
        <v>2.33</v>
      </c>
      <c r="K31" s="1461">
        <v>2.0699999999999998</v>
      </c>
      <c r="L31" s="1475">
        <v>0.69</v>
      </c>
      <c r="N31" s="1468">
        <f t="shared" si="110"/>
        <v>2.0400000000000001E-2</v>
      </c>
      <c r="O31" s="1485">
        <f t="shared" si="105"/>
        <v>2.3300000000000001E-2</v>
      </c>
      <c r="P31" s="1485">
        <f t="shared" si="105"/>
        <v>2.07E-2</v>
      </c>
      <c r="Q31" s="1485">
        <f t="shared" si="105"/>
        <v>6.8999999999999999E-3</v>
      </c>
      <c r="R31" s="1470"/>
      <c r="S31" s="1468"/>
      <c r="T31" s="1469"/>
      <c r="U31" s="1469"/>
      <c r="V31" s="1469"/>
      <c r="X31" s="1504"/>
      <c r="Y31" s="1505"/>
    </row>
    <row r="32" spans="1:34">
      <c r="A32" s="1457" t="s">
        <v>1162</v>
      </c>
      <c r="B32" s="1473">
        <f t="shared" si="117"/>
        <v>282.50186729015837</v>
      </c>
      <c r="C32" s="1473">
        <f t="shared" si="117"/>
        <v>238.09796174155468</v>
      </c>
      <c r="D32" s="1473">
        <f t="shared" si="108"/>
        <v>238.09796174155468</v>
      </c>
      <c r="E32" s="1473">
        <f t="shared" si="118"/>
        <v>385.33438646014054</v>
      </c>
      <c r="F32" s="1473">
        <f t="shared" si="118"/>
        <v>221.55034055567739</v>
      </c>
      <c r="G32" s="3411"/>
      <c r="H32" s="1460">
        <v>1</v>
      </c>
      <c r="I32" s="1460">
        <v>1.67</v>
      </c>
      <c r="J32" s="1460">
        <v>1.31</v>
      </c>
      <c r="K32" s="1460">
        <v>1.85</v>
      </c>
      <c r="L32" s="1474">
        <v>0.96</v>
      </c>
      <c r="N32" s="1476">
        <f t="shared" si="110"/>
        <v>1.67E-2</v>
      </c>
      <c r="O32" s="1477">
        <f t="shared" si="110"/>
        <v>1.3100000000000001E-2</v>
      </c>
      <c r="P32" s="1477">
        <f t="shared" si="110"/>
        <v>1.8500000000000003E-2</v>
      </c>
      <c r="Q32" s="1477">
        <f t="shared" si="110"/>
        <v>9.5999999999999992E-3</v>
      </c>
      <c r="R32" s="1470"/>
      <c r="S32" s="1476">
        <f>B32/B33-1</f>
        <v>1.6193767230785472E-2</v>
      </c>
      <c r="T32" s="1477">
        <f>C32/C33-1</f>
        <v>1.7512657015190891E-2</v>
      </c>
      <c r="U32" s="1477">
        <f>E32/E33-1</f>
        <v>1.6713420739157048E-2</v>
      </c>
      <c r="V32" s="1477">
        <f>F32/F33-1</f>
        <v>7.0470025258062563E-3</v>
      </c>
      <c r="X32" s="1506"/>
      <c r="Y32" s="1456"/>
      <c r="Z32" s="1456"/>
    </row>
    <row r="33" spans="1:26" ht="13.5" thickBot="1">
      <c r="A33" s="1457" t="s">
        <v>1163</v>
      </c>
      <c r="B33" s="1507">
        <v>278</v>
      </c>
      <c r="C33" s="1507">
        <v>234</v>
      </c>
      <c r="D33" s="1507">
        <f t="shared" si="108"/>
        <v>234</v>
      </c>
      <c r="E33" s="1507">
        <v>379</v>
      </c>
      <c r="F33" s="1508">
        <v>220</v>
      </c>
      <c r="G33" s="3404">
        <v>2012</v>
      </c>
      <c r="H33" s="1478">
        <v>4</v>
      </c>
      <c r="I33" s="1478">
        <v>0.91</v>
      </c>
      <c r="J33" s="1478">
        <v>0.68</v>
      </c>
      <c r="K33" s="1478">
        <v>0.98</v>
      </c>
      <c r="L33" s="1479">
        <v>0.9</v>
      </c>
      <c r="N33" s="1468">
        <f t="shared" si="110"/>
        <v>9.1000000000000004E-3</v>
      </c>
      <c r="O33" s="1469">
        <f t="shared" si="110"/>
        <v>6.8000000000000005E-3</v>
      </c>
      <c r="P33" s="1469">
        <f t="shared" si="110"/>
        <v>9.7999999999999997E-3</v>
      </c>
      <c r="Q33" s="1469">
        <f t="shared" si="110"/>
        <v>9.0000000000000011E-3</v>
      </c>
      <c r="R33" s="1470"/>
      <c r="S33" s="1471"/>
      <c r="T33" s="1472"/>
      <c r="U33" s="1472"/>
      <c r="V33" s="1472"/>
      <c r="X33" s="1472"/>
      <c r="Y33" s="1472"/>
      <c r="Z33" s="1472"/>
    </row>
    <row r="34" spans="1:26">
      <c r="A34" s="1457" t="s">
        <v>1164</v>
      </c>
      <c r="B34" s="1473">
        <f>B33/(1+N33)</f>
        <v>275.49301357645425</v>
      </c>
      <c r="C34" s="1473">
        <f>C33/(1+O33)</f>
        <v>232.41954707985698</v>
      </c>
      <c r="D34" s="1473">
        <f t="shared" si="108"/>
        <v>232.41954707985698</v>
      </c>
      <c r="E34" s="1473">
        <f t="shared" ref="E34:F36" si="119">E33/(1+P33)</f>
        <v>375.32184591008121</v>
      </c>
      <c r="F34" s="1473">
        <f t="shared" si="119"/>
        <v>218.03766105054513</v>
      </c>
      <c r="G34" s="3405"/>
      <c r="H34" s="1483">
        <v>3</v>
      </c>
      <c r="I34" s="1483">
        <v>0.09</v>
      </c>
      <c r="J34" s="1483">
        <v>0.28999999999999998</v>
      </c>
      <c r="K34" s="1483">
        <v>-0.01</v>
      </c>
      <c r="L34" s="1484">
        <v>0.57999999999999996</v>
      </c>
      <c r="N34" s="1468">
        <f t="shared" si="110"/>
        <v>8.9999999999999998E-4</v>
      </c>
      <c r="O34" s="1469">
        <f t="shared" si="110"/>
        <v>2.8999999999999998E-3</v>
      </c>
      <c r="P34" s="1469">
        <f t="shared" si="110"/>
        <v>-1E-4</v>
      </c>
      <c r="Q34" s="1469">
        <f t="shared" si="110"/>
        <v>5.7999999999999996E-3</v>
      </c>
      <c r="R34" s="1470"/>
      <c r="S34" s="1468"/>
      <c r="T34" s="1469"/>
      <c r="U34" s="1469"/>
      <c r="V34" s="1469"/>
    </row>
    <row r="35" spans="1:26">
      <c r="A35" s="1457" t="s">
        <v>1165</v>
      </c>
      <c r="B35" s="1473">
        <f>B34/(1+N34)</f>
        <v>275.24529281292263</v>
      </c>
      <c r="C35" s="1473">
        <f>C34/(1+O34)</f>
        <v>231.74747938962707</v>
      </c>
      <c r="D35" s="1473">
        <f t="shared" si="108"/>
        <v>231.74747938962707</v>
      </c>
      <c r="E35" s="1473">
        <f t="shared" si="119"/>
        <v>375.35938184826603</v>
      </c>
      <c r="F35" s="1473">
        <f t="shared" si="119"/>
        <v>216.78033510692495</v>
      </c>
      <c r="G35" s="3405"/>
      <c r="H35" s="1461">
        <v>2</v>
      </c>
      <c r="I35" s="1461">
        <v>0.02</v>
      </c>
      <c r="J35" s="1461">
        <v>0.12</v>
      </c>
      <c r="K35" s="1461">
        <v>-0.08</v>
      </c>
      <c r="L35" s="1475">
        <v>1.24</v>
      </c>
      <c r="N35" s="1468">
        <f t="shared" si="110"/>
        <v>2.0000000000000001E-4</v>
      </c>
      <c r="O35" s="1469">
        <f t="shared" si="110"/>
        <v>1.1999999999999999E-3</v>
      </c>
      <c r="P35" s="1469">
        <f t="shared" si="110"/>
        <v>-8.0000000000000004E-4</v>
      </c>
      <c r="Q35" s="1469">
        <f t="shared" si="110"/>
        <v>1.24E-2</v>
      </c>
      <c r="R35" s="1470"/>
      <c r="S35" s="1468"/>
      <c r="T35" s="1469"/>
      <c r="U35" s="1469"/>
      <c r="V35" s="1469"/>
    </row>
    <row r="36" spans="1:26" ht="13.5" thickBot="1">
      <c r="A36" s="1457" t="s">
        <v>1166</v>
      </c>
      <c r="B36" s="1473">
        <f>B35/(1+N35)</f>
        <v>275.19025476197027</v>
      </c>
      <c r="C36" s="1509">
        <v>232</v>
      </c>
      <c r="D36" s="1509">
        <f t="shared" si="108"/>
        <v>232</v>
      </c>
      <c r="E36" s="1473">
        <f t="shared" si="119"/>
        <v>375.65990977608692</v>
      </c>
      <c r="F36" s="1473">
        <f t="shared" si="119"/>
        <v>214.12518283971252</v>
      </c>
      <c r="G36" s="3406"/>
      <c r="H36" s="1460">
        <v>1</v>
      </c>
      <c r="I36" s="1460">
        <v>0.02</v>
      </c>
      <c r="J36" s="1460">
        <v>0.13</v>
      </c>
      <c r="K36" s="1460">
        <v>-0.04</v>
      </c>
      <c r="L36" s="1474">
        <v>0.46</v>
      </c>
      <c r="N36" s="1468">
        <f t="shared" si="110"/>
        <v>2.0000000000000001E-4</v>
      </c>
      <c r="O36" s="1469">
        <f t="shared" si="110"/>
        <v>1.2999999999999999E-3</v>
      </c>
      <c r="P36" s="1469">
        <f t="shared" si="110"/>
        <v>-4.0000000000000002E-4</v>
      </c>
      <c r="Q36" s="1469">
        <f t="shared" si="110"/>
        <v>4.5999999999999999E-3</v>
      </c>
      <c r="R36" s="1470"/>
      <c r="S36" s="1476">
        <f>B36/B37-1</f>
        <v>6.9183549807361189E-4</v>
      </c>
      <c r="T36" s="1477">
        <f>C36/C37-1</f>
        <v>0</v>
      </c>
      <c r="U36" s="1477">
        <f>E36/E37-1</f>
        <v>-9.0449527636460303E-4</v>
      </c>
      <c r="V36" s="1477">
        <f>F36/F37-1</f>
        <v>5.2825485432512753E-3</v>
      </c>
      <c r="X36" s="1456"/>
      <c r="Y36" s="1456"/>
      <c r="Z36" s="1456"/>
    </row>
    <row r="37" spans="1:26" ht="13.5" thickBot="1">
      <c r="A37" s="1457" t="s">
        <v>1167</v>
      </c>
      <c r="B37" s="1465">
        <v>275</v>
      </c>
      <c r="C37" s="1465">
        <v>232</v>
      </c>
      <c r="D37" s="1465">
        <f t="shared" si="108"/>
        <v>232</v>
      </c>
      <c r="E37" s="1465">
        <v>376</v>
      </c>
      <c r="F37" s="1466">
        <v>213</v>
      </c>
      <c r="G37" s="3404">
        <v>2011</v>
      </c>
      <c r="H37" s="1478">
        <v>4</v>
      </c>
      <c r="I37" s="1478">
        <v>-0.2</v>
      </c>
      <c r="J37" s="1478">
        <v>0.04</v>
      </c>
      <c r="K37" s="1478">
        <v>-0.34</v>
      </c>
      <c r="L37" s="1479">
        <v>0.46</v>
      </c>
      <c r="N37" s="1480">
        <f t="shared" si="110"/>
        <v>-2E-3</v>
      </c>
      <c r="O37" s="1481">
        <f t="shared" si="110"/>
        <v>4.0000000000000002E-4</v>
      </c>
      <c r="P37" s="1481">
        <f t="shared" si="110"/>
        <v>-3.4000000000000002E-3</v>
      </c>
      <c r="Q37" s="1481">
        <f t="shared" si="110"/>
        <v>4.5999999999999999E-3</v>
      </c>
      <c r="R37" s="1470"/>
      <c r="S37" s="1471"/>
      <c r="T37" s="1472"/>
      <c r="U37" s="1472"/>
      <c r="V37" s="1472"/>
      <c r="X37" s="1472"/>
      <c r="Y37" s="1472"/>
      <c r="Z37" s="1472"/>
    </row>
    <row r="38" spans="1:26">
      <c r="A38" s="1457" t="s">
        <v>1168</v>
      </c>
      <c r="B38" s="1473">
        <f t="shared" ref="B38:C40" si="120">B37/(1+N37)</f>
        <v>275.55110220440883</v>
      </c>
      <c r="C38" s="1473">
        <f t="shared" si="120"/>
        <v>231.90723710515795</v>
      </c>
      <c r="D38" s="1473">
        <f t="shared" si="108"/>
        <v>231.90723710515795</v>
      </c>
      <c r="E38" s="1473">
        <f t="shared" ref="E38:F40" si="121">E37/(1+P37)</f>
        <v>377.28276138872161</v>
      </c>
      <c r="F38" s="1473">
        <f t="shared" si="121"/>
        <v>212.02468644236512</v>
      </c>
      <c r="G38" s="3405">
        <v>2011</v>
      </c>
      <c r="H38" s="1483">
        <v>3</v>
      </c>
      <c r="I38" s="1483">
        <v>0.13</v>
      </c>
      <c r="J38" s="1483">
        <v>0.75</v>
      </c>
      <c r="K38" s="1483">
        <v>-0.08</v>
      </c>
      <c r="L38" s="1484">
        <v>0.53</v>
      </c>
      <c r="N38" s="1468">
        <f t="shared" si="110"/>
        <v>1.2999999999999999E-3</v>
      </c>
      <c r="O38" s="1485">
        <f t="shared" si="110"/>
        <v>7.4999999999999997E-3</v>
      </c>
      <c r="P38" s="1485">
        <f t="shared" si="110"/>
        <v>-8.0000000000000004E-4</v>
      </c>
      <c r="Q38" s="1485">
        <f t="shared" si="110"/>
        <v>5.3E-3</v>
      </c>
      <c r="R38" s="1470"/>
      <c r="S38" s="1468"/>
      <c r="T38" s="1469"/>
      <c r="U38" s="1469"/>
      <c r="V38" s="1469"/>
    </row>
    <row r="39" spans="1:26">
      <c r="A39" s="1457" t="s">
        <v>1169</v>
      </c>
      <c r="B39" s="1473">
        <f t="shared" si="120"/>
        <v>275.19335084830601</v>
      </c>
      <c r="C39" s="1473">
        <f t="shared" si="120"/>
        <v>230.18088050139744</v>
      </c>
      <c r="D39" s="1473">
        <f t="shared" si="108"/>
        <v>230.18088050139744</v>
      </c>
      <c r="E39" s="1473">
        <f t="shared" si="121"/>
        <v>377.58482925212331</v>
      </c>
      <c r="F39" s="1473">
        <f t="shared" si="121"/>
        <v>210.90687997847917</v>
      </c>
      <c r="G39" s="3405">
        <v>2011</v>
      </c>
      <c r="H39" s="1461">
        <v>2</v>
      </c>
      <c r="I39" s="1461">
        <v>-0.4</v>
      </c>
      <c r="J39" s="1461">
        <v>0.17</v>
      </c>
      <c r="K39" s="1461">
        <v>-0.57999999999999996</v>
      </c>
      <c r="L39" s="1475">
        <v>-0.2</v>
      </c>
      <c r="N39" s="1468">
        <f t="shared" si="110"/>
        <v>-4.0000000000000001E-3</v>
      </c>
      <c r="O39" s="1485">
        <f t="shared" si="110"/>
        <v>1.7000000000000001E-3</v>
      </c>
      <c r="P39" s="1485">
        <f t="shared" si="110"/>
        <v>-5.7999999999999996E-3</v>
      </c>
      <c r="Q39" s="1485">
        <f t="shared" si="110"/>
        <v>-2E-3</v>
      </c>
      <c r="R39" s="1470"/>
      <c r="S39" s="1468"/>
      <c r="T39" s="1469"/>
      <c r="U39" s="1469"/>
      <c r="V39" s="1469"/>
    </row>
    <row r="40" spans="1:26" ht="13.5" thickBot="1">
      <c r="A40" s="1457" t="s">
        <v>1170</v>
      </c>
      <c r="B40" s="1473">
        <f t="shared" si="120"/>
        <v>276.29854502841971</v>
      </c>
      <c r="C40" s="1473">
        <f t="shared" si="120"/>
        <v>229.79023709833027</v>
      </c>
      <c r="D40" s="1473">
        <f t="shared" si="108"/>
        <v>229.79023709833027</v>
      </c>
      <c r="E40" s="1473">
        <f t="shared" si="121"/>
        <v>379.78759731655936</v>
      </c>
      <c r="F40" s="1473">
        <f t="shared" si="121"/>
        <v>211.32953905659235</v>
      </c>
      <c r="G40" s="3406">
        <v>2011</v>
      </c>
      <c r="H40" s="1460">
        <v>1</v>
      </c>
      <c r="I40" s="1460">
        <v>2.65</v>
      </c>
      <c r="J40" s="1460">
        <v>3.76</v>
      </c>
      <c r="K40" s="1460">
        <v>1.89</v>
      </c>
      <c r="L40" s="1474">
        <v>7.95</v>
      </c>
      <c r="N40" s="1476">
        <f t="shared" si="110"/>
        <v>2.6499999999999999E-2</v>
      </c>
      <c r="O40" s="1477">
        <f t="shared" si="110"/>
        <v>3.7599999999999995E-2</v>
      </c>
      <c r="P40" s="1477">
        <f t="shared" si="110"/>
        <v>1.89E-2</v>
      </c>
      <c r="Q40" s="1477">
        <f t="shared" si="110"/>
        <v>7.9500000000000001E-2</v>
      </c>
      <c r="R40" s="1470"/>
      <c r="S40" s="1476">
        <f>B40/B41-1</f>
        <v>2.713213765211786E-2</v>
      </c>
      <c r="T40" s="1477">
        <f>C40/C41-1</f>
        <v>3.9774828499231862E-2</v>
      </c>
      <c r="U40" s="1477">
        <f>E40/E41-1</f>
        <v>1.8197311840641772E-2</v>
      </c>
      <c r="V40" s="1477">
        <f>F40/F41-1</f>
        <v>7.8211933962205826E-2</v>
      </c>
      <c r="X40" s="1456"/>
      <c r="Y40" s="1456"/>
      <c r="Z40" s="1456"/>
    </row>
    <row r="41" spans="1:26" ht="13.5" thickBot="1">
      <c r="A41" s="1457" t="s">
        <v>1171</v>
      </c>
      <c r="B41" s="1465">
        <v>269</v>
      </c>
      <c r="C41" s="1465">
        <v>221</v>
      </c>
      <c r="D41" s="1465">
        <f t="shared" si="108"/>
        <v>221</v>
      </c>
      <c r="E41" s="1465">
        <v>373</v>
      </c>
      <c r="F41" s="1466">
        <v>196</v>
      </c>
      <c r="G41" s="3404">
        <v>2010</v>
      </c>
      <c r="H41" s="1478">
        <v>4</v>
      </c>
      <c r="I41" s="1478">
        <v>5.72</v>
      </c>
      <c r="J41" s="1478">
        <v>6.57</v>
      </c>
      <c r="K41" s="1478">
        <v>5.72</v>
      </c>
      <c r="L41" s="1479">
        <v>2.72</v>
      </c>
      <c r="N41" s="1468">
        <f t="shared" si="110"/>
        <v>5.7200000000000001E-2</v>
      </c>
      <c r="O41" s="1469">
        <f t="shared" si="110"/>
        <v>6.5700000000000008E-2</v>
      </c>
      <c r="P41" s="1469">
        <f t="shared" si="110"/>
        <v>5.7200000000000001E-2</v>
      </c>
      <c r="Q41" s="1469">
        <f t="shared" si="110"/>
        <v>2.7200000000000002E-2</v>
      </c>
      <c r="R41" s="1470"/>
      <c r="S41" s="1471"/>
      <c r="T41" s="1472"/>
      <c r="U41" s="1472"/>
      <c r="V41" s="1472"/>
      <c r="X41" s="1472"/>
      <c r="Y41" s="1472"/>
      <c r="Z41" s="1472"/>
    </row>
    <row r="42" spans="1:26">
      <c r="A42" s="1457" t="s">
        <v>1172</v>
      </c>
      <c r="B42" s="1473">
        <f t="shared" ref="B42:C44" si="122">B41/(1+N41)</f>
        <v>254.44570563753314</v>
      </c>
      <c r="C42" s="1473">
        <f t="shared" si="122"/>
        <v>207.37543398705074</v>
      </c>
      <c r="D42" s="1473">
        <f t="shared" si="108"/>
        <v>207.37543398705074</v>
      </c>
      <c r="E42" s="1473">
        <f t="shared" ref="E42:F44" si="123">E41/(1+P41)</f>
        <v>352.81876655315932</v>
      </c>
      <c r="F42" s="1473">
        <f t="shared" si="123"/>
        <v>190.809968847352</v>
      </c>
      <c r="G42" s="3405">
        <v>2010</v>
      </c>
      <c r="H42" s="1483">
        <v>3</v>
      </c>
      <c r="I42" s="1483">
        <v>4.7300000000000004</v>
      </c>
      <c r="J42" s="1483">
        <v>3.9</v>
      </c>
      <c r="K42" s="1483">
        <v>5.03</v>
      </c>
      <c r="L42" s="1484">
        <v>4.21</v>
      </c>
      <c r="N42" s="1468">
        <f t="shared" si="110"/>
        <v>4.7300000000000002E-2</v>
      </c>
      <c r="O42" s="1469">
        <f t="shared" si="110"/>
        <v>3.9E-2</v>
      </c>
      <c r="P42" s="1469">
        <f t="shared" si="110"/>
        <v>5.0300000000000004E-2</v>
      </c>
      <c r="Q42" s="1469">
        <f t="shared" si="110"/>
        <v>4.2099999999999999E-2</v>
      </c>
      <c r="R42" s="1470"/>
      <c r="S42" s="1468"/>
      <c r="T42" s="1469"/>
      <c r="U42" s="1469"/>
      <c r="V42" s="1469"/>
    </row>
    <row r="43" spans="1:26">
      <c r="A43" s="1457" t="s">
        <v>1173</v>
      </c>
      <c r="B43" s="1473">
        <f t="shared" si="122"/>
        <v>242.95398227588385</v>
      </c>
      <c r="C43" s="1473">
        <f t="shared" si="122"/>
        <v>199.59137053614126</v>
      </c>
      <c r="D43" s="1473">
        <f t="shared" si="108"/>
        <v>199.59137053614126</v>
      </c>
      <c r="E43" s="1473">
        <f t="shared" si="123"/>
        <v>335.92189522342125</v>
      </c>
      <c r="F43" s="1473">
        <f t="shared" si="123"/>
        <v>183.10139991109489</v>
      </c>
      <c r="G43" s="3405">
        <v>2010</v>
      </c>
      <c r="H43" s="1461">
        <v>2</v>
      </c>
      <c r="I43" s="1461">
        <v>4.6900000000000004</v>
      </c>
      <c r="J43" s="1461">
        <v>3.55</v>
      </c>
      <c r="K43" s="1461">
        <v>5.07</v>
      </c>
      <c r="L43" s="1475">
        <v>4.2300000000000004</v>
      </c>
      <c r="N43" s="1468">
        <f t="shared" si="110"/>
        <v>4.6900000000000004E-2</v>
      </c>
      <c r="O43" s="1469">
        <f t="shared" si="110"/>
        <v>3.5499999999999997E-2</v>
      </c>
      <c r="P43" s="1469">
        <f t="shared" si="110"/>
        <v>5.0700000000000002E-2</v>
      </c>
      <c r="Q43" s="1469">
        <f t="shared" si="110"/>
        <v>4.2300000000000004E-2</v>
      </c>
      <c r="R43" s="1470"/>
      <c r="S43" s="1468"/>
      <c r="T43" s="1469"/>
      <c r="U43" s="1469"/>
      <c r="V43" s="1469"/>
    </row>
    <row r="44" spans="1:26" ht="13.5" thickBot="1">
      <c r="A44" s="1457" t="s">
        <v>1174</v>
      </c>
      <c r="B44" s="1473">
        <f t="shared" si="122"/>
        <v>232.06990378821649</v>
      </c>
      <c r="C44" s="1473">
        <f t="shared" si="122"/>
        <v>192.74878854286936</v>
      </c>
      <c r="D44" s="1473">
        <f t="shared" si="108"/>
        <v>192.74878854286936</v>
      </c>
      <c r="E44" s="1473">
        <f t="shared" si="123"/>
        <v>319.71247284992984</v>
      </c>
      <c r="F44" s="1473">
        <f t="shared" si="123"/>
        <v>175.67053622862409</v>
      </c>
      <c r="G44" s="3406">
        <v>2010</v>
      </c>
      <c r="H44" s="1460">
        <v>1</v>
      </c>
      <c r="I44" s="1460">
        <v>5.4</v>
      </c>
      <c r="J44" s="1460">
        <v>3.2</v>
      </c>
      <c r="K44" s="1460">
        <v>6.16</v>
      </c>
      <c r="L44" s="1474">
        <v>4.51</v>
      </c>
      <c r="N44" s="1468">
        <f t="shared" si="110"/>
        <v>5.4000000000000006E-2</v>
      </c>
      <c r="O44" s="1469">
        <f t="shared" si="110"/>
        <v>3.2000000000000001E-2</v>
      </c>
      <c r="P44" s="1469">
        <f t="shared" si="110"/>
        <v>6.1600000000000002E-2</v>
      </c>
      <c r="Q44" s="1469">
        <f t="shared" si="110"/>
        <v>4.5100000000000001E-2</v>
      </c>
      <c r="R44" s="1470"/>
      <c r="S44" s="1476">
        <f>B44/B45-1</f>
        <v>5.4863199037347599E-2</v>
      </c>
      <c r="T44" s="1477">
        <f>C44/C45-1</f>
        <v>3.0742184721226584E-2</v>
      </c>
      <c r="U44" s="1477">
        <f>E44/E45-1</f>
        <v>6.2167683886810154E-2</v>
      </c>
      <c r="V44" s="1477">
        <f>F44/F45-1</f>
        <v>4.5657953741810031E-2</v>
      </c>
      <c r="X44" s="1456"/>
      <c r="Y44" s="1456"/>
      <c r="Z44" s="1456"/>
    </row>
    <row r="45" spans="1:26" ht="13.5" thickBot="1">
      <c r="A45" s="1457" t="s">
        <v>1175</v>
      </c>
      <c r="B45" s="1465">
        <v>220</v>
      </c>
      <c r="C45" s="1465">
        <v>187</v>
      </c>
      <c r="D45" s="1465">
        <f t="shared" si="108"/>
        <v>187</v>
      </c>
      <c r="E45" s="1465">
        <v>301</v>
      </c>
      <c r="F45" s="1466">
        <v>168</v>
      </c>
      <c r="G45" s="3404">
        <v>2009</v>
      </c>
      <c r="H45" s="1478">
        <v>4</v>
      </c>
      <c r="I45" s="1478">
        <v>2.2999999999999998</v>
      </c>
      <c r="J45" s="1478">
        <v>1.04</v>
      </c>
      <c r="K45" s="1478">
        <v>2.84</v>
      </c>
      <c r="L45" s="1479">
        <v>0.67</v>
      </c>
      <c r="N45" s="1480">
        <f t="shared" si="110"/>
        <v>2.3E-2</v>
      </c>
      <c r="O45" s="1481">
        <f t="shared" si="110"/>
        <v>1.04E-2</v>
      </c>
      <c r="P45" s="1481">
        <f t="shared" si="110"/>
        <v>2.8399999999999998E-2</v>
      </c>
      <c r="Q45" s="1481">
        <f t="shared" si="110"/>
        <v>6.7000000000000002E-3</v>
      </c>
      <c r="R45" s="1470"/>
      <c r="S45" s="1471"/>
      <c r="T45" s="1472"/>
      <c r="U45" s="1472"/>
      <c r="V45" s="1472"/>
      <c r="X45" s="1472"/>
      <c r="Y45" s="1472"/>
      <c r="Z45" s="1472"/>
    </row>
    <row r="46" spans="1:26">
      <c r="A46" s="1457" t="s">
        <v>1176</v>
      </c>
      <c r="B46" s="1473">
        <f t="shared" ref="B46:C48" si="124">B45/(1+N45)</f>
        <v>215.05376344086022</v>
      </c>
      <c r="C46" s="1473">
        <f t="shared" si="124"/>
        <v>185.0752177355503</v>
      </c>
      <c r="D46" s="1473">
        <f t="shared" si="108"/>
        <v>185.0752177355503</v>
      </c>
      <c r="E46" s="1473">
        <f t="shared" ref="E46:F48" si="125">E45/(1+P45)</f>
        <v>292.68767016725008</v>
      </c>
      <c r="F46" s="1473">
        <f t="shared" si="125"/>
        <v>166.88189132810174</v>
      </c>
      <c r="G46" s="3405">
        <v>2009</v>
      </c>
      <c r="H46" s="1483">
        <v>3</v>
      </c>
      <c r="I46" s="1483">
        <v>2.1</v>
      </c>
      <c r="J46" s="1483">
        <v>1.86</v>
      </c>
      <c r="K46" s="1483">
        <v>2.29</v>
      </c>
      <c r="L46" s="1484">
        <v>0.85</v>
      </c>
      <c r="N46" s="1468">
        <f t="shared" si="110"/>
        <v>2.1000000000000001E-2</v>
      </c>
      <c r="O46" s="1485">
        <f t="shared" si="110"/>
        <v>1.8600000000000002E-2</v>
      </c>
      <c r="P46" s="1485">
        <f t="shared" si="110"/>
        <v>2.29E-2</v>
      </c>
      <c r="Q46" s="1485">
        <f t="shared" si="110"/>
        <v>8.5000000000000006E-3</v>
      </c>
      <c r="R46" s="1470"/>
      <c r="S46" s="1468"/>
      <c r="T46" s="1469"/>
      <c r="U46" s="1469"/>
      <c r="V46" s="1469"/>
    </row>
    <row r="47" spans="1:26">
      <c r="A47" s="1457" t="s">
        <v>1177</v>
      </c>
      <c r="B47" s="1473">
        <f t="shared" si="124"/>
        <v>210.630522469011</v>
      </c>
      <c r="C47" s="1473">
        <f t="shared" si="124"/>
        <v>181.69567812247232</v>
      </c>
      <c r="D47" s="1473">
        <f t="shared" si="108"/>
        <v>181.69567812247232</v>
      </c>
      <c r="E47" s="1473">
        <f t="shared" si="125"/>
        <v>286.13517466736738</v>
      </c>
      <c r="F47" s="1473">
        <f t="shared" si="125"/>
        <v>165.47535084591149</v>
      </c>
      <c r="G47" s="3405">
        <v>2009</v>
      </c>
      <c r="H47" s="1461">
        <v>2</v>
      </c>
      <c r="I47" s="1461">
        <v>0.86</v>
      </c>
      <c r="J47" s="1461">
        <v>-1.1299999999999999</v>
      </c>
      <c r="K47" s="1461">
        <v>1.79</v>
      </c>
      <c r="L47" s="1475">
        <v>-2.0699999999999998</v>
      </c>
      <c r="N47" s="1468">
        <f t="shared" si="110"/>
        <v>8.6E-3</v>
      </c>
      <c r="O47" s="1485">
        <f t="shared" si="110"/>
        <v>-1.1299999999999999E-2</v>
      </c>
      <c r="P47" s="1485">
        <f t="shared" si="110"/>
        <v>1.7899999999999999E-2</v>
      </c>
      <c r="Q47" s="1485">
        <f t="shared" si="110"/>
        <v>-2.07E-2</v>
      </c>
      <c r="R47" s="1470"/>
      <c r="S47" s="1468"/>
      <c r="T47" s="1469"/>
      <c r="U47" s="1469"/>
      <c r="V47" s="1469"/>
    </row>
    <row r="48" spans="1:26">
      <c r="A48" s="1457" t="s">
        <v>1178</v>
      </c>
      <c r="B48" s="1473">
        <f t="shared" si="124"/>
        <v>208.83454537875372</v>
      </c>
      <c r="C48" s="1473">
        <f t="shared" si="124"/>
        <v>183.77230517090351</v>
      </c>
      <c r="D48" s="1473">
        <f t="shared" si="108"/>
        <v>183.77230517090351</v>
      </c>
      <c r="E48" s="1473">
        <f t="shared" si="125"/>
        <v>281.10342338870947</v>
      </c>
      <c r="F48" s="1473">
        <f t="shared" si="125"/>
        <v>168.97309388942256</v>
      </c>
      <c r="G48" s="3406">
        <v>2009</v>
      </c>
      <c r="H48" s="1460">
        <v>1</v>
      </c>
      <c r="I48" s="1460">
        <v>-2.64</v>
      </c>
      <c r="J48" s="1460">
        <v>-2.5299999999999998</v>
      </c>
      <c r="K48" s="1460">
        <v>-3.02</v>
      </c>
      <c r="L48" s="1474">
        <v>1.52</v>
      </c>
      <c r="N48" s="1476">
        <f t="shared" si="110"/>
        <v>-2.64E-2</v>
      </c>
      <c r="O48" s="1477">
        <f t="shared" si="110"/>
        <v>-2.53E-2</v>
      </c>
      <c r="P48" s="1477">
        <f t="shared" si="110"/>
        <v>-3.0200000000000001E-2</v>
      </c>
      <c r="Q48" s="1477">
        <f t="shared" si="110"/>
        <v>1.52E-2</v>
      </c>
      <c r="R48" s="1470"/>
      <c r="S48" s="1476">
        <f>B48/B49-1</f>
        <v>-2.4137638417038754E-2</v>
      </c>
      <c r="T48" s="1477">
        <f>C48/C49-1</f>
        <v>-2.248773845264096E-2</v>
      </c>
      <c r="U48" s="1477">
        <f>E48/E49-1</f>
        <v>-2.7323794502735366E-2</v>
      </c>
      <c r="V48" s="1477">
        <f>F48/F49-1</f>
        <v>1.7910204153148035E-2</v>
      </c>
      <c r="X48" s="1456"/>
      <c r="Y48" s="1456"/>
      <c r="Z48" s="1456"/>
    </row>
    <row r="49" spans="1:26" ht="13.5" thickBot="1">
      <c r="A49" s="1457" t="s">
        <v>1179</v>
      </c>
      <c r="B49" s="1507">
        <v>214</v>
      </c>
      <c r="C49" s="1507">
        <v>188</v>
      </c>
      <c r="D49" s="1507">
        <f t="shared" si="108"/>
        <v>188</v>
      </c>
      <c r="E49" s="1507">
        <v>289</v>
      </c>
      <c r="F49" s="1508">
        <v>166</v>
      </c>
      <c r="G49" s="3404">
        <v>2008</v>
      </c>
      <c r="H49" s="1478">
        <v>4</v>
      </c>
      <c r="I49" s="1478">
        <v>1.73</v>
      </c>
      <c r="J49" s="1478">
        <v>0.03</v>
      </c>
      <c r="K49" s="1478">
        <v>2.59</v>
      </c>
      <c r="L49" s="1479">
        <v>-1.66</v>
      </c>
      <c r="N49" s="1468">
        <f t="shared" si="110"/>
        <v>1.7299999999999999E-2</v>
      </c>
      <c r="O49" s="1469">
        <f t="shared" si="110"/>
        <v>2.9999999999999997E-4</v>
      </c>
      <c r="P49" s="1469">
        <f t="shared" si="110"/>
        <v>2.5899999999999999E-2</v>
      </c>
      <c r="Q49" s="1469">
        <f t="shared" si="110"/>
        <v>-1.66E-2</v>
      </c>
      <c r="R49" s="1470"/>
      <c r="S49" s="1471"/>
      <c r="T49" s="1472"/>
      <c r="U49" s="1472"/>
      <c r="V49" s="1472"/>
      <c r="X49" s="1472"/>
      <c r="Y49" s="1472"/>
      <c r="Z49" s="1472"/>
    </row>
    <row r="50" spans="1:26">
      <c r="A50" s="1457" t="s">
        <v>1180</v>
      </c>
      <c r="B50" s="1473">
        <f t="shared" ref="B50:C52" si="126">B49/(1+N49)</f>
        <v>210.36075887152265</v>
      </c>
      <c r="C50" s="1473">
        <f t="shared" si="126"/>
        <v>187.94361691492554</v>
      </c>
      <c r="D50" s="1473">
        <f t="shared" si="108"/>
        <v>187.94361691492554</v>
      </c>
      <c r="E50" s="1473">
        <f t="shared" ref="E50:F52" si="127">E49/(1+P49)</f>
        <v>281.70386977288234</v>
      </c>
      <c r="F50" s="1473">
        <f t="shared" si="127"/>
        <v>168.80211511083994</v>
      </c>
      <c r="G50" s="3405">
        <v>2008</v>
      </c>
      <c r="H50" s="1483">
        <v>3</v>
      </c>
      <c r="I50" s="1483">
        <v>1.96</v>
      </c>
      <c r="J50" s="1483">
        <v>2.36</v>
      </c>
      <c r="K50" s="1483">
        <v>1.82</v>
      </c>
      <c r="L50" s="1484">
        <v>2.2200000000000002</v>
      </c>
      <c r="N50" s="1468">
        <f t="shared" si="110"/>
        <v>1.9599999999999999E-2</v>
      </c>
      <c r="O50" s="1469">
        <f t="shared" si="110"/>
        <v>2.3599999999999999E-2</v>
      </c>
      <c r="P50" s="1469">
        <f t="shared" si="110"/>
        <v>1.8200000000000001E-2</v>
      </c>
      <c r="Q50" s="1469">
        <f t="shared" si="110"/>
        <v>2.2200000000000001E-2</v>
      </c>
      <c r="R50" s="1470"/>
      <c r="S50" s="1468"/>
      <c r="T50" s="1469"/>
      <c r="U50" s="1469"/>
      <c r="V50" s="1469"/>
    </row>
    <row r="51" spans="1:26">
      <c r="A51" s="1457" t="s">
        <v>1181</v>
      </c>
      <c r="B51" s="1473">
        <f t="shared" si="126"/>
        <v>206.31694671589116</v>
      </c>
      <c r="C51" s="1473">
        <f t="shared" si="126"/>
        <v>183.61041121036101</v>
      </c>
      <c r="D51" s="1473">
        <f t="shared" si="108"/>
        <v>183.61041121036101</v>
      </c>
      <c r="E51" s="1473">
        <f t="shared" si="127"/>
        <v>276.66850301795557</v>
      </c>
      <c r="F51" s="1473">
        <f t="shared" si="127"/>
        <v>165.1360938278614</v>
      </c>
      <c r="G51" s="3405">
        <v>2008</v>
      </c>
      <c r="H51" s="1461">
        <v>2</v>
      </c>
      <c r="I51" s="1461">
        <v>4.93</v>
      </c>
      <c r="J51" s="1461">
        <v>7.38</v>
      </c>
      <c r="K51" s="1461">
        <v>3.98</v>
      </c>
      <c r="L51" s="1475">
        <v>6.86</v>
      </c>
      <c r="N51" s="1468">
        <f t="shared" si="110"/>
        <v>4.9299999999999997E-2</v>
      </c>
      <c r="O51" s="1469">
        <f t="shared" si="110"/>
        <v>7.3800000000000004E-2</v>
      </c>
      <c r="P51" s="1469">
        <f t="shared" si="110"/>
        <v>3.9800000000000002E-2</v>
      </c>
      <c r="Q51" s="1469">
        <f t="shared" si="110"/>
        <v>6.8600000000000008E-2</v>
      </c>
      <c r="R51" s="1470"/>
      <c r="S51" s="1468"/>
      <c r="T51" s="1469"/>
      <c r="U51" s="1469"/>
      <c r="V51" s="1469"/>
    </row>
    <row r="52" spans="1:26" s="1513" customFormat="1" ht="13.5" thickBot="1">
      <c r="A52" s="1457" t="s">
        <v>1182</v>
      </c>
      <c r="B52" s="1510">
        <f t="shared" si="126"/>
        <v>196.62341248059772</v>
      </c>
      <c r="C52" s="1510">
        <f t="shared" si="126"/>
        <v>170.99125648199012</v>
      </c>
      <c r="D52" s="1510">
        <f t="shared" si="108"/>
        <v>170.99125648199012</v>
      </c>
      <c r="E52" s="1510">
        <f t="shared" si="127"/>
        <v>266.07857570490052</v>
      </c>
      <c r="F52" s="1510">
        <f t="shared" si="127"/>
        <v>154.53499328828505</v>
      </c>
      <c r="G52" s="3406">
        <v>2008</v>
      </c>
      <c r="H52" s="1511">
        <v>1</v>
      </c>
      <c r="I52" s="1511">
        <v>4.1399999999999997</v>
      </c>
      <c r="J52" s="1511">
        <v>3.45</v>
      </c>
      <c r="K52" s="1511">
        <v>4.95</v>
      </c>
      <c r="L52" s="1512">
        <v>4.82</v>
      </c>
      <c r="N52" s="1514">
        <f t="shared" si="110"/>
        <v>4.1399999999999999E-2</v>
      </c>
      <c r="O52" s="1515">
        <f t="shared" si="110"/>
        <v>3.4500000000000003E-2</v>
      </c>
      <c r="P52" s="1515">
        <f t="shared" si="110"/>
        <v>4.9500000000000002E-2</v>
      </c>
      <c r="Q52" s="1515">
        <f t="shared" si="110"/>
        <v>4.82E-2</v>
      </c>
      <c r="R52" s="1516"/>
      <c r="S52" s="1514">
        <f>B52/B53-1</f>
        <v>4.5869215322328349E-2</v>
      </c>
      <c r="T52" s="1515">
        <f>C52/C53-1</f>
        <v>3.6310645345394743E-2</v>
      </c>
      <c r="U52" s="1515">
        <f>E52/E53-1</f>
        <v>4.7553447657088688E-2</v>
      </c>
      <c r="V52" s="1515">
        <f>F52/F53-1</f>
        <v>4.4155360055980086E-2</v>
      </c>
      <c r="X52" s="1517"/>
      <c r="Y52" s="1517"/>
      <c r="Z52" s="1517"/>
    </row>
    <row r="53" spans="1:26" ht="13.5" thickBot="1">
      <c r="A53" s="1457" t="s">
        <v>1183</v>
      </c>
      <c r="B53" s="1465">
        <v>188</v>
      </c>
      <c r="C53" s="1465">
        <v>165</v>
      </c>
      <c r="D53" s="1465">
        <f t="shared" si="108"/>
        <v>165</v>
      </c>
      <c r="E53" s="1465">
        <v>254</v>
      </c>
      <c r="F53" s="1466">
        <v>148</v>
      </c>
      <c r="G53" s="3404">
        <v>2007</v>
      </c>
      <c r="H53" s="1518">
        <v>4</v>
      </c>
      <c r="I53" s="1518">
        <v>5.51</v>
      </c>
      <c r="J53" s="1518">
        <v>4.8899999999999997</v>
      </c>
      <c r="K53" s="1518">
        <v>6.43</v>
      </c>
      <c r="L53" s="1519">
        <v>5.36</v>
      </c>
      <c r="N53" s="1520">
        <f t="shared" ref="N53:O56" si="128">B53/B54-1</f>
        <v>4.1339718365245526E-2</v>
      </c>
      <c r="O53" s="1521">
        <f t="shared" si="128"/>
        <v>4.0324492593776018E-2</v>
      </c>
      <c r="P53" s="1521">
        <f t="shared" ref="P53:Q56" si="129">E53/E54-1</f>
        <v>6.1625555347990968E-2</v>
      </c>
      <c r="Q53" s="1521">
        <f t="shared" si="129"/>
        <v>4.6757569250590603E-2</v>
      </c>
      <c r="R53" s="1470"/>
      <c r="S53" s="1471"/>
      <c r="T53" s="1472"/>
      <c r="U53" s="1472"/>
      <c r="V53" s="1472"/>
      <c r="X53" s="1472"/>
      <c r="Y53" s="1472"/>
      <c r="Z53" s="1472"/>
    </row>
    <row r="54" spans="1:26">
      <c r="A54" s="1457" t="s">
        <v>1184</v>
      </c>
      <c r="B54" s="1473">
        <f t="shared" ref="B54:C56" si="130">B55+(B$53-B$57)*I54/SUM(I$53:I$56)</f>
        <v>180.5366651097618</v>
      </c>
      <c r="C54" s="1473">
        <f t="shared" si="130"/>
        <v>158.60435967302453</v>
      </c>
      <c r="D54" s="1473">
        <f t="shared" si="108"/>
        <v>158.60435967302453</v>
      </c>
      <c r="E54" s="1473">
        <f t="shared" ref="E54:F56" si="131">E55+(E$53-E$57)*K54/SUM(K$53:K$56)</f>
        <v>239.25573260785075</v>
      </c>
      <c r="F54" s="1473">
        <f t="shared" si="131"/>
        <v>141.38899430740037</v>
      </c>
      <c r="G54" s="3405">
        <v>2007</v>
      </c>
      <c r="H54" s="1483">
        <v>3</v>
      </c>
      <c r="I54" s="1483">
        <v>8.65</v>
      </c>
      <c r="J54" s="1483">
        <v>8.06</v>
      </c>
      <c r="K54" s="1483">
        <v>9.94</v>
      </c>
      <c r="L54" s="1484">
        <v>5.8</v>
      </c>
      <c r="N54" s="1520">
        <f t="shared" si="128"/>
        <v>6.940217571740015E-2</v>
      </c>
      <c r="O54" s="1521">
        <f t="shared" si="128"/>
        <v>7.1197482471153428E-2</v>
      </c>
      <c r="P54" s="1521">
        <f t="shared" si="129"/>
        <v>0.10529679922579582</v>
      </c>
      <c r="Q54" s="1521">
        <f t="shared" si="129"/>
        <v>5.3292245059512133E-2</v>
      </c>
      <c r="R54" s="1470"/>
      <c r="S54" s="1468"/>
      <c r="T54" s="1469"/>
      <c r="U54" s="1469"/>
      <c r="V54" s="1469"/>
      <c r="X54" s="1522"/>
      <c r="Y54" s="1522"/>
      <c r="Z54" s="1522"/>
    </row>
    <row r="55" spans="1:26">
      <c r="A55" s="1457" t="s">
        <v>1185</v>
      </c>
      <c r="B55" s="1473">
        <f t="shared" si="130"/>
        <v>168.82017748715555</v>
      </c>
      <c r="C55" s="1473">
        <f t="shared" si="130"/>
        <v>148.06267029972753</v>
      </c>
      <c r="D55" s="1473">
        <f t="shared" si="108"/>
        <v>148.06267029972753</v>
      </c>
      <c r="E55" s="1473">
        <f t="shared" si="131"/>
        <v>216.46288379323747</v>
      </c>
      <c r="F55" s="1473">
        <f t="shared" si="131"/>
        <v>134.23529411764704</v>
      </c>
      <c r="G55" s="3405">
        <v>2007</v>
      </c>
      <c r="H55" s="1461">
        <v>2</v>
      </c>
      <c r="I55" s="1461">
        <v>3.67</v>
      </c>
      <c r="J55" s="1461">
        <v>2.3199999999999998</v>
      </c>
      <c r="K55" s="1461">
        <v>5.0199999999999996</v>
      </c>
      <c r="L55" s="1475">
        <v>6.71</v>
      </c>
      <c r="N55" s="1520">
        <f t="shared" si="128"/>
        <v>3.0339138143848032E-2</v>
      </c>
      <c r="O55" s="1521">
        <f t="shared" si="128"/>
        <v>2.0922341588790472E-2</v>
      </c>
      <c r="P55" s="1521">
        <f t="shared" si="129"/>
        <v>5.6164796592717003E-2</v>
      </c>
      <c r="Q55" s="1521">
        <f t="shared" si="129"/>
        <v>6.5704536723887319E-2</v>
      </c>
      <c r="R55" s="1470"/>
      <c r="S55" s="1468"/>
      <c r="T55" s="1469"/>
      <c r="U55" s="1469"/>
      <c r="V55" s="1469"/>
      <c r="X55" s="1522"/>
      <c r="Y55" s="1522"/>
      <c r="Z55" s="1522"/>
    </row>
    <row r="56" spans="1:26">
      <c r="A56" s="1457" t="s">
        <v>1186</v>
      </c>
      <c r="B56" s="1473">
        <f t="shared" si="130"/>
        <v>163.84913591779542</v>
      </c>
      <c r="C56" s="1473">
        <f t="shared" si="130"/>
        <v>145.0283378746594</v>
      </c>
      <c r="D56" s="1473">
        <f t="shared" si="108"/>
        <v>145.0283378746594</v>
      </c>
      <c r="E56" s="1473">
        <f t="shared" si="131"/>
        <v>204.95180722891567</v>
      </c>
      <c r="F56" s="1473">
        <f t="shared" si="131"/>
        <v>125.95920303605313</v>
      </c>
      <c r="G56" s="3406">
        <v>2007</v>
      </c>
      <c r="H56" s="1460">
        <v>1</v>
      </c>
      <c r="I56" s="1460">
        <v>3.58</v>
      </c>
      <c r="J56" s="1460">
        <v>3.08</v>
      </c>
      <c r="K56" s="1460">
        <v>4.34</v>
      </c>
      <c r="L56" s="1474">
        <v>3.21</v>
      </c>
      <c r="N56" s="1523">
        <f t="shared" si="128"/>
        <v>3.0497710174814063E-2</v>
      </c>
      <c r="O56" s="1524">
        <f t="shared" si="128"/>
        <v>2.8569772160704998E-2</v>
      </c>
      <c r="P56" s="1524">
        <f t="shared" si="129"/>
        <v>5.1034908866234296E-2</v>
      </c>
      <c r="Q56" s="1524">
        <f t="shared" si="129"/>
        <v>3.245248390207478E-2</v>
      </c>
      <c r="R56" s="1470"/>
      <c r="S56" s="1476">
        <f>B56/B57-1</f>
        <v>3.0497710174814063E-2</v>
      </c>
      <c r="T56" s="1477">
        <f>C56/C57-1</f>
        <v>2.8569772160704998E-2</v>
      </c>
      <c r="U56" s="1477">
        <f>E56/E57-1</f>
        <v>5.1034908866234296E-2</v>
      </c>
      <c r="V56" s="1477">
        <f>F56/F57-1</f>
        <v>3.245248390207478E-2</v>
      </c>
      <c r="X56" s="1522"/>
      <c r="Y56" s="1522"/>
      <c r="Z56" s="1522"/>
    </row>
    <row r="57" spans="1:26" ht="13.5" thickBot="1">
      <c r="A57" s="1457" t="s">
        <v>1187</v>
      </c>
      <c r="B57" s="1486">
        <v>159</v>
      </c>
      <c r="C57" s="1486">
        <v>141</v>
      </c>
      <c r="D57" s="1486">
        <f t="shared" si="108"/>
        <v>141</v>
      </c>
      <c r="E57" s="1486">
        <v>195</v>
      </c>
      <c r="F57" s="1487">
        <v>122</v>
      </c>
      <c r="G57" s="3404">
        <v>2006</v>
      </c>
      <c r="H57" s="1478">
        <v>4</v>
      </c>
      <c r="I57" s="1478">
        <v>3.79</v>
      </c>
      <c r="J57" s="1478">
        <v>2.21</v>
      </c>
      <c r="K57" s="1478">
        <v>5.65</v>
      </c>
      <c r="L57" s="1479">
        <v>5.41</v>
      </c>
      <c r="N57" s="1520">
        <f t="shared" ref="N57:O60" si="132">I57/SUM(I$57:I$60)*(B$57/B$61-1)</f>
        <v>7.245466462748526E-2</v>
      </c>
      <c r="O57" s="1521">
        <f t="shared" si="132"/>
        <v>2.3237230038062766E-2</v>
      </c>
      <c r="P57" s="1521">
        <f t="shared" ref="P57:Q60" si="133">K57/SUM(K$57:K$60)*(E$57/E$61-1)</f>
        <v>0.16146893866323722</v>
      </c>
      <c r="Q57" s="1521">
        <f t="shared" si="133"/>
        <v>5.0755230321793784E-2</v>
      </c>
      <c r="R57" s="1470"/>
      <c r="S57" s="1471"/>
      <c r="T57" s="1472"/>
      <c r="U57" s="1472"/>
      <c r="V57" s="1472"/>
      <c r="X57" s="1522"/>
      <c r="Y57" s="1522"/>
      <c r="Z57" s="1522"/>
    </row>
    <row r="58" spans="1:26">
      <c r="A58" s="1457" t="s">
        <v>1188</v>
      </c>
      <c r="B58" s="1473">
        <f t="shared" ref="B58:C60" si="134">B59+(B$57-B$61)*I58/SUM(I$57:I$60)</f>
        <v>149.00125628140702</v>
      </c>
      <c r="C58" s="1473">
        <f t="shared" si="134"/>
        <v>137.95592286501378</v>
      </c>
      <c r="D58" s="1473">
        <f t="shared" si="108"/>
        <v>137.95592286501378</v>
      </c>
      <c r="E58" s="1473">
        <f t="shared" ref="E58:F60" si="135">E59+(E$57-E$61)*K58/SUM(K$57:K$60)</f>
        <v>169.97231450719823</v>
      </c>
      <c r="F58" s="1473">
        <f t="shared" si="135"/>
        <v>116.21390374331551</v>
      </c>
      <c r="G58" s="3405">
        <v>2006</v>
      </c>
      <c r="H58" s="1483">
        <v>3</v>
      </c>
      <c r="I58" s="1483">
        <v>0.92</v>
      </c>
      <c r="J58" s="1483">
        <v>1.08</v>
      </c>
      <c r="K58" s="1483">
        <v>0.73</v>
      </c>
      <c r="L58" s="1484">
        <v>1.08</v>
      </c>
      <c r="N58" s="1520">
        <f t="shared" si="132"/>
        <v>1.7587939698492462E-2</v>
      </c>
      <c r="O58" s="1521">
        <f t="shared" si="132"/>
        <v>1.1355750425840628E-2</v>
      </c>
      <c r="P58" s="1521">
        <f t="shared" si="133"/>
        <v>2.0862358446754544E-2</v>
      </c>
      <c r="Q58" s="1521">
        <f t="shared" si="133"/>
        <v>1.0132282578103011E-2</v>
      </c>
      <c r="R58" s="1470"/>
      <c r="S58" s="1468"/>
      <c r="T58" s="1469"/>
      <c r="U58" s="1469"/>
      <c r="V58" s="1469"/>
      <c r="X58" s="1522"/>
      <c r="Y58" s="1522"/>
      <c r="Z58" s="1522"/>
    </row>
    <row r="59" spans="1:26">
      <c r="A59" s="1457" t="s">
        <v>1189</v>
      </c>
      <c r="B59" s="1473">
        <f t="shared" si="134"/>
        <v>146.57412060301507</v>
      </c>
      <c r="C59" s="1473">
        <f t="shared" si="134"/>
        <v>136.46831955922866</v>
      </c>
      <c r="D59" s="1473">
        <f t="shared" si="108"/>
        <v>136.46831955922866</v>
      </c>
      <c r="E59" s="1473">
        <f t="shared" si="135"/>
        <v>166.73864894795128</v>
      </c>
      <c r="F59" s="1473">
        <f t="shared" si="135"/>
        <v>115.05882352941177</v>
      </c>
      <c r="G59" s="3405">
        <v>2006</v>
      </c>
      <c r="H59" s="1461">
        <v>2</v>
      </c>
      <c r="I59" s="1461">
        <v>0.96</v>
      </c>
      <c r="J59" s="1461">
        <v>0.25</v>
      </c>
      <c r="K59" s="1461">
        <v>1.9</v>
      </c>
      <c r="L59" s="1475">
        <v>0.95</v>
      </c>
      <c r="N59" s="1520">
        <f t="shared" si="132"/>
        <v>1.8352632728861701E-2</v>
      </c>
      <c r="O59" s="1521">
        <f t="shared" si="132"/>
        <v>2.6286459319075526E-3</v>
      </c>
      <c r="P59" s="1521">
        <f t="shared" si="133"/>
        <v>5.4299289107991269E-2</v>
      </c>
      <c r="Q59" s="1521">
        <f t="shared" si="133"/>
        <v>8.9126559714794995E-3</v>
      </c>
      <c r="R59" s="1470"/>
      <c r="S59" s="1468"/>
      <c r="T59" s="1469"/>
      <c r="U59" s="1469"/>
      <c r="V59" s="1469"/>
      <c r="X59" s="1522"/>
      <c r="Y59" s="1522"/>
      <c r="Z59" s="1522"/>
    </row>
    <row r="60" spans="1:26">
      <c r="A60" s="1457" t="s">
        <v>1190</v>
      </c>
      <c r="B60" s="1473">
        <f t="shared" si="134"/>
        <v>144.04145728643215</v>
      </c>
      <c r="C60" s="1473">
        <f t="shared" si="134"/>
        <v>136.12396694214877</v>
      </c>
      <c r="D60" s="1473">
        <f t="shared" si="108"/>
        <v>136.12396694214877</v>
      </c>
      <c r="E60" s="1473">
        <f t="shared" si="135"/>
        <v>158.32225913621264</v>
      </c>
      <c r="F60" s="1473">
        <f t="shared" si="135"/>
        <v>114.04278074866311</v>
      </c>
      <c r="G60" s="3406">
        <v>2006</v>
      </c>
      <c r="H60" s="1460">
        <v>1</v>
      </c>
      <c r="I60" s="1460">
        <v>2.29</v>
      </c>
      <c r="J60" s="1460">
        <v>3.72</v>
      </c>
      <c r="K60" s="1460">
        <v>0.75</v>
      </c>
      <c r="L60" s="1474">
        <v>0.04</v>
      </c>
      <c r="N60" s="1523">
        <f t="shared" si="132"/>
        <v>4.3778675988638847E-2</v>
      </c>
      <c r="O60" s="1524">
        <f t="shared" si="132"/>
        <v>3.9114251466784385E-2</v>
      </c>
      <c r="P60" s="1524">
        <f t="shared" si="133"/>
        <v>2.1433929911049188E-2</v>
      </c>
      <c r="Q60" s="1524">
        <f t="shared" si="133"/>
        <v>3.7526972511492629E-4</v>
      </c>
      <c r="R60" s="1470"/>
      <c r="S60" s="1476">
        <f>B60/B61-1</f>
        <v>4.3778675988638716E-2</v>
      </c>
      <c r="T60" s="1477">
        <f>C60/C61-1</f>
        <v>3.91142514667846E-2</v>
      </c>
      <c r="U60" s="1477">
        <f>E60/E61-1</f>
        <v>2.143392991104931E-2</v>
      </c>
      <c r="V60" s="1477">
        <f>F60/F61-1</f>
        <v>3.7526972511492396E-4</v>
      </c>
      <c r="X60" s="1522"/>
      <c r="Y60" s="1522"/>
      <c r="Z60" s="1522"/>
    </row>
    <row r="61" spans="1:26" ht="13.5" thickBot="1">
      <c r="A61" s="1457" t="s">
        <v>1191</v>
      </c>
      <c r="B61" s="1486">
        <v>138</v>
      </c>
      <c r="C61" s="1486">
        <v>131</v>
      </c>
      <c r="D61" s="1486">
        <f t="shared" si="108"/>
        <v>131</v>
      </c>
      <c r="E61" s="1486">
        <v>155</v>
      </c>
      <c r="F61" s="1487">
        <v>114</v>
      </c>
      <c r="G61" s="3404">
        <v>2005</v>
      </c>
      <c r="H61" s="1478">
        <v>4</v>
      </c>
      <c r="I61" s="1478">
        <v>3.29</v>
      </c>
      <c r="J61" s="1478">
        <v>1.44</v>
      </c>
      <c r="K61" s="1478">
        <v>0.66</v>
      </c>
      <c r="L61" s="1479">
        <v>7.78</v>
      </c>
      <c r="N61" s="1520">
        <f t="shared" ref="N61:O64" si="136">I61/SUM(I$61:I$64)*(B$61/B$65-1)</f>
        <v>9.9404603216919935E-2</v>
      </c>
      <c r="O61" s="1521">
        <f t="shared" si="136"/>
        <v>4.7636550760861554E-2</v>
      </c>
      <c r="P61" s="1521">
        <f t="shared" ref="P61:Q64" si="137">K61/SUM(K$61:K$64)*(E$61/E$65-1)</f>
        <v>8.3756345177664976E-2</v>
      </c>
      <c r="Q61" s="1521">
        <f t="shared" si="137"/>
        <v>5.2148766661559584E-2</v>
      </c>
      <c r="R61" s="1470"/>
      <c r="S61" s="1471"/>
      <c r="T61" s="1472"/>
      <c r="U61" s="1472"/>
      <c r="V61" s="1472"/>
      <c r="X61" s="1522"/>
      <c r="Y61" s="1522"/>
      <c r="Z61" s="1522"/>
    </row>
    <row r="62" spans="1:26">
      <c r="A62" s="1457" t="s">
        <v>1192</v>
      </c>
      <c r="B62" s="1473">
        <f t="shared" ref="B62:C64" si="138">B63+(B$61-B$65)*I62/SUM(I$61:I$64)</f>
        <v>125.9720430107527</v>
      </c>
      <c r="C62" s="1473">
        <f t="shared" si="138"/>
        <v>125.1883408071749</v>
      </c>
      <c r="D62" s="1473">
        <f t="shared" si="108"/>
        <v>125.1883408071749</v>
      </c>
      <c r="E62" s="1473">
        <f t="shared" ref="E62:F64" si="139">E63+(E$61-E$65)*K62/SUM(K$61:K$64)</f>
        <v>144.61421319796952</v>
      </c>
      <c r="F62" s="1473">
        <f t="shared" si="139"/>
        <v>108.42008196721311</v>
      </c>
      <c r="G62" s="3405">
        <v>2005</v>
      </c>
      <c r="H62" s="1483">
        <v>3</v>
      </c>
      <c r="I62" s="1483">
        <v>0.46</v>
      </c>
      <c r="J62" s="1483">
        <v>0.32</v>
      </c>
      <c r="K62" s="1483">
        <v>0.42</v>
      </c>
      <c r="L62" s="1484">
        <v>0.64</v>
      </c>
      <c r="N62" s="1520">
        <f t="shared" si="136"/>
        <v>1.3898515951301874E-2</v>
      </c>
      <c r="O62" s="1521">
        <f t="shared" si="136"/>
        <v>1.0585900169080346E-2</v>
      </c>
      <c r="P62" s="1521">
        <f t="shared" si="137"/>
        <v>5.3299492385786795E-2</v>
      </c>
      <c r="Q62" s="1521">
        <f t="shared" si="137"/>
        <v>4.2898728359123568E-3</v>
      </c>
      <c r="R62" s="1470"/>
      <c r="S62" s="1468"/>
      <c r="T62" s="1469"/>
      <c r="U62" s="1469"/>
      <c r="V62" s="1469"/>
      <c r="X62" s="1522"/>
      <c r="Y62" s="1522"/>
      <c r="Z62" s="1522"/>
    </row>
    <row r="63" spans="1:26">
      <c r="A63" s="1457" t="s">
        <v>1193</v>
      </c>
      <c r="B63" s="1473">
        <f t="shared" si="138"/>
        <v>124.29032258064517</v>
      </c>
      <c r="C63" s="1473">
        <f t="shared" si="138"/>
        <v>123.8968609865471</v>
      </c>
      <c r="D63" s="1473">
        <f t="shared" si="108"/>
        <v>123.8968609865471</v>
      </c>
      <c r="E63" s="1473">
        <f t="shared" si="139"/>
        <v>138.00507614213197</v>
      </c>
      <c r="F63" s="1473">
        <f t="shared" si="139"/>
        <v>107.96106557377048</v>
      </c>
      <c r="G63" s="3405">
        <v>2005</v>
      </c>
      <c r="H63" s="1461">
        <v>2</v>
      </c>
      <c r="I63" s="1461">
        <v>0.47</v>
      </c>
      <c r="J63" s="1461">
        <v>0.1</v>
      </c>
      <c r="K63" s="1461">
        <v>0.52</v>
      </c>
      <c r="L63" s="1475">
        <v>0.79</v>
      </c>
      <c r="N63" s="1520">
        <f t="shared" si="136"/>
        <v>1.420065760241713E-2</v>
      </c>
      <c r="O63" s="1521">
        <f t="shared" si="136"/>
        <v>3.3080938028376083E-3</v>
      </c>
      <c r="P63" s="1521">
        <f t="shared" si="137"/>
        <v>6.598984771573603E-2</v>
      </c>
      <c r="Q63" s="1521">
        <f t="shared" si="137"/>
        <v>5.2953117818293153E-3</v>
      </c>
      <c r="R63" s="1470"/>
      <c r="S63" s="1468"/>
      <c r="T63" s="1469"/>
      <c r="U63" s="1469"/>
      <c r="V63" s="1469"/>
      <c r="X63" s="1522"/>
      <c r="Y63" s="1522"/>
      <c r="Z63" s="1522"/>
    </row>
    <row r="64" spans="1:26">
      <c r="A64" s="1457" t="s">
        <v>1194</v>
      </c>
      <c r="B64" s="1473">
        <f t="shared" si="138"/>
        <v>122.57204301075269</v>
      </c>
      <c r="C64" s="1473">
        <f t="shared" si="138"/>
        <v>123.4932735426009</v>
      </c>
      <c r="D64" s="1473">
        <f t="shared" si="108"/>
        <v>123.4932735426009</v>
      </c>
      <c r="E64" s="1473">
        <f t="shared" si="139"/>
        <v>129.82233502538071</v>
      </c>
      <c r="F64" s="1473">
        <f t="shared" si="139"/>
        <v>107.39446721311475</v>
      </c>
      <c r="G64" s="3406">
        <v>2005</v>
      </c>
      <c r="H64" s="1460">
        <v>1</v>
      </c>
      <c r="I64" s="1460">
        <v>0.43</v>
      </c>
      <c r="J64" s="1460">
        <v>0.37</v>
      </c>
      <c r="K64" s="1460">
        <v>0.37</v>
      </c>
      <c r="L64" s="1474">
        <v>0.55000000000000004</v>
      </c>
      <c r="N64" s="1523">
        <f t="shared" si="136"/>
        <v>1.2992090997956099E-2</v>
      </c>
      <c r="O64" s="1524">
        <f t="shared" si="136"/>
        <v>1.2239947070499151E-2</v>
      </c>
      <c r="P64" s="1524">
        <f t="shared" si="137"/>
        <v>4.6954314720812178E-2</v>
      </c>
      <c r="Q64" s="1524">
        <f t="shared" si="137"/>
        <v>3.6866094683621815E-3</v>
      </c>
      <c r="R64" s="1470"/>
      <c r="S64" s="1476">
        <f>B64/B65-1</f>
        <v>1.2992090997956174E-2</v>
      </c>
      <c r="T64" s="1477">
        <f>C64/C65-1</f>
        <v>1.2239947070499246E-2</v>
      </c>
      <c r="U64" s="1477">
        <f>E64/E65-1</f>
        <v>4.695431472081224E-2</v>
      </c>
      <c r="V64" s="1477">
        <f>F64/F65-1</f>
        <v>3.6866094683620787E-3</v>
      </c>
      <c r="X64" s="1522"/>
      <c r="Y64" s="1522"/>
      <c r="Z64" s="1522"/>
    </row>
    <row r="65" spans="1:26" ht="13.5" thickBot="1">
      <c r="A65" s="1457" t="s">
        <v>1195</v>
      </c>
      <c r="B65" s="1507">
        <v>121</v>
      </c>
      <c r="C65" s="1507">
        <v>122</v>
      </c>
      <c r="D65" s="1507">
        <f t="shared" si="108"/>
        <v>122</v>
      </c>
      <c r="E65" s="1507">
        <v>124</v>
      </c>
      <c r="F65" s="1508">
        <v>107</v>
      </c>
      <c r="G65" s="3404">
        <v>2004</v>
      </c>
      <c r="H65" s="1478">
        <v>4</v>
      </c>
      <c r="I65" s="1478">
        <v>0.33</v>
      </c>
      <c r="J65" s="1478">
        <v>0.5</v>
      </c>
      <c r="K65" s="1478">
        <v>0.5</v>
      </c>
      <c r="L65" s="1479">
        <v>0</v>
      </c>
      <c r="N65" s="1520">
        <f t="shared" ref="N65:O68" si="140">I65/SUM(I$65:I$68)*(B$65/B$69-1)</f>
        <v>1.3391770148526898E-2</v>
      </c>
      <c r="O65" s="1521">
        <f t="shared" si="140"/>
        <v>1.063264221158958E-2</v>
      </c>
      <c r="P65" s="1521">
        <f t="shared" ref="P65:Q68" si="141">K65/SUM(K$65:K$68)*(E$65/E$69-1)</f>
        <v>2.2244466688911134E-2</v>
      </c>
      <c r="Q65" s="1521">
        <f t="shared" si="141"/>
        <v>0</v>
      </c>
      <c r="R65" s="1470"/>
      <c r="S65" s="1471"/>
      <c r="T65" s="1472"/>
      <c r="U65" s="1472"/>
      <c r="V65" s="1472"/>
      <c r="X65" s="1522"/>
      <c r="Y65" s="1522"/>
      <c r="Z65" s="1522"/>
    </row>
    <row r="66" spans="1:26">
      <c r="A66" s="1457" t="s">
        <v>1196</v>
      </c>
      <c r="B66" s="1473">
        <f t="shared" ref="B66:C68" si="142">B67+(B$65-B$69)*I66/SUM(I$65:I$68)</f>
        <v>119.51351351351352</v>
      </c>
      <c r="C66" s="1473">
        <f t="shared" si="142"/>
        <v>120.7878787878788</v>
      </c>
      <c r="D66" s="1473">
        <f t="shared" si="108"/>
        <v>120.7878787878788</v>
      </c>
      <c r="E66" s="1473">
        <f t="shared" ref="E66:F68" si="143">E67+(E$65-E$69)*K66/SUM(K$65:K$68)</f>
        <v>121.5975975975976</v>
      </c>
      <c r="F66" s="1473">
        <f t="shared" si="143"/>
        <v>107</v>
      </c>
      <c r="G66" s="3405">
        <v>2004</v>
      </c>
      <c r="H66" s="1483">
        <v>3</v>
      </c>
      <c r="I66" s="1483">
        <v>0.56000000000000005</v>
      </c>
      <c r="J66" s="1483">
        <v>0.8</v>
      </c>
      <c r="K66" s="1483">
        <v>0.83</v>
      </c>
      <c r="L66" s="1484">
        <v>0.06</v>
      </c>
      <c r="N66" s="1520">
        <f t="shared" si="140"/>
        <v>2.2725428130833527E-2</v>
      </c>
      <c r="O66" s="1521">
        <f t="shared" si="140"/>
        <v>1.7012227538543329E-2</v>
      </c>
      <c r="P66" s="1521">
        <f t="shared" si="141"/>
        <v>3.6925814703592477E-2</v>
      </c>
      <c r="Q66" s="1521">
        <f t="shared" si="141"/>
        <v>2.8846153846153744E-2</v>
      </c>
      <c r="R66" s="1470"/>
      <c r="S66" s="1468"/>
      <c r="T66" s="1469"/>
      <c r="U66" s="1469"/>
      <c r="V66" s="1469"/>
      <c r="X66" s="1522"/>
      <c r="Y66" s="1522"/>
      <c r="Z66" s="1522"/>
    </row>
    <row r="67" spans="1:26">
      <c r="A67" s="1457" t="s">
        <v>1197</v>
      </c>
      <c r="B67" s="1473">
        <f t="shared" si="142"/>
        <v>116.99099099099099</v>
      </c>
      <c r="C67" s="1473">
        <f t="shared" si="142"/>
        <v>118.84848484848486</v>
      </c>
      <c r="D67" s="1473">
        <f t="shared" si="108"/>
        <v>118.84848484848486</v>
      </c>
      <c r="E67" s="1473">
        <f t="shared" si="143"/>
        <v>117.60960960960961</v>
      </c>
      <c r="F67" s="1473">
        <f t="shared" si="143"/>
        <v>104</v>
      </c>
      <c r="G67" s="3405">
        <v>2004</v>
      </c>
      <c r="H67" s="1461">
        <v>2</v>
      </c>
      <c r="I67" s="1461">
        <v>1</v>
      </c>
      <c r="J67" s="1461">
        <v>1.5</v>
      </c>
      <c r="K67" s="1461">
        <v>1.5</v>
      </c>
      <c r="L67" s="1475">
        <v>0</v>
      </c>
      <c r="N67" s="1520">
        <f t="shared" si="140"/>
        <v>4.0581121662202721E-2</v>
      </c>
      <c r="O67" s="1521">
        <f t="shared" si="140"/>
        <v>3.1897926634768738E-2</v>
      </c>
      <c r="P67" s="1521">
        <f t="shared" si="141"/>
        <v>6.6733400066733395E-2</v>
      </c>
      <c r="Q67" s="1521">
        <f t="shared" si="141"/>
        <v>0</v>
      </c>
      <c r="R67" s="1470"/>
      <c r="S67" s="1468"/>
      <c r="T67" s="1469"/>
      <c r="U67" s="1469"/>
      <c r="V67" s="1469"/>
      <c r="X67" s="1522"/>
      <c r="Y67" s="1522"/>
      <c r="Z67" s="1522"/>
    </row>
    <row r="68" spans="1:26" s="1513" customFormat="1" ht="13.5" thickBot="1">
      <c r="A68" s="1457" t="s">
        <v>1198</v>
      </c>
      <c r="B68" s="1510">
        <f t="shared" si="142"/>
        <v>112.48648648648648</v>
      </c>
      <c r="C68" s="1510">
        <f t="shared" si="142"/>
        <v>115.21212121212122</v>
      </c>
      <c r="D68" s="1510">
        <f t="shared" si="108"/>
        <v>115.21212121212122</v>
      </c>
      <c r="E68" s="1510">
        <f t="shared" si="143"/>
        <v>110.4024024024024</v>
      </c>
      <c r="F68" s="1510">
        <f t="shared" si="143"/>
        <v>104</v>
      </c>
      <c r="G68" s="3406">
        <v>2004</v>
      </c>
      <c r="H68" s="1511">
        <v>1</v>
      </c>
      <c r="I68" s="1511">
        <v>0.33</v>
      </c>
      <c r="J68" s="1511">
        <v>0.5</v>
      </c>
      <c r="K68" s="1511">
        <v>0.5</v>
      </c>
      <c r="L68" s="1512">
        <v>0</v>
      </c>
      <c r="N68" s="1525">
        <f t="shared" si="140"/>
        <v>1.3391770148526898E-2</v>
      </c>
      <c r="O68" s="1526">
        <f t="shared" si="140"/>
        <v>1.063264221158958E-2</v>
      </c>
      <c r="P68" s="1526">
        <f t="shared" si="141"/>
        <v>2.2244466688911134E-2</v>
      </c>
      <c r="Q68" s="1526">
        <f t="shared" si="141"/>
        <v>0</v>
      </c>
      <c r="R68" s="1516"/>
      <c r="S68" s="1514">
        <f>B68/B69-1</f>
        <v>1.3391770148526883E-2</v>
      </c>
      <c r="T68" s="1515">
        <f>C68/C69-1</f>
        <v>1.063264221158966E-2</v>
      </c>
      <c r="U68" s="1515">
        <f>E68/E69-1</f>
        <v>2.2244466688911224E-2</v>
      </c>
      <c r="V68" s="1515">
        <f>F68/F69-1</f>
        <v>0</v>
      </c>
      <c r="X68" s="1527"/>
      <c r="Y68" s="1527"/>
      <c r="Z68" s="1527"/>
    </row>
    <row r="69" spans="1:26" ht="13.5" thickBot="1">
      <c r="A69" s="1457" t="s">
        <v>1199</v>
      </c>
      <c r="B69" s="1528">
        <v>111</v>
      </c>
      <c r="C69" s="1528">
        <v>114</v>
      </c>
      <c r="D69" s="1528">
        <f t="shared" si="108"/>
        <v>114</v>
      </c>
      <c r="E69" s="1528">
        <v>108</v>
      </c>
      <c r="F69" s="1529">
        <v>104</v>
      </c>
      <c r="G69" s="3404">
        <v>2003</v>
      </c>
      <c r="H69" s="1518">
        <v>4</v>
      </c>
      <c r="I69" s="1530"/>
      <c r="J69" s="1530"/>
      <c r="K69" s="1530"/>
      <c r="L69" s="1530"/>
      <c r="N69" s="1531"/>
      <c r="O69" s="1530"/>
      <c r="P69" s="1530"/>
      <c r="Q69" s="1530"/>
      <c r="S69" s="1531"/>
      <c r="T69" s="1530"/>
      <c r="U69" s="1530"/>
      <c r="V69" s="1530"/>
      <c r="X69" s="1522"/>
      <c r="Y69" s="1522"/>
      <c r="Z69" s="1522"/>
    </row>
    <row r="70" spans="1:26">
      <c r="A70" s="1457" t="s">
        <v>1200</v>
      </c>
      <c r="B70" s="1532">
        <f t="shared" ref="B70:C72" si="144">B71+(B$69-B$73)/4</f>
        <v>109.75</v>
      </c>
      <c r="C70" s="1532">
        <f t="shared" si="144"/>
        <v>112.25</v>
      </c>
      <c r="D70" s="1532">
        <f t="shared" si="108"/>
        <v>112.25</v>
      </c>
      <c r="E70" s="1532">
        <f t="shared" ref="E70:F72" si="145">E71+(E$69-E$73)/4</f>
        <v>107.25</v>
      </c>
      <c r="F70" s="1532">
        <f t="shared" si="145"/>
        <v>103.5</v>
      </c>
      <c r="G70" s="3405">
        <v>2003</v>
      </c>
      <c r="H70" s="1483">
        <v>3</v>
      </c>
      <c r="I70" s="1530"/>
      <c r="J70" s="1530"/>
      <c r="K70" s="1530"/>
      <c r="L70" s="1530"/>
      <c r="X70" s="1522"/>
      <c r="Y70" s="1522"/>
      <c r="Z70" s="1522"/>
    </row>
    <row r="71" spans="1:26">
      <c r="A71" s="1457" t="s">
        <v>1201</v>
      </c>
      <c r="B71" s="1532">
        <f t="shared" si="144"/>
        <v>108.5</v>
      </c>
      <c r="C71" s="1532">
        <f t="shared" si="144"/>
        <v>110.5</v>
      </c>
      <c r="D71" s="1532">
        <f t="shared" si="108"/>
        <v>110.5</v>
      </c>
      <c r="E71" s="1532">
        <f t="shared" si="145"/>
        <v>106.5</v>
      </c>
      <c r="F71" s="1532">
        <f t="shared" si="145"/>
        <v>103</v>
      </c>
      <c r="G71" s="3405">
        <v>2003</v>
      </c>
      <c r="H71" s="1461">
        <v>2</v>
      </c>
      <c r="I71" s="1530"/>
      <c r="J71" s="1530"/>
      <c r="K71" s="1530"/>
      <c r="L71" s="1530"/>
      <c r="X71" s="1522"/>
      <c r="Y71" s="1522"/>
      <c r="Z71" s="1522"/>
    </row>
    <row r="72" spans="1:26" ht="13.5" thickBot="1">
      <c r="A72" s="1457" t="s">
        <v>1202</v>
      </c>
      <c r="B72" s="1532">
        <f t="shared" si="144"/>
        <v>107.25</v>
      </c>
      <c r="C72" s="1532">
        <f t="shared" si="144"/>
        <v>108.75</v>
      </c>
      <c r="D72" s="1532">
        <f t="shared" si="108"/>
        <v>108.75</v>
      </c>
      <c r="E72" s="1532">
        <f t="shared" si="145"/>
        <v>105.75</v>
      </c>
      <c r="F72" s="1532">
        <f t="shared" si="145"/>
        <v>102.5</v>
      </c>
      <c r="G72" s="3406">
        <v>2003</v>
      </c>
      <c r="H72" s="1533">
        <v>1</v>
      </c>
      <c r="I72" s="1530"/>
      <c r="J72" s="1530"/>
      <c r="K72" s="1530"/>
      <c r="L72" s="1530"/>
      <c r="S72" s="1468"/>
      <c r="T72" s="1469"/>
      <c r="U72" s="1469"/>
      <c r="X72" s="1522"/>
      <c r="Y72" s="1522"/>
      <c r="Z72" s="1522"/>
    </row>
    <row r="73" spans="1:26" ht="13.5" thickBot="1">
      <c r="A73" s="1457" t="s">
        <v>1203</v>
      </c>
      <c r="B73" s="1534">
        <v>106</v>
      </c>
      <c r="C73" s="1534">
        <v>107</v>
      </c>
      <c r="D73" s="1534">
        <f t="shared" si="108"/>
        <v>107</v>
      </c>
      <c r="E73" s="1534">
        <v>105</v>
      </c>
      <c r="F73" s="1535">
        <v>102</v>
      </c>
      <c r="G73" s="3404">
        <v>2002</v>
      </c>
      <c r="H73" s="1478">
        <v>4</v>
      </c>
      <c r="I73" s="1530"/>
      <c r="J73" s="1530"/>
      <c r="K73" s="1530"/>
      <c r="L73" s="1530"/>
      <c r="N73" s="1531"/>
      <c r="O73" s="1530"/>
      <c r="P73" s="1530"/>
      <c r="Q73" s="1530"/>
      <c r="S73" s="1531"/>
      <c r="T73" s="1530"/>
      <c r="U73" s="1530"/>
      <c r="V73" s="1530"/>
      <c r="X73" s="1522"/>
      <c r="Y73" s="1522"/>
      <c r="Z73" s="1522"/>
    </row>
    <row r="74" spans="1:26">
      <c r="A74" s="1457" t="s">
        <v>1204</v>
      </c>
      <c r="B74" s="1532">
        <f t="shared" ref="B74:C76" si="146">B75+(B$73-B$77)/4</f>
        <v>105</v>
      </c>
      <c r="C74" s="1532">
        <f t="shared" si="146"/>
        <v>106</v>
      </c>
      <c r="D74" s="1532">
        <f t="shared" si="108"/>
        <v>106</v>
      </c>
      <c r="E74" s="1532">
        <f t="shared" ref="E74:F76" si="147">E75+(E$73-E$77)/4</f>
        <v>104.5</v>
      </c>
      <c r="F74" s="1532">
        <f t="shared" si="147"/>
        <v>101.5</v>
      </c>
      <c r="G74" s="3405">
        <v>2002</v>
      </c>
      <c r="H74" s="1483">
        <v>3</v>
      </c>
      <c r="I74" s="1530"/>
      <c r="J74" s="1530"/>
      <c r="K74" s="1530"/>
      <c r="L74" s="1530"/>
      <c r="X74" s="1522"/>
      <c r="Y74" s="1522"/>
      <c r="Z74" s="1522"/>
    </row>
    <row r="75" spans="1:26">
      <c r="A75" s="1457" t="s">
        <v>1205</v>
      </c>
      <c r="B75" s="1532">
        <f t="shared" si="146"/>
        <v>104</v>
      </c>
      <c r="C75" s="1532">
        <f t="shared" si="146"/>
        <v>105</v>
      </c>
      <c r="D75" s="1532">
        <f t="shared" si="108"/>
        <v>105</v>
      </c>
      <c r="E75" s="1532">
        <f t="shared" si="147"/>
        <v>104</v>
      </c>
      <c r="F75" s="1532">
        <f t="shared" si="147"/>
        <v>101</v>
      </c>
      <c r="G75" s="3405">
        <v>2002</v>
      </c>
      <c r="H75" s="1461">
        <v>2</v>
      </c>
      <c r="I75" s="1530"/>
      <c r="J75" s="1530"/>
      <c r="K75" s="1530"/>
      <c r="L75" s="1530"/>
      <c r="X75" s="1522"/>
      <c r="Y75" s="1522"/>
      <c r="Z75" s="1522"/>
    </row>
    <row r="76" spans="1:26" s="1494" customFormat="1" ht="13.5" thickBot="1">
      <c r="A76" s="1490" t="s">
        <v>1206</v>
      </c>
      <c r="B76" s="1536">
        <f t="shared" si="146"/>
        <v>103</v>
      </c>
      <c r="C76" s="1536">
        <f t="shared" si="146"/>
        <v>104</v>
      </c>
      <c r="D76" s="1536">
        <f t="shared" si="108"/>
        <v>104</v>
      </c>
      <c r="E76" s="1536">
        <f t="shared" si="147"/>
        <v>103.5</v>
      </c>
      <c r="F76" s="1536">
        <f t="shared" si="147"/>
        <v>100.5</v>
      </c>
      <c r="G76" s="3406">
        <v>2002</v>
      </c>
      <c r="H76" s="1537">
        <v>1</v>
      </c>
      <c r="I76" s="1538"/>
      <c r="J76" s="1538"/>
      <c r="K76" s="1538"/>
      <c r="L76" s="1538"/>
      <c r="N76" s="1539"/>
      <c r="S76" s="1539"/>
      <c r="X76" s="1540"/>
      <c r="Y76" s="1540"/>
      <c r="Z76" s="1540"/>
    </row>
    <row r="77" spans="1:26" ht="13.5" thickBot="1">
      <c r="B77" s="1541">
        <v>102</v>
      </c>
      <c r="C77" s="1542">
        <v>103</v>
      </c>
      <c r="D77" s="1542">
        <f t="shared" si="108"/>
        <v>103</v>
      </c>
      <c r="E77" s="1542">
        <v>103</v>
      </c>
      <c r="F77" s="1543">
        <v>100</v>
      </c>
      <c r="I77" s="1530"/>
      <c r="J77" s="1530"/>
      <c r="K77" s="1530"/>
      <c r="L77" s="1530"/>
      <c r="N77" s="1531"/>
      <c r="O77" s="1530"/>
      <c r="P77" s="1530"/>
      <c r="Q77" s="1530"/>
      <c r="S77" s="1531"/>
      <c r="T77" s="1530"/>
      <c r="U77" s="1530"/>
      <c r="V77" s="1530"/>
      <c r="X77" s="1472"/>
      <c r="Y77" s="1472"/>
      <c r="Z77" s="1472"/>
    </row>
    <row r="79" spans="1:26" s="1545" customFormat="1">
      <c r="A79" s="1544" t="s">
        <v>1207</v>
      </c>
      <c r="G79" s="1546"/>
      <c r="N79" s="1546"/>
      <c r="S79" s="1546"/>
    </row>
    <row r="80" spans="1:26" s="1545" customFormat="1">
      <c r="A80" s="1545" t="s">
        <v>1208</v>
      </c>
      <c r="G80" s="1546"/>
      <c r="N80" s="1546"/>
      <c r="S80" s="1546"/>
    </row>
    <row r="81" spans="1:22" s="1545" customFormat="1">
      <c r="A81" s="1545" t="s">
        <v>1209</v>
      </c>
      <c r="G81" s="1546"/>
      <c r="I81" s="1547"/>
      <c r="J81" s="1547"/>
      <c r="K81" s="1547"/>
      <c r="L81" s="1547"/>
      <c r="N81" s="1548"/>
      <c r="O81" s="1547"/>
      <c r="P81" s="1547"/>
      <c r="Q81" s="1547"/>
      <c r="S81" s="1548"/>
      <c r="T81" s="1547"/>
      <c r="U81" s="1547"/>
      <c r="V81" s="1547"/>
    </row>
    <row r="82" spans="1:22" s="1545" customFormat="1">
      <c r="A82" s="1545" t="s">
        <v>1210</v>
      </c>
      <c r="G82" s="1546"/>
      <c r="N82" s="1546"/>
      <c r="S82" s="1546"/>
    </row>
    <row r="89" spans="1:22" ht="13.5" thickBot="1"/>
    <row r="90" spans="1:22">
      <c r="G90" s="1467"/>
      <c r="S90" s="1549" t="s">
        <v>1211</v>
      </c>
      <c r="T90" s="1550" t="s">
        <v>1212</v>
      </c>
      <c r="U90" s="1550" t="s">
        <v>1213</v>
      </c>
      <c r="V90" s="1550" t="s">
        <v>1214</v>
      </c>
    </row>
    <row r="91" spans="1:22">
      <c r="G91" s="1467"/>
      <c r="N91" s="1471"/>
      <c r="O91" s="1472"/>
      <c r="P91" s="1472"/>
      <c r="Q91" s="1472"/>
      <c r="S91" s="1551">
        <v>2006</v>
      </c>
      <c r="T91" s="1552">
        <v>15.1</v>
      </c>
      <c r="U91" s="1552">
        <v>7.43</v>
      </c>
      <c r="V91" s="1552">
        <v>26.26</v>
      </c>
    </row>
    <row r="92" spans="1:22">
      <c r="G92" s="1467"/>
      <c r="N92" s="1471"/>
      <c r="O92" s="1472"/>
      <c r="P92" s="1472"/>
      <c r="Q92" s="1472"/>
      <c r="S92" s="1553">
        <v>2005</v>
      </c>
      <c r="T92" s="1554">
        <v>13.9</v>
      </c>
      <c r="U92" s="1554">
        <v>7.49</v>
      </c>
      <c r="V92" s="1554">
        <v>24.92</v>
      </c>
    </row>
    <row r="93" spans="1:22">
      <c r="G93" s="1467"/>
      <c r="N93" s="1471"/>
      <c r="O93" s="1472"/>
      <c r="P93" s="1472"/>
      <c r="Q93" s="1472"/>
      <c r="S93" s="1551">
        <v>2004</v>
      </c>
      <c r="T93" s="1552">
        <v>9.48</v>
      </c>
      <c r="U93" s="1552">
        <v>7.2</v>
      </c>
      <c r="V93" s="1552">
        <v>14.68</v>
      </c>
    </row>
    <row r="94" spans="1:22">
      <c r="G94" s="1467"/>
      <c r="N94" s="1471"/>
      <c r="O94" s="1472"/>
      <c r="P94" s="1472"/>
      <c r="Q94" s="1472"/>
      <c r="S94" s="1553">
        <v>2003</v>
      </c>
      <c r="T94" s="1554">
        <v>4.5</v>
      </c>
      <c r="U94" s="1554">
        <v>6.12</v>
      </c>
      <c r="V94" s="1554">
        <v>2.34</v>
      </c>
    </row>
    <row r="95" spans="1:22" ht="13.5" thickBot="1">
      <c r="G95" s="1467"/>
      <c r="N95" s="1471"/>
      <c r="O95" s="1472"/>
      <c r="P95" s="1472"/>
      <c r="Q95" s="1472"/>
      <c r="S95" s="1555">
        <v>2002</v>
      </c>
      <c r="T95" s="1556">
        <v>3.59</v>
      </c>
      <c r="U95" s="1556">
        <v>4.54</v>
      </c>
      <c r="V95" s="1556">
        <v>2.5499999999999998</v>
      </c>
    </row>
    <row r="96" spans="1: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row>
    <row r="105" spans="7:19">
      <c r="G105" s="1467"/>
      <c r="N105" s="1471"/>
      <c r="O105" s="1472"/>
      <c r="P105" s="1472"/>
      <c r="Q105" s="1472"/>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row r="110" spans="7:19">
      <c r="G110" s="1467"/>
      <c r="N110" s="1471"/>
      <c r="O110" s="1472"/>
      <c r="P110" s="1472"/>
      <c r="Q110" s="1472"/>
      <c r="S110" s="1467"/>
    </row>
    <row r="111" spans="7:19">
      <c r="G111" s="1467"/>
      <c r="N111" s="1471"/>
      <c r="O111" s="1472"/>
      <c r="P111" s="1472"/>
      <c r="Q111" s="1472"/>
      <c r="S111" s="1467"/>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3"/>
    <col min="46" max="16384" width="9" style="139"/>
  </cols>
  <sheetData>
    <row r="1" spans="1:45" ht="14.25" customHeight="1" thickBot="1">
      <c r="A1" s="155"/>
      <c r="B1" s="1200" t="s">
        <v>2997</v>
      </c>
      <c r="C1" s="3414" t="s">
        <v>2998</v>
      </c>
      <c r="D1" s="3415"/>
      <c r="E1" s="3415"/>
      <c r="F1" s="3415"/>
      <c r="G1" s="3415"/>
      <c r="H1" s="3415"/>
      <c r="I1" s="3415"/>
      <c r="J1" s="3415"/>
      <c r="K1" s="3415"/>
      <c r="L1" s="3415"/>
      <c r="M1" s="3415"/>
      <c r="N1" s="3415"/>
      <c r="O1" s="3415"/>
      <c r="P1" s="3415"/>
      <c r="Q1" s="3415"/>
      <c r="R1" s="3415"/>
      <c r="S1" s="3416"/>
      <c r="T1" s="1200" t="s">
        <v>2999</v>
      </c>
    </row>
    <row r="2" spans="1:45" s="706" customFormat="1">
      <c r="A2" s="1201"/>
      <c r="B2" s="702" t="s">
        <v>3000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3"/>
      <c r="B3" s="707"/>
      <c r="C3" s="708"/>
      <c r="D3" s="709"/>
      <c r="E3" s="709"/>
      <c r="F3" s="1699"/>
      <c r="G3" s="1699"/>
      <c r="H3" s="1699"/>
      <c r="I3" s="1699"/>
      <c r="J3" s="1699"/>
      <c r="K3" s="1699"/>
      <c r="L3" s="1700"/>
      <c r="M3" s="1701"/>
      <c r="N3" s="1701"/>
      <c r="O3" s="1699"/>
      <c r="P3" s="1699"/>
      <c r="Q3" s="1699"/>
      <c r="R3" s="1699"/>
      <c r="S3" s="1702"/>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4"/>
      <c r="B4" s="1205"/>
      <c r="C4" s="1206"/>
      <c r="D4" s="1207"/>
      <c r="E4" s="1207"/>
      <c r="F4" s="1703"/>
      <c r="G4" s="1703"/>
      <c r="H4" s="1703"/>
      <c r="I4" s="1703"/>
      <c r="J4" s="1703"/>
      <c r="K4" s="1703"/>
      <c r="L4" s="1703"/>
      <c r="M4" s="1704"/>
      <c r="N4" s="1704"/>
      <c r="O4" s="1703"/>
      <c r="P4" s="1703"/>
      <c r="Q4" s="1703"/>
      <c r="R4" s="1703"/>
      <c r="S4" s="1705"/>
      <c r="T4" s="1210"/>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1"/>
      <c r="B5" s="1764" t="s">
        <v>3001</v>
      </c>
      <c r="C5" s="1212"/>
      <c r="D5" s="1213"/>
      <c r="E5" s="1213"/>
      <c r="F5" s="1706"/>
      <c r="G5" s="1706"/>
      <c r="H5" s="1706"/>
      <c r="I5" s="1706"/>
      <c r="J5" s="1706"/>
      <c r="K5" s="1706"/>
      <c r="L5" s="1707"/>
      <c r="M5" s="1708"/>
      <c r="N5" s="1708"/>
      <c r="O5" s="1706"/>
      <c r="P5" s="1706"/>
      <c r="Q5" s="1706"/>
      <c r="R5" s="1706"/>
      <c r="S5" s="1709"/>
      <c r="T5" s="1215"/>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1"/>
      <c r="B6" s="1112"/>
      <c r="C6" s="1118">
        <v>100</v>
      </c>
      <c r="D6" s="1115">
        <f>C6-$T5</f>
        <v>100</v>
      </c>
      <c r="E6" s="1115">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1"/>
      <c r="B7" s="1765" t="s">
        <v>3002</v>
      </c>
      <c r="C7" s="1117"/>
      <c r="D7" s="1111"/>
      <c r="E7" s="1111"/>
      <c r="F7" s="1711"/>
      <c r="G7" s="1711"/>
      <c r="H7" s="1711"/>
      <c r="I7" s="1711"/>
      <c r="J7" s="1711"/>
      <c r="K7" s="1711"/>
      <c r="L7" s="1711"/>
      <c r="M7" s="1712"/>
      <c r="N7" s="1713"/>
      <c r="O7" s="1714"/>
      <c r="P7" s="1715"/>
      <c r="Q7" s="1716"/>
      <c r="R7" s="1717"/>
      <c r="S7" s="1718"/>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1"/>
      <c r="B8" s="1112"/>
      <c r="C8" s="1118">
        <v>100</v>
      </c>
      <c r="D8" s="1115">
        <f>C8-$T7</f>
        <v>100</v>
      </c>
      <c r="E8" s="1115">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1"/>
      <c r="B9" s="1765" t="s">
        <v>3003</v>
      </c>
      <c r="C9" s="1117"/>
      <c r="D9" s="1111"/>
      <c r="E9" s="1111"/>
      <c r="F9" s="1711"/>
      <c r="G9" s="1711"/>
      <c r="H9" s="1711"/>
      <c r="I9" s="1711"/>
      <c r="J9" s="1711"/>
      <c r="K9" s="1711"/>
      <c r="L9" s="1719"/>
      <c r="M9" s="1712"/>
      <c r="N9" s="1713"/>
      <c r="O9" s="1714"/>
      <c r="P9" s="1715"/>
      <c r="Q9" s="1716"/>
      <c r="R9" s="1717"/>
      <c r="S9" s="1718"/>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1"/>
      <c r="B10" s="1205"/>
      <c r="C10" s="1216">
        <v>100</v>
      </c>
      <c r="D10" s="1217">
        <f>C10-$T9</f>
        <v>100</v>
      </c>
      <c r="E10" s="1217">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0"/>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1"/>
      <c r="B11" s="1764" t="s">
        <v>3004</v>
      </c>
      <c r="C11" s="1212"/>
      <c r="D11" s="1213"/>
      <c r="E11" s="1213"/>
      <c r="F11" s="1213"/>
      <c r="G11" s="1213"/>
      <c r="H11" s="1213"/>
      <c r="I11" s="1213"/>
      <c r="J11" s="1213"/>
      <c r="K11" s="1213"/>
      <c r="L11" s="1213"/>
      <c r="M11" s="1214"/>
      <c r="N11" s="1218"/>
      <c r="O11" s="1219"/>
      <c r="P11" s="1220"/>
      <c r="Q11" s="1221"/>
      <c r="R11" s="1222"/>
      <c r="S11" s="1223"/>
      <c r="T11" s="1215"/>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1"/>
      <c r="B13" s="1764" t="s">
        <v>3005</v>
      </c>
      <c r="C13" s="1212"/>
      <c r="D13" s="1213"/>
      <c r="E13" s="1213"/>
      <c r="F13" s="1213"/>
      <c r="G13" s="1213"/>
      <c r="H13" s="1213"/>
      <c r="I13" s="1213"/>
      <c r="J13" s="1213"/>
      <c r="K13" s="1213"/>
      <c r="L13" s="1213"/>
      <c r="M13" s="1214"/>
      <c r="N13" s="1218"/>
      <c r="O13" s="1219"/>
      <c r="P13" s="1220"/>
      <c r="Q13" s="1221"/>
      <c r="R13" s="1222"/>
      <c r="S13" s="1223"/>
      <c r="T13" s="1224"/>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1"/>
      <c r="B15" s="1764" t="s">
        <v>3006</v>
      </c>
      <c r="C15" s="1212"/>
      <c r="D15" s="1213"/>
      <c r="E15" s="1213"/>
      <c r="F15" s="1213"/>
      <c r="G15" s="1213"/>
      <c r="H15" s="1213"/>
      <c r="I15" s="1213"/>
      <c r="J15" s="1213"/>
      <c r="K15" s="1213"/>
      <c r="L15" s="1213"/>
      <c r="M15" s="1214"/>
      <c r="N15" s="1218"/>
      <c r="O15" s="1219"/>
      <c r="P15" s="1220"/>
      <c r="Q15" s="1221"/>
      <c r="R15" s="1222"/>
      <c r="S15" s="1223"/>
      <c r="T15" s="1224"/>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899" t="s">
        <v>3007</v>
      </c>
      <c r="B17" s="2900" t="s">
        <v>3008</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4"/>
      <c r="AS17" s="794"/>
    </row>
    <row r="18" spans="1:45" s="706"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4"/>
      <c r="AS18" s="794"/>
    </row>
    <row r="19" spans="1:45">
      <c r="A19" s="138"/>
      <c r="B19" s="168"/>
      <c r="C19" s="168"/>
      <c r="D19" s="2901" t="s">
        <v>3009</v>
      </c>
      <c r="E19" s="1787"/>
      <c r="F19" s="1787"/>
      <c r="G19" s="1787"/>
      <c r="H19" s="1276"/>
      <c r="I19" s="168"/>
      <c r="J19" s="168"/>
      <c r="K19" s="168"/>
      <c r="L19" s="168"/>
      <c r="M19" s="168"/>
      <c r="N19" s="168"/>
      <c r="O19" s="168"/>
      <c r="P19" s="168"/>
      <c r="Q19" s="168"/>
      <c r="R19" s="786"/>
      <c r="S19" s="138"/>
    </row>
    <row r="20" spans="1:45" ht="16.5" thickBot="1">
      <c r="A20" s="714" t="s">
        <v>3010</v>
      </c>
      <c r="B20" s="338" t="e">
        <f ca="1">IF(D20="——",S22,S22-F20)</f>
        <v>#REF!</v>
      </c>
      <c r="C20" s="168"/>
      <c r="D20" s="2902" t="s">
        <v>3011</v>
      </c>
      <c r="E20" s="1788"/>
      <c r="F20" s="1200" t="e">
        <f ca="1">SUMIF(INDIRECT("'"&amp;H20&amp;"'"&amp;"!A:A"),"承租人权益价值",INDIRECT("'"&amp;H20&amp;"'"&amp;"!c:c"))</f>
        <v>#REF!</v>
      </c>
      <c r="G20" s="1200" t="s">
        <v>3012</v>
      </c>
      <c r="H20" s="2903"/>
      <c r="I20" s="168"/>
      <c r="J20" s="168"/>
      <c r="K20" s="168"/>
      <c r="L20" s="168"/>
      <c r="M20" s="168"/>
      <c r="N20" s="168"/>
      <c r="O20" s="168"/>
      <c r="P20" s="168"/>
      <c r="Q20" s="168"/>
      <c r="R20" s="786"/>
      <c r="S20" s="138"/>
    </row>
    <row r="21" spans="1:45" ht="15.75">
      <c r="A21" s="714" t="s">
        <v>3013</v>
      </c>
      <c r="B21" s="338">
        <f>R22</f>
        <v>10000</v>
      </c>
      <c r="C21" s="168"/>
      <c r="D21" s="168"/>
      <c r="E21" s="168"/>
      <c r="F21" s="168"/>
      <c r="G21" s="168"/>
      <c r="H21" s="168"/>
      <c r="I21" s="168"/>
      <c r="J21" s="168"/>
      <c r="K21" s="168"/>
      <c r="L21" s="168"/>
      <c r="M21" s="168"/>
      <c r="N21" s="168"/>
      <c r="O21" s="168"/>
      <c r="P21" s="168"/>
      <c r="Q21" s="168"/>
      <c r="R21" s="786"/>
      <c r="S21" s="138"/>
    </row>
    <row r="22" spans="1:45">
      <c r="A22" s="361" t="s">
        <v>3014</v>
      </c>
      <c r="B22" s="24">
        <f>SUM(B24:B10000)</f>
        <v>100</v>
      </c>
      <c r="C22" s="3182" t="s">
        <v>33</v>
      </c>
      <c r="D22" s="3183"/>
      <c r="E22" s="3183"/>
      <c r="F22" s="3183"/>
      <c r="G22" s="3183"/>
      <c r="H22" s="3183"/>
      <c r="I22" s="3183"/>
      <c r="J22" s="3183"/>
      <c r="K22" s="3183"/>
      <c r="L22" s="3183"/>
      <c r="M22" s="3183"/>
      <c r="N22" s="3183"/>
      <c r="O22" s="3183"/>
      <c r="P22" s="3183"/>
      <c r="Q22" s="3413"/>
      <c r="R22" s="715">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3020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3081" t="str">
        <f>IF(项目基本情况!B9="房地产市场价值","估价结果一览表","结果表-2")</f>
        <v>结果表-2</v>
      </c>
      <c r="B1" s="3081"/>
      <c r="C1" s="3081"/>
      <c r="D1" s="3081"/>
      <c r="E1" s="3081"/>
      <c r="F1" s="3081"/>
      <c r="G1" s="3081"/>
      <c r="H1" s="3081"/>
      <c r="I1" s="3081"/>
    </row>
    <row r="2" spans="1:9" ht="30" customHeight="1" thickTop="1">
      <c r="A2" s="3082" t="s">
        <v>1636</v>
      </c>
      <c r="B2" s="3082" t="s">
        <v>1637</v>
      </c>
      <c r="C2" s="3082" t="s">
        <v>1638</v>
      </c>
      <c r="D2" s="3082" t="str">
        <f>结果表!D116</f>
        <v>出让国有建设用地使用权价值</v>
      </c>
      <c r="E2" s="3082"/>
      <c r="F2" s="3082" t="str">
        <f>结果表!F116</f>
        <v>在建建筑物价值</v>
      </c>
      <c r="G2" s="3082"/>
      <c r="H2" s="3082" t="str">
        <f>IF(项目基本情况!B9="房地产市场价值","房地产市场价值","房地产价值")</f>
        <v>房地产价值</v>
      </c>
      <c r="I2" s="3082"/>
    </row>
    <row r="3" spans="1:9" ht="15">
      <c r="A3" s="3083"/>
      <c r="B3" s="3083"/>
      <c r="C3" s="3083"/>
      <c r="D3" s="1040" t="s">
        <v>1633</v>
      </c>
      <c r="E3" s="1040" t="s">
        <v>1639</v>
      </c>
      <c r="F3" s="1040" t="s">
        <v>1633</v>
      </c>
      <c r="G3" s="1040" t="s">
        <v>1634</v>
      </c>
      <c r="H3" s="1040" t="s">
        <v>1633</v>
      </c>
      <c r="I3" s="1040" t="s">
        <v>1634</v>
      </c>
    </row>
    <row r="4" spans="1:9" ht="60">
      <c r="A4" s="1967" t="str">
        <f>项目基本情况!S2</f>
        <v>重庆市江北区观音桥组团I分区I29-3-1/02地块“隆鑫中心”综合项目出让国有建设用地使用权及在建建筑物房地产</v>
      </c>
      <c r="B4" s="1040">
        <f>项目基本情况!C17</f>
        <v>378144.48</v>
      </c>
      <c r="C4" s="1040">
        <f>项目基本情况!C18</f>
        <v>25136</v>
      </c>
      <c r="D4" s="1040">
        <f ca="1">结果表!D118</f>
        <v>347552</v>
      </c>
      <c r="E4" s="1040">
        <f ca="1">结果表!E118</f>
        <v>9191</v>
      </c>
      <c r="F4" s="1040">
        <f ca="1">结果表!F118</f>
        <v>101481</v>
      </c>
      <c r="G4" s="1040">
        <f ca="1">结果表!G118</f>
        <v>2684</v>
      </c>
      <c r="H4" s="1040">
        <f ca="1">结果表!H118</f>
        <v>449033</v>
      </c>
      <c r="I4" s="1040">
        <f ca="1">结果表!I118</f>
        <v>11875</v>
      </c>
    </row>
    <row r="5" spans="1:9" ht="30" customHeight="1">
      <c r="A5" s="3083" t="s">
        <v>1635</v>
      </c>
      <c r="B5" s="3083"/>
      <c r="C5" s="3083"/>
      <c r="D5" s="3084" t="str">
        <f ca="1">结果表!D119</f>
        <v>叁拾肆亿柒仟伍佰伍拾贰万元整</v>
      </c>
      <c r="E5" s="3084"/>
      <c r="F5" s="3084" t="str">
        <f ca="1">结果表!F119</f>
        <v>壹拾亿壹仟肆佰捌拾壹万元整</v>
      </c>
      <c r="G5" s="3084"/>
      <c r="H5" s="3084" t="str">
        <f ca="1">结果表!H119</f>
        <v>肆拾肆亿玖仟零叁拾叁万元整</v>
      </c>
      <c r="I5" s="3084"/>
    </row>
    <row r="6" spans="1:9" ht="15.75">
      <c r="A6" s="3085" t="str">
        <f>结果表!A120</f>
        <v>估价师知悉的法定优先受偿款</v>
      </c>
      <c r="B6" s="3085"/>
      <c r="C6" s="3085"/>
      <c r="D6" s="3085">
        <f>结果表!D120</f>
        <v>18844.7</v>
      </c>
      <c r="E6" s="3085"/>
      <c r="F6" s="3085"/>
      <c r="G6" s="3085"/>
      <c r="H6" s="3085"/>
      <c r="I6" s="3085"/>
    </row>
    <row r="7" spans="1:9" ht="15">
      <c r="A7" s="3083" t="s">
        <v>1635</v>
      </c>
      <c r="B7" s="3083"/>
      <c r="C7" s="3083"/>
      <c r="D7" s="3086" t="str">
        <f>结果表!D121</f>
        <v>壹亿捌仟捌佰肆拾肆万柒仟元整</v>
      </c>
      <c r="E7" s="3087"/>
      <c r="F7" s="3087"/>
      <c r="G7" s="3087"/>
      <c r="H7" s="3087"/>
      <c r="I7" s="3088"/>
    </row>
    <row r="8" spans="1:9" ht="15.75">
      <c r="A8" s="3085" t="str">
        <f>结果表!A122</f>
        <v>房地产抵押价值</v>
      </c>
      <c r="B8" s="3085"/>
      <c r="C8" s="3085"/>
      <c r="D8" s="3085">
        <f ca="1">结果表!D122</f>
        <v>430188.3</v>
      </c>
      <c r="E8" s="3085"/>
      <c r="F8" s="3085"/>
      <c r="G8" s="3085"/>
      <c r="H8" s="3085"/>
      <c r="I8" s="3085"/>
    </row>
    <row r="9" spans="1:9" ht="15">
      <c r="A9" s="3083" t="s">
        <v>1635</v>
      </c>
      <c r="B9" s="3083"/>
      <c r="C9" s="3083"/>
      <c r="D9" s="3084" t="str">
        <f ca="1">结果表!D123</f>
        <v>肆拾叁亿零壹佰捌拾捌万叁仟元整</v>
      </c>
      <c r="E9" s="3084"/>
      <c r="F9" s="3084"/>
      <c r="G9" s="3084"/>
      <c r="H9" s="3084"/>
      <c r="I9" s="3084"/>
    </row>
    <row r="10" spans="1:9" ht="15.75">
      <c r="A10" s="3085" t="str">
        <f>结果表!A124</f>
        <v/>
      </c>
      <c r="B10" s="3085"/>
      <c r="C10" s="3085"/>
      <c r="D10" s="3085" t="str">
        <f>结果表!D124</f>
        <v>——</v>
      </c>
      <c r="E10" s="3085"/>
      <c r="F10" s="3085"/>
      <c r="G10" s="3085"/>
      <c r="H10" s="3085"/>
      <c r="I10" s="3085"/>
    </row>
    <row r="11" spans="1:9" ht="15">
      <c r="A11" s="3083" t="s">
        <v>1635</v>
      </c>
      <c r="B11" s="3083"/>
      <c r="C11" s="3083"/>
      <c r="D11" s="3084" t="e">
        <f>结果表!D125</f>
        <v>#VALUE!</v>
      </c>
      <c r="E11" s="3084"/>
      <c r="F11" s="3084"/>
      <c r="G11" s="3084"/>
      <c r="H11" s="3084"/>
      <c r="I11" s="3084"/>
    </row>
    <row r="12" spans="1:9" ht="15.75">
      <c r="A12" s="3085" t="str">
        <f>结果表!A126</f>
        <v/>
      </c>
      <c r="B12" s="3085"/>
      <c r="C12" s="3085"/>
      <c r="D12" s="3085" t="str">
        <f>结果表!D126</f>
        <v>——</v>
      </c>
      <c r="E12" s="3085"/>
      <c r="F12" s="3085"/>
      <c r="G12" s="3085"/>
      <c r="H12" s="3085"/>
      <c r="I12" s="3085"/>
    </row>
    <row r="13" spans="1:9" ht="15.75" thickBot="1">
      <c r="A13" s="3089" t="s">
        <v>1635</v>
      </c>
      <c r="B13" s="3089"/>
      <c r="C13" s="3089"/>
      <c r="D13" s="3090" t="e">
        <f>结果表!D127</f>
        <v>#VALUE!</v>
      </c>
      <c r="E13" s="3090"/>
      <c r="F13" s="3090"/>
      <c r="G13" s="3090"/>
      <c r="H13" s="3090"/>
      <c r="I13" s="3090"/>
    </row>
    <row r="14" spans="1:9" ht="15" thickTop="1">
      <c r="A14" s="3091" t="s">
        <v>1640</v>
      </c>
      <c r="B14" s="3091"/>
      <c r="C14" s="3091"/>
      <c r="D14" s="3091"/>
      <c r="E14" s="3091"/>
      <c r="F14" s="3091"/>
      <c r="G14" s="3091"/>
      <c r="H14" s="3091"/>
      <c r="I14" s="3091"/>
    </row>
    <row r="16" spans="1:9" ht="18.75">
      <c r="A16" s="1968" t="s">
        <v>1623</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121498</v>
      </c>
      <c r="C2" s="2" t="s">
        <v>133</v>
      </c>
      <c r="D2" s="243"/>
      <c r="E2" s="243"/>
      <c r="F2" s="243"/>
      <c r="G2" s="243"/>
    </row>
    <row r="3" spans="1:7" s="244" customFormat="1" ht="18" customHeight="1" thickBot="1">
      <c r="A3" s="247" t="s">
        <v>85</v>
      </c>
      <c r="B3" s="248">
        <f ca="1">ROUND(B2*10000/'数据-汇总表'!E3,0)</f>
        <v>3213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1145</v>
      </c>
    </row>
    <row r="9" spans="1:7" s="258" customFormat="1" ht="13.5" customHeight="1">
      <c r="A9" s="946" t="s">
        <v>800</v>
      </c>
      <c r="B9" s="268" t="s">
        <v>93</v>
      </c>
      <c r="C9" s="269">
        <f>ROUND(D9*E9/10000,0)</f>
        <v>2656</v>
      </c>
      <c r="D9" s="1028">
        <f>'数据-汇总表'!E5</f>
        <v>91600</v>
      </c>
      <c r="E9" s="269">
        <f>'数据-取费表'!B27</f>
        <v>290</v>
      </c>
      <c r="F9" s="265"/>
      <c r="G9" s="270"/>
    </row>
    <row r="10" spans="1:7" s="258" customFormat="1" ht="13.5" customHeight="1">
      <c r="A10" s="946" t="s">
        <v>801</v>
      </c>
      <c r="B10" s="268" t="s">
        <v>94</v>
      </c>
      <c r="C10" s="269">
        <f>ROUND(D10*E10/10000,0)</f>
        <v>8310</v>
      </c>
      <c r="D10" s="1028">
        <f>'数据-汇总表'!E6</f>
        <v>286544.48</v>
      </c>
      <c r="E10" s="269">
        <f>'数据-取费表'!B28</f>
        <v>290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1052</v>
      </c>
      <c r="B19" s="254" t="s">
        <v>111</v>
      </c>
      <c r="C19" s="255">
        <f>IF(G19="已包含在土地取得成本中","0",ROUND(D19*E19/10000,0))</f>
        <v>5672</v>
      </c>
      <c r="D19" s="1032">
        <f>'数据-汇总表'!E3</f>
        <v>378144.48</v>
      </c>
      <c r="E19" s="255">
        <f>'数据-取费表'!B31</f>
        <v>150</v>
      </c>
      <c r="F19" s="275"/>
      <c r="G19" s="1" t="s">
        <v>1071</v>
      </c>
    </row>
    <row r="20" spans="1:7" s="258" customFormat="1" ht="13.5" customHeight="1">
      <c r="A20" s="944" t="s">
        <v>1054</v>
      </c>
      <c r="B20" s="254" t="s">
        <v>104</v>
      </c>
      <c r="C20" s="276">
        <f>ROUND((C5+C19)*F20,0)</f>
        <v>657</v>
      </c>
      <c r="D20" s="276"/>
      <c r="E20" s="276"/>
      <c r="F20" s="277">
        <f>'数据-取费表'!B37</f>
        <v>2.5000000000000001E-2</v>
      </c>
      <c r="G20" s="1285" t="s">
        <v>1065</v>
      </c>
    </row>
    <row r="21" spans="1:7" s="258" customFormat="1" ht="13.5" customHeight="1">
      <c r="A21" s="944" t="s">
        <v>1056</v>
      </c>
      <c r="B21" s="254" t="s">
        <v>105</v>
      </c>
      <c r="C21" s="279">
        <f>F21</f>
        <v>0.03</v>
      </c>
      <c r="D21" s="280" t="s">
        <v>126</v>
      </c>
      <c r="E21" s="276"/>
      <c r="F21" s="277">
        <f>'数据-取费表'!B38</f>
        <v>0.03</v>
      </c>
      <c r="G21" s="278" t="s">
        <v>106</v>
      </c>
    </row>
    <row r="22" spans="1:7" s="258" customFormat="1" ht="13.5" customHeight="1">
      <c r="A22" s="944" t="s">
        <v>786</v>
      </c>
      <c r="B22" s="254" t="s">
        <v>107</v>
      </c>
      <c r="C22" s="1350">
        <f ca="1">ROUND(SUM(C23:C25),0)</f>
        <v>2587</v>
      </c>
      <c r="D22" s="279">
        <f ca="1">C26</f>
        <v>1.4E-3</v>
      </c>
      <c r="E22" s="280" t="s">
        <v>126</v>
      </c>
      <c r="F22" s="281">
        <f ca="1">'数据-取费表'!B40</f>
        <v>4.7500000000000001E-2</v>
      </c>
      <c r="G22" s="1285" t="str">
        <f>IF('数据-取费表'!B22&lt;=1,"单利计息","复利计息")</f>
        <v>复利计息</v>
      </c>
    </row>
    <row r="23" spans="1:7" s="258" customFormat="1" ht="13.5" customHeight="1">
      <c r="A23" s="947" t="s">
        <v>794</v>
      </c>
      <c r="B23" s="259" t="s">
        <v>1058</v>
      </c>
      <c r="C23" s="1351">
        <f ca="1">ROUND(IF('数据-取费表'!B22&lt;=1,C5*F22*'数据-取费表'!B23,C5*(POWER((1+F22),'数据-取费表'!B23)-1)),0)</f>
        <v>2004</v>
      </c>
      <c r="D23" s="282"/>
      <c r="E23" s="282"/>
      <c r="F23" s="283"/>
      <c r="G23" s="284" t="s">
        <v>108</v>
      </c>
    </row>
    <row r="24" spans="1:7" s="258" customFormat="1" ht="13.5" customHeight="1">
      <c r="A24" s="947" t="s">
        <v>792</v>
      </c>
      <c r="B24" s="259" t="s">
        <v>1053</v>
      </c>
      <c r="C24" s="1351">
        <f ca="1">ROUND(IF('数据-取费表'!B22&lt;=1,C19*F22*('数据-取费表'!B19/2+'数据-取费表'!B21),C19*(POWER((1+F22),('数据-取费表'!B19/2+'数据-取费表'!B21))-1)),0)</f>
        <v>552</v>
      </c>
      <c r="D24" s="282"/>
      <c r="E24" s="282"/>
      <c r="F24" s="283"/>
      <c r="G24" s="284" t="s">
        <v>109</v>
      </c>
    </row>
    <row r="25" spans="1:7" s="258" customFormat="1" ht="24">
      <c r="A25" s="947" t="s">
        <v>793</v>
      </c>
      <c r="B25" s="259" t="s">
        <v>1055</v>
      </c>
      <c r="C25" s="1351">
        <f ca="1">ROUND(IF('数据-取费表'!B22&lt;=1,C20*F22*'数据-取费表'!B23/2,C20*(POWER((1+F22),'数据-取费表'!B23/2)-1)),0)</f>
        <v>31</v>
      </c>
      <c r="D25" s="282"/>
      <c r="E25" s="285"/>
      <c r="F25" s="283"/>
      <c r="G25" s="286" t="s">
        <v>110</v>
      </c>
    </row>
    <row r="26" spans="1:7" s="258" customFormat="1">
      <c r="A26" s="947" t="s">
        <v>795</v>
      </c>
      <c r="B26" s="259" t="s">
        <v>1057</v>
      </c>
      <c r="C26" s="282">
        <f ca="1">ROUND(IF('数据-取费表'!B22&lt;=1,F21*F22*'数据-取费表'!B23/2,F21*(POWER((1+F22),'数据-取费表'!B23/2)-1)),4)</f>
        <v>1.4E-3</v>
      </c>
      <c r="D26" s="282"/>
      <c r="E26" s="285"/>
      <c r="F26" s="283"/>
      <c r="G26" s="287"/>
    </row>
    <row r="27" spans="1:7" s="258" customFormat="1" ht="24.75">
      <c r="A27" s="944" t="s">
        <v>787</v>
      </c>
      <c r="B27" s="288" t="s">
        <v>112</v>
      </c>
      <c r="C27" s="289">
        <f>C28</f>
        <v>1482</v>
      </c>
      <c r="D27" s="279">
        <f>C29</f>
        <v>1.6999999999999999E-3</v>
      </c>
      <c r="E27" s="280" t="s">
        <v>126</v>
      </c>
      <c r="F27" s="290">
        <f>'数据-取费表'!Q16</f>
        <v>0.11</v>
      </c>
      <c r="G27" s="291" t="s">
        <v>1066</v>
      </c>
    </row>
    <row r="28" spans="1:7" s="258" customFormat="1" ht="13.5" customHeight="1">
      <c r="A28" s="947" t="s">
        <v>794</v>
      </c>
      <c r="B28" s="292" t="s">
        <v>1059</v>
      </c>
      <c r="C28" s="293">
        <f>ROUND((C5+C19+C20)*F27*'数据-取费表'!B21/'数据-取费表'!B20,0)</f>
        <v>1482</v>
      </c>
      <c r="D28" s="279"/>
      <c r="E28" s="280"/>
      <c r="F28" s="290"/>
      <c r="G28" s="291"/>
    </row>
    <row r="29" spans="1:7" s="258" customFormat="1" ht="13.5" customHeight="1">
      <c r="A29" s="947" t="s">
        <v>792</v>
      </c>
      <c r="B29" s="292" t="s">
        <v>1060</v>
      </c>
      <c r="C29" s="282">
        <f>ROUND(C21*F27*'数据-取费表'!B21/'数据-取费表'!B20,4)</f>
        <v>1.6999999999999999E-3</v>
      </c>
      <c r="D29" s="279"/>
      <c r="E29" s="280"/>
      <c r="F29" s="290"/>
      <c r="G29" s="291"/>
    </row>
    <row r="30" spans="1:7" s="258" customFormat="1" ht="13.5" customHeight="1">
      <c r="A30" s="944"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33942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67300</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60174</v>
      </c>
      <c r="D34" s="261"/>
      <c r="E34" s="264"/>
      <c r="F34" s="301">
        <f>IF('数据-取费表'!B24=0,1,'数据-取费表'!N16)</f>
        <v>0.42499999999999999</v>
      </c>
      <c r="G34" s="263" t="s">
        <v>116</v>
      </c>
    </row>
    <row r="35" spans="1:7" ht="13.5" customHeight="1">
      <c r="A35" s="947" t="s">
        <v>796</v>
      </c>
      <c r="B35" s="259" t="s">
        <v>60</v>
      </c>
      <c r="C35" s="264">
        <f>ROUND(C34*F35,0)</f>
        <v>3009</v>
      </c>
      <c r="D35" s="264"/>
      <c r="E35" s="264"/>
      <c r="F35" s="303">
        <f>'数据-取费表'!B33</f>
        <v>0.05</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47" t="s">
        <v>798</v>
      </c>
      <c r="B37" s="259" t="s">
        <v>118</v>
      </c>
      <c r="C37" s="293">
        <f>ROUND(E37*D37*F34/10000,0)</f>
        <v>3214</v>
      </c>
      <c r="D37" s="261">
        <f>'数据-汇总表'!E3</f>
        <v>378144.48</v>
      </c>
      <c r="E37" s="293">
        <f>'数据-取费表'!B35</f>
        <v>200</v>
      </c>
      <c r="F37" s="303"/>
      <c r="G37" s="305" t="s">
        <v>119</v>
      </c>
    </row>
    <row r="38" spans="1:7" ht="13.5" customHeight="1">
      <c r="A38" s="947" t="s">
        <v>799</v>
      </c>
      <c r="B38" s="259" t="s">
        <v>63</v>
      </c>
      <c r="C38" s="264">
        <f>ROUND(C34*F38,0)</f>
        <v>903</v>
      </c>
      <c r="D38" s="264"/>
      <c r="E38" s="264"/>
      <c r="F38" s="303">
        <f>'数据-取费表'!B36</f>
        <v>1.4999999999999999E-2</v>
      </c>
      <c r="G38" s="263" t="s">
        <v>117</v>
      </c>
    </row>
    <row r="39" spans="1:7" s="258" customFormat="1" ht="13.5" customHeight="1">
      <c r="A39" s="944" t="s">
        <v>783</v>
      </c>
      <c r="B39" s="254" t="s">
        <v>104</v>
      </c>
      <c r="C39" s="276">
        <f>ROUND(C33*F20,0)</f>
        <v>1683</v>
      </c>
      <c r="D39" s="276"/>
      <c r="E39" s="276"/>
      <c r="F39" s="277"/>
      <c r="G39" s="1285" t="s">
        <v>1068</v>
      </c>
    </row>
    <row r="40" spans="1:7" s="258" customFormat="1" ht="13.5" customHeight="1">
      <c r="A40" s="944" t="s">
        <v>784</v>
      </c>
      <c r="B40" s="254" t="s">
        <v>105</v>
      </c>
      <c r="C40" s="306">
        <f>F21</f>
        <v>0.03</v>
      </c>
      <c r="D40" s="280" t="s">
        <v>129</v>
      </c>
      <c r="E40" s="276"/>
      <c r="F40" s="277"/>
      <c r="G40" s="278" t="s">
        <v>120</v>
      </c>
    </row>
    <row r="41" spans="1:7" s="258" customFormat="1" ht="13.5" customHeight="1">
      <c r="A41" s="944" t="s">
        <v>785</v>
      </c>
      <c r="B41" s="254" t="s">
        <v>107</v>
      </c>
      <c r="C41" s="276">
        <f ca="1">ROUND(SUM(C42:C43),0)</f>
        <v>3277</v>
      </c>
      <c r="D41" s="279">
        <f ca="1">C44</f>
        <v>1.4E-3</v>
      </c>
      <c r="E41" s="280" t="s">
        <v>129</v>
      </c>
      <c r="F41" s="281"/>
      <c r="G41" s="1285" t="str">
        <f>IF('数据-取费表'!B22&lt;=1,"单利计息","复利计息")</f>
        <v>复利计息</v>
      </c>
    </row>
    <row r="42" spans="1:7" ht="13.5" customHeight="1">
      <c r="A42" s="947" t="s">
        <v>794</v>
      </c>
      <c r="B42" s="259" t="s">
        <v>1058</v>
      </c>
      <c r="C42" s="282">
        <f ca="1">ROUND(IF('数据-取费表'!B22&lt;=1,C33*F22*'数据-取费表'!B21/2,C33*(POWER((1+F22),'数据-取费表'!B21/2)-1)),0)</f>
        <v>3197</v>
      </c>
      <c r="D42" s="282"/>
      <c r="E42" s="282"/>
      <c r="F42" s="283"/>
      <c r="G42" s="3271" t="s">
        <v>121</v>
      </c>
    </row>
    <row r="43" spans="1:7" ht="13.5" customHeight="1">
      <c r="A43" s="947" t="s">
        <v>792</v>
      </c>
      <c r="B43" s="259" t="s">
        <v>1061</v>
      </c>
      <c r="C43" s="282">
        <f ca="1">ROUND(IF('数据-取费表'!B22&lt;=1,C39*F22*'数据-取费表'!B21/2,C39*(POWER((1+F22),'数据-取费表'!B21/2)-1)),0)</f>
        <v>80</v>
      </c>
      <c r="D43" s="282"/>
      <c r="E43" s="282"/>
      <c r="F43" s="283"/>
      <c r="G43" s="3272"/>
    </row>
    <row r="44" spans="1:7" ht="13.5" customHeight="1">
      <c r="A44" s="947" t="s">
        <v>793</v>
      </c>
      <c r="B44" s="259" t="s">
        <v>1063</v>
      </c>
      <c r="C44" s="282">
        <f ca="1">ROUND(IF('数据-取费表'!B22&lt;=1,C40*F22*'数据-取费表'!B21/2,C40*(POWER((1+F22),'数据-取费表'!B21/2)-1)),4)</f>
        <v>1.4E-3</v>
      </c>
      <c r="D44" s="282"/>
      <c r="E44" s="282"/>
      <c r="F44" s="283"/>
      <c r="G44" s="3273"/>
    </row>
    <row r="45" spans="1:7" s="258" customFormat="1" ht="13.5" customHeight="1">
      <c r="A45" s="944" t="s">
        <v>786</v>
      </c>
      <c r="B45" s="288" t="s">
        <v>112</v>
      </c>
      <c r="C45" s="289">
        <f>C46</f>
        <v>7588</v>
      </c>
      <c r="D45" s="279">
        <f>C47</f>
        <v>3.3E-3</v>
      </c>
      <c r="E45" s="280" t="s">
        <v>129</v>
      </c>
      <c r="F45" s="290"/>
      <c r="G45" s="291" t="s">
        <v>1069</v>
      </c>
    </row>
    <row r="46" spans="1:7" s="258" customFormat="1" ht="13.5" customHeight="1">
      <c r="A46" s="947" t="s">
        <v>794</v>
      </c>
      <c r="B46" s="292" t="s">
        <v>1062</v>
      </c>
      <c r="C46" s="293">
        <f>ROUND((C33+C39)*F27,0)</f>
        <v>7588</v>
      </c>
      <c r="D46" s="307"/>
      <c r="E46" s="280"/>
      <c r="F46" s="290"/>
      <c r="G46" s="291"/>
    </row>
    <row r="47" spans="1:7" s="258" customFormat="1" ht="13.5" customHeight="1">
      <c r="A47" s="947" t="s">
        <v>792</v>
      </c>
      <c r="B47" s="292" t="s">
        <v>1064</v>
      </c>
      <c r="C47" s="282">
        <f>ROUND(C40*F27,4)</f>
        <v>3.3E-3</v>
      </c>
      <c r="D47" s="307"/>
      <c r="E47" s="280"/>
      <c r="F47" s="290"/>
      <c r="G47" s="291"/>
    </row>
    <row r="48" spans="1:7" s="258" customFormat="1" ht="13.5" customHeight="1">
      <c r="A48" s="944" t="s">
        <v>787</v>
      </c>
      <c r="B48" s="254" t="s">
        <v>122</v>
      </c>
      <c r="C48" s="306">
        <f>F30</f>
        <v>5.6000000000000001E-2</v>
      </c>
      <c r="D48" s="280" t="s">
        <v>130</v>
      </c>
      <c r="E48" s="276"/>
      <c r="F48" s="281"/>
      <c r="G48" s="278" t="s">
        <v>123</v>
      </c>
    </row>
    <row r="49" spans="1:7" ht="16.5" customHeight="1">
      <c r="A49" s="944" t="s">
        <v>788</v>
      </c>
      <c r="B49" s="254" t="s">
        <v>131</v>
      </c>
      <c r="C49" s="276">
        <f ca="1">ROUND((C33+C39+C41+C45)/(1-C40-D41-D45-C48/(1+'数据-取费表'!B42)),0)</f>
        <v>87556</v>
      </c>
      <c r="D49" s="276"/>
      <c r="E49" s="276"/>
      <c r="F49" s="308"/>
      <c r="G49" s="278" t="s">
        <v>1070</v>
      </c>
    </row>
    <row r="50" spans="1:7" s="302" customFormat="1" ht="24">
      <c r="A50" s="944" t="s">
        <v>789</v>
      </c>
      <c r="B50" s="254" t="s">
        <v>124</v>
      </c>
      <c r="C50" s="276"/>
      <c r="D50" s="276"/>
      <c r="E50" s="276"/>
      <c r="F50" s="308">
        <f>IF('数据-取费表'!B24=0,'数据-取费表'!N16,1)</f>
        <v>1</v>
      </c>
      <c r="G50" s="291" t="s">
        <v>125</v>
      </c>
    </row>
    <row r="51" spans="1:7" ht="16.5" customHeight="1">
      <c r="A51" s="944" t="s">
        <v>790</v>
      </c>
      <c r="B51" s="254" t="s">
        <v>132</v>
      </c>
      <c r="C51" s="276">
        <f ca="1">ROUND(C49*F50,0)</f>
        <v>87556</v>
      </c>
      <c r="D51" s="276"/>
      <c r="E51" s="276"/>
      <c r="F51" s="308"/>
      <c r="G51" s="278" t="s">
        <v>64</v>
      </c>
    </row>
    <row r="52" spans="1:7" s="252" customFormat="1" ht="16.5" thickBot="1">
      <c r="A52" s="309" t="s">
        <v>65</v>
      </c>
      <c r="B52" s="310"/>
      <c r="C52" s="311">
        <f ca="1">C31+C51</f>
        <v>121498</v>
      </c>
      <c r="D52" s="310"/>
      <c r="E52" s="310"/>
      <c r="F52" s="310"/>
      <c r="G52" s="312"/>
    </row>
    <row r="55" spans="1:7" ht="15">
      <c r="B55" s="314" t="s">
        <v>66</v>
      </c>
      <c r="C55" s="315"/>
    </row>
    <row r="56" spans="1:7">
      <c r="B56" s="317" t="s">
        <v>67</v>
      </c>
      <c r="C56" s="318">
        <f ca="1">ROUND(C51/C52,3)</f>
        <v>0.72099999999999997</v>
      </c>
    </row>
    <row r="57" spans="1:7">
      <c r="B57" s="317" t="s">
        <v>68</v>
      </c>
      <c r="C57" s="319">
        <f ca="1">1-C56</f>
        <v>0.27900000000000003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417" t="s">
        <v>156</v>
      </c>
      <c r="B1" s="3417"/>
      <c r="C1" s="3417"/>
      <c r="D1" s="3417"/>
      <c r="E1" s="3417"/>
      <c r="F1" s="3417"/>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418" t="s">
        <v>169</v>
      </c>
      <c r="B2" s="3418"/>
      <c r="C2" s="3418"/>
      <c r="D2" s="3418"/>
      <c r="E2" s="3418"/>
      <c r="F2" s="3418"/>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419"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420"/>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417" t="s">
        <v>868</v>
      </c>
      <c r="B1" s="3417"/>
    </row>
    <row r="2" spans="1:6" ht="14.25" thickBot="1">
      <c r="A2" s="1053"/>
      <c r="B2" s="1053"/>
    </row>
    <row r="3" spans="1:6" ht="14.25" thickBot="1">
      <c r="A3" s="1053"/>
      <c r="B3" s="1053"/>
      <c r="C3" s="1057" t="s">
        <v>871</v>
      </c>
      <c r="D3" s="1057" t="s">
        <v>872</v>
      </c>
      <c r="E3" s="1057" t="s">
        <v>873</v>
      </c>
      <c r="F3" s="1057" t="s">
        <v>874</v>
      </c>
    </row>
    <row r="4" spans="1:6" ht="14.25" thickBot="1">
      <c r="A4" s="1055" t="s">
        <v>869</v>
      </c>
      <c r="B4" s="1056" t="s">
        <v>870</v>
      </c>
      <c r="C4" s="1057"/>
      <c r="D4" s="1057"/>
      <c r="E4" s="1057"/>
      <c r="F4" s="1057"/>
    </row>
    <row r="5" spans="1:6" ht="14.25" thickBot="1">
      <c r="A5" s="836" t="s">
        <v>875</v>
      </c>
      <c r="B5" s="837" t="s">
        <v>876</v>
      </c>
      <c r="C5" s="1058">
        <v>8.8999999999999996E-2</v>
      </c>
      <c r="D5" s="1058">
        <v>7.3999999999999996E-2</v>
      </c>
      <c r="E5" s="1058">
        <v>7.4999999999999997E-2</v>
      </c>
      <c r="F5" s="1059">
        <v>0.1</v>
      </c>
    </row>
    <row r="6" spans="1:6" ht="14.25" thickBot="1">
      <c r="A6" s="836" t="s">
        <v>212</v>
      </c>
      <c r="B6" s="830" t="s">
        <v>877</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878</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879</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880</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881</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882</v>
      </c>
      <c r="C72" s="1073"/>
      <c r="D72" s="1073"/>
      <c r="E72" s="1073"/>
      <c r="F72" s="1061">
        <v>0.05</v>
      </c>
    </row>
    <row r="73" spans="1:6" ht="14.25" thickBot="1">
      <c r="A73" s="836" t="s">
        <v>137</v>
      </c>
      <c r="B73" s="830" t="s">
        <v>883</v>
      </c>
      <c r="C73" s="1073"/>
      <c r="D73" s="1073"/>
      <c r="E73" s="1073"/>
      <c r="F73" s="1061">
        <v>0.05</v>
      </c>
    </row>
    <row r="74" spans="1:6" ht="14.25" thickBot="1">
      <c r="A74" s="836" t="s">
        <v>137</v>
      </c>
      <c r="B74" s="830" t="s">
        <v>884</v>
      </c>
      <c r="C74" s="1073"/>
      <c r="D74" s="1073"/>
      <c r="E74" s="1073"/>
      <c r="F74" s="1061">
        <v>0.05</v>
      </c>
    </row>
    <row r="75" spans="1:6" ht="14.25" thickBot="1">
      <c r="A75" s="846" t="s">
        <v>137</v>
      </c>
      <c r="B75" s="842" t="s">
        <v>885</v>
      </c>
      <c r="C75" s="1070"/>
      <c r="D75" s="1070"/>
      <c r="E75" s="1070"/>
      <c r="F75" s="1063">
        <v>0.05</v>
      </c>
    </row>
    <row r="76" spans="1:6" ht="14.25" thickBot="1">
      <c r="A76" s="836" t="s">
        <v>523</v>
      </c>
      <c r="B76" s="837" t="s">
        <v>886</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887</v>
      </c>
      <c r="C102" s="1073"/>
      <c r="D102" s="1073"/>
      <c r="E102" s="1073"/>
      <c r="F102" s="1061">
        <v>0.05</v>
      </c>
    </row>
    <row r="103" spans="1:6" ht="24.75" thickBot="1">
      <c r="A103" s="836" t="s">
        <v>523</v>
      </c>
      <c r="B103" s="830" t="s">
        <v>888</v>
      </c>
      <c r="C103" s="1073"/>
      <c r="D103" s="1073"/>
      <c r="E103" s="1073"/>
      <c r="F103" s="1061">
        <v>0.05</v>
      </c>
    </row>
    <row r="104" spans="1:6" ht="14.25" thickBot="1">
      <c r="A104" s="836" t="s">
        <v>523</v>
      </c>
      <c r="B104" s="830" t="s">
        <v>889</v>
      </c>
      <c r="C104" s="1073"/>
      <c r="D104" s="1073"/>
      <c r="E104" s="1073"/>
      <c r="F104" s="1061">
        <v>0.05</v>
      </c>
    </row>
    <row r="105" spans="1:6" ht="14.25" thickBot="1">
      <c r="A105" s="836" t="s">
        <v>523</v>
      </c>
      <c r="B105" s="830" t="s">
        <v>890</v>
      </c>
      <c r="C105" s="1073"/>
      <c r="D105" s="1073"/>
      <c r="E105" s="1073"/>
      <c r="F105" s="1061">
        <v>0.05</v>
      </c>
    </row>
    <row r="106" spans="1:6" ht="14.25" thickBot="1">
      <c r="A106" s="836" t="s">
        <v>523</v>
      </c>
      <c r="B106" s="830" t="s">
        <v>891</v>
      </c>
      <c r="C106" s="1073"/>
      <c r="D106" s="1073"/>
      <c r="E106" s="1073"/>
      <c r="F106" s="1061">
        <v>0.05</v>
      </c>
    </row>
    <row r="107" spans="1:6" ht="24.75" thickBot="1">
      <c r="A107" s="836" t="s">
        <v>523</v>
      </c>
      <c r="B107" s="830" t="s">
        <v>892</v>
      </c>
      <c r="C107" s="1073"/>
      <c r="D107" s="1073"/>
      <c r="E107" s="1073"/>
      <c r="F107" s="1061">
        <v>0.05</v>
      </c>
    </row>
    <row r="108" spans="1:6" ht="24.75" thickBot="1">
      <c r="A108" s="836" t="s">
        <v>523</v>
      </c>
      <c r="B108" s="830" t="s">
        <v>893</v>
      </c>
      <c r="C108" s="1073"/>
      <c r="D108" s="1073"/>
      <c r="E108" s="1073"/>
      <c r="F108" s="1061">
        <v>0.05</v>
      </c>
    </row>
    <row r="109" spans="1:6" ht="24.75" thickBot="1">
      <c r="A109" s="846" t="s">
        <v>523</v>
      </c>
      <c r="B109" s="842" t="s">
        <v>894</v>
      </c>
      <c r="C109" s="1070"/>
      <c r="D109" s="1070"/>
      <c r="E109" s="1070"/>
      <c r="F109" s="1063">
        <v>0.05</v>
      </c>
    </row>
    <row r="110" spans="1:6" ht="14.25" thickBot="1">
      <c r="A110" s="836" t="s">
        <v>56</v>
      </c>
      <c r="B110" s="837" t="s">
        <v>895</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896</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897</v>
      </c>
      <c r="C138" s="1060">
        <v>0.105</v>
      </c>
      <c r="D138" s="1060">
        <v>0.125</v>
      </c>
      <c r="E138" s="1060">
        <v>0.112</v>
      </c>
      <c r="F138" s="1072"/>
    </row>
    <row r="139" spans="1:6" ht="14.25" thickBot="1">
      <c r="A139" s="836" t="s">
        <v>56</v>
      </c>
      <c r="B139" s="830" t="s">
        <v>898</v>
      </c>
      <c r="C139" s="1060">
        <v>0.127</v>
      </c>
      <c r="D139" s="1060">
        <v>0.127</v>
      </c>
      <c r="E139" s="1060">
        <v>0.122</v>
      </c>
      <c r="F139" s="1061">
        <v>0.13</v>
      </c>
    </row>
    <row r="140" spans="1:6" ht="14.25" thickBot="1">
      <c r="A140" s="836" t="s">
        <v>56</v>
      </c>
      <c r="B140" s="830" t="s">
        <v>899</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900</v>
      </c>
      <c r="C144" s="1065">
        <v>0.126</v>
      </c>
      <c r="D144" s="1065">
        <v>0.126</v>
      </c>
      <c r="E144" s="1065">
        <v>0.121</v>
      </c>
      <c r="F144" s="1072"/>
    </row>
    <row r="145" spans="1:6" ht="14.25" thickBot="1">
      <c r="A145" s="846" t="s">
        <v>56</v>
      </c>
      <c r="B145" s="1066" t="s">
        <v>901</v>
      </c>
      <c r="C145" s="1074"/>
      <c r="D145" s="1074"/>
      <c r="E145" s="1074"/>
      <c r="F145" s="1067">
        <v>0.05</v>
      </c>
    </row>
    <row r="146" spans="1:6" ht="24.75" thickBot="1">
      <c r="A146" s="1068" t="s">
        <v>56</v>
      </c>
      <c r="B146" s="840" t="s">
        <v>902</v>
      </c>
      <c r="C146" s="1073"/>
      <c r="D146" s="1073"/>
      <c r="E146" s="1073"/>
      <c r="F146" s="1069">
        <v>0.05</v>
      </c>
    </row>
    <row r="147" spans="1:6" ht="24.75" thickBot="1">
      <c r="A147" s="836" t="s">
        <v>56</v>
      </c>
      <c r="B147" s="830" t="s">
        <v>903</v>
      </c>
      <c r="C147" s="1073"/>
      <c r="D147" s="1073"/>
      <c r="E147" s="1073"/>
      <c r="F147" s="1061">
        <v>0.05</v>
      </c>
    </row>
    <row r="148" spans="1:6" ht="24.75" thickBot="1">
      <c r="A148" s="836" t="s">
        <v>56</v>
      </c>
      <c r="B148" s="830" t="s">
        <v>904</v>
      </c>
      <c r="C148" s="1073"/>
      <c r="D148" s="1073"/>
      <c r="E148" s="1073"/>
      <c r="F148" s="1061">
        <v>0.05</v>
      </c>
    </row>
    <row r="149" spans="1:6" ht="24.75" thickBot="1">
      <c r="A149" s="836" t="s">
        <v>56</v>
      </c>
      <c r="B149" s="830" t="s">
        <v>905</v>
      </c>
      <c r="C149" s="1073"/>
      <c r="D149" s="1073"/>
      <c r="E149" s="1073"/>
      <c r="F149" s="1061">
        <v>0.05</v>
      </c>
    </row>
    <row r="150" spans="1:6" ht="24.75" thickBot="1">
      <c r="A150" s="836" t="s">
        <v>56</v>
      </c>
      <c r="B150" s="830" t="s">
        <v>906</v>
      </c>
      <c r="C150" s="1073"/>
      <c r="D150" s="1073"/>
      <c r="E150" s="1073"/>
      <c r="F150" s="1061">
        <v>0.05</v>
      </c>
    </row>
    <row r="151" spans="1:6" ht="24.75" thickBot="1">
      <c r="A151" s="836" t="s">
        <v>56</v>
      </c>
      <c r="B151" s="830" t="s">
        <v>907</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908</v>
      </c>
      <c r="C153" s="1073"/>
      <c r="D153" s="1073"/>
      <c r="E153" s="1073"/>
      <c r="F153" s="1061">
        <v>0.05</v>
      </c>
    </row>
    <row r="154" spans="1:6" ht="14.25" thickBot="1">
      <c r="A154" s="836" t="s">
        <v>56</v>
      </c>
      <c r="B154" s="830" t="s">
        <v>909</v>
      </c>
      <c r="C154" s="1073"/>
      <c r="D154" s="1073"/>
      <c r="E154" s="1073"/>
      <c r="F154" s="1061">
        <v>0.05</v>
      </c>
    </row>
    <row r="155" spans="1:6" ht="24.75" thickBot="1">
      <c r="A155" s="836" t="s">
        <v>56</v>
      </c>
      <c r="B155" s="830" t="s">
        <v>910</v>
      </c>
      <c r="C155" s="1073"/>
      <c r="D155" s="1073"/>
      <c r="E155" s="1073"/>
      <c r="F155" s="1061">
        <v>0.05</v>
      </c>
    </row>
    <row r="156" spans="1:6" ht="24.75" thickBot="1">
      <c r="A156" s="836" t="s">
        <v>56</v>
      </c>
      <c r="B156" s="830" t="s">
        <v>911</v>
      </c>
      <c r="C156" s="1073"/>
      <c r="D156" s="1073"/>
      <c r="E156" s="1073"/>
      <c r="F156" s="1061">
        <v>0.05</v>
      </c>
    </row>
    <row r="157" spans="1:6" ht="14.25" thickBot="1">
      <c r="A157" s="846" t="s">
        <v>56</v>
      </c>
      <c r="B157" s="842" t="s">
        <v>912</v>
      </c>
      <c r="C157" s="1070"/>
      <c r="D157" s="1070"/>
      <c r="E157" s="1070"/>
      <c r="F157" s="1063">
        <v>0.05</v>
      </c>
    </row>
    <row r="158" spans="1:6" ht="14.25" thickBot="1">
      <c r="A158" s="836" t="s">
        <v>526</v>
      </c>
      <c r="B158" s="837" t="s">
        <v>913</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914</v>
      </c>
      <c r="C171" s="1060">
        <v>0.127</v>
      </c>
      <c r="D171" s="1060">
        <v>0.126</v>
      </c>
      <c r="E171" s="1060">
        <v>0.126</v>
      </c>
      <c r="F171" s="1061">
        <v>0.11799999999999999</v>
      </c>
    </row>
    <row r="172" spans="1:6" ht="14.25" thickBot="1">
      <c r="A172" s="836" t="s">
        <v>526</v>
      </c>
      <c r="B172" s="830" t="s">
        <v>915</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916</v>
      </c>
      <c r="C174" s="1060">
        <v>0.13</v>
      </c>
      <c r="D174" s="1060">
        <v>0.13</v>
      </c>
      <c r="E174" s="1060">
        <v>0.13</v>
      </c>
      <c r="F174" s="1061">
        <v>0.13</v>
      </c>
    </row>
    <row r="175" spans="1:6" ht="14.25" thickBot="1">
      <c r="A175" s="836" t="s">
        <v>526</v>
      </c>
      <c r="B175" s="830" t="s">
        <v>917</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918</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919</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920</v>
      </c>
      <c r="C185" s="1060">
        <v>0.127</v>
      </c>
      <c r="D185" s="1060">
        <v>0.127</v>
      </c>
      <c r="E185" s="1060">
        <v>0.128</v>
      </c>
      <c r="F185" s="1061">
        <v>0.13</v>
      </c>
    </row>
    <row r="186" spans="1:6" ht="24.75" thickBot="1">
      <c r="A186" s="836" t="s">
        <v>526</v>
      </c>
      <c r="B186" s="830" t="s">
        <v>921</v>
      </c>
      <c r="C186" s="1073"/>
      <c r="D186" s="1073"/>
      <c r="E186" s="1073"/>
      <c r="F186" s="1061">
        <v>0.05</v>
      </c>
    </row>
    <row r="187" spans="1:6" ht="14.25" thickBot="1">
      <c r="A187" s="836" t="s">
        <v>526</v>
      </c>
      <c r="B187" s="830" t="s">
        <v>922</v>
      </c>
      <c r="C187" s="1073"/>
      <c r="D187" s="1073"/>
      <c r="E187" s="1073"/>
      <c r="F187" s="1061">
        <v>0.05</v>
      </c>
    </row>
    <row r="188" spans="1:6" ht="14.25" thickBot="1">
      <c r="A188" s="836" t="s">
        <v>526</v>
      </c>
      <c r="B188" s="830" t="s">
        <v>923</v>
      </c>
      <c r="C188" s="1073"/>
      <c r="D188" s="1073"/>
      <c r="E188" s="1073"/>
      <c r="F188" s="1061">
        <v>0.05</v>
      </c>
    </row>
    <row r="189" spans="1:6" ht="24.75" thickBot="1">
      <c r="A189" s="836" t="s">
        <v>526</v>
      </c>
      <c r="B189" s="830" t="s">
        <v>924</v>
      </c>
      <c r="C189" s="1073"/>
      <c r="D189" s="1073"/>
      <c r="E189" s="1073"/>
      <c r="F189" s="1061">
        <v>0.05</v>
      </c>
    </row>
    <row r="190" spans="1:6" ht="24.75" thickBot="1">
      <c r="A190" s="836" t="s">
        <v>526</v>
      </c>
      <c r="B190" s="830" t="s">
        <v>925</v>
      </c>
      <c r="C190" s="1073"/>
      <c r="D190" s="1073"/>
      <c r="E190" s="1073"/>
      <c r="F190" s="1061">
        <v>0.05</v>
      </c>
    </row>
    <row r="191" spans="1:6" ht="24.75" thickBot="1">
      <c r="A191" s="836" t="s">
        <v>526</v>
      </c>
      <c r="B191" s="830" t="s">
        <v>926</v>
      </c>
      <c r="C191" s="1073"/>
      <c r="D191" s="1073"/>
      <c r="E191" s="1073"/>
      <c r="F191" s="1061">
        <v>0.05</v>
      </c>
    </row>
    <row r="192" spans="1:6" ht="24.75" thickBot="1">
      <c r="A192" s="836" t="s">
        <v>526</v>
      </c>
      <c r="B192" s="830" t="s">
        <v>927</v>
      </c>
      <c r="C192" s="1073"/>
      <c r="D192" s="1073"/>
      <c r="E192" s="1073"/>
      <c r="F192" s="1061">
        <v>0.05</v>
      </c>
    </row>
    <row r="193" spans="1:6" ht="24.75" thickBot="1">
      <c r="A193" s="836" t="s">
        <v>526</v>
      </c>
      <c r="B193" s="830" t="s">
        <v>928</v>
      </c>
      <c r="C193" s="1073"/>
      <c r="D193" s="1073"/>
      <c r="E193" s="1073"/>
      <c r="F193" s="1061">
        <v>0.05</v>
      </c>
    </row>
    <row r="194" spans="1:6" ht="24.75" thickBot="1">
      <c r="A194" s="836" t="s">
        <v>526</v>
      </c>
      <c r="B194" s="830" t="s">
        <v>929</v>
      </c>
      <c r="C194" s="1073"/>
      <c r="D194" s="1073"/>
      <c r="E194" s="1073"/>
      <c r="F194" s="1061">
        <v>0.05</v>
      </c>
    </row>
    <row r="195" spans="1:6" ht="14.25" thickBot="1">
      <c r="A195" s="836" t="s">
        <v>526</v>
      </c>
      <c r="B195" s="830" t="s">
        <v>930</v>
      </c>
      <c r="C195" s="1073"/>
      <c r="D195" s="1073"/>
      <c r="E195" s="1073"/>
      <c r="F195" s="1061">
        <v>0.05</v>
      </c>
    </row>
    <row r="196" spans="1:6" ht="24.75" thickBot="1">
      <c r="A196" s="836" t="s">
        <v>526</v>
      </c>
      <c r="B196" s="830" t="s">
        <v>931</v>
      </c>
      <c r="C196" s="1073"/>
      <c r="D196" s="1073"/>
      <c r="E196" s="1073"/>
      <c r="F196" s="1061">
        <v>0.05</v>
      </c>
    </row>
    <row r="197" spans="1:6" ht="24.75" thickBot="1">
      <c r="A197" s="836" t="s">
        <v>526</v>
      </c>
      <c r="B197" s="830" t="s">
        <v>932</v>
      </c>
      <c r="C197" s="1073"/>
      <c r="D197" s="1073"/>
      <c r="E197" s="1073"/>
      <c r="F197" s="1061">
        <v>0.05</v>
      </c>
    </row>
    <row r="198" spans="1:6" ht="24.75" thickBot="1">
      <c r="A198" s="836" t="s">
        <v>526</v>
      </c>
      <c r="B198" s="830" t="s">
        <v>933</v>
      </c>
      <c r="C198" s="1073"/>
      <c r="D198" s="1073"/>
      <c r="E198" s="1073"/>
      <c r="F198" s="1061">
        <v>0.05</v>
      </c>
    </row>
    <row r="199" spans="1:6" ht="24.75" thickBot="1">
      <c r="A199" s="836" t="s">
        <v>526</v>
      </c>
      <c r="B199" s="830" t="s">
        <v>934</v>
      </c>
      <c r="C199" s="1073"/>
      <c r="D199" s="1073"/>
      <c r="E199" s="1073"/>
      <c r="F199" s="1061">
        <v>0.05</v>
      </c>
    </row>
    <row r="200" spans="1:6" ht="24.75" thickBot="1">
      <c r="A200" s="836" t="s">
        <v>526</v>
      </c>
      <c r="B200" s="830" t="s">
        <v>935</v>
      </c>
      <c r="C200" s="1073"/>
      <c r="D200" s="1073"/>
      <c r="E200" s="1073"/>
      <c r="F200" s="1061">
        <v>0.05</v>
      </c>
    </row>
    <row r="201" spans="1:6" ht="24.75" thickBot="1">
      <c r="A201" s="836" t="s">
        <v>526</v>
      </c>
      <c r="B201" s="830" t="s">
        <v>936</v>
      </c>
      <c r="C201" s="1073"/>
      <c r="D201" s="1073"/>
      <c r="E201" s="1073"/>
      <c r="F201" s="1061">
        <v>0.05</v>
      </c>
    </row>
    <row r="202" spans="1:6" ht="24.75" thickBot="1">
      <c r="A202" s="836" t="s">
        <v>526</v>
      </c>
      <c r="B202" s="830" t="s">
        <v>937</v>
      </c>
      <c r="C202" s="1073"/>
      <c r="D202" s="1073"/>
      <c r="E202" s="1073"/>
      <c r="F202" s="1061">
        <v>0.05</v>
      </c>
    </row>
    <row r="203" spans="1:6" ht="24.75" thickBot="1">
      <c r="A203" s="836" t="s">
        <v>526</v>
      </c>
      <c r="B203" s="830" t="s">
        <v>938</v>
      </c>
      <c r="C203" s="1073"/>
      <c r="D203" s="1073"/>
      <c r="E203" s="1073"/>
      <c r="F203" s="1061">
        <v>0.05</v>
      </c>
    </row>
    <row r="204" spans="1:6" ht="14.25" thickBot="1">
      <c r="A204" s="836" t="s">
        <v>526</v>
      </c>
      <c r="B204" s="830" t="s">
        <v>939</v>
      </c>
      <c r="C204" s="1073"/>
      <c r="D204" s="1073"/>
      <c r="E204" s="1073"/>
      <c r="F204" s="1061">
        <v>0.05</v>
      </c>
    </row>
    <row r="205" spans="1:6" ht="14.25" thickBot="1">
      <c r="A205" s="846" t="s">
        <v>526</v>
      </c>
      <c r="B205" s="842" t="s">
        <v>940</v>
      </c>
      <c r="C205" s="1070"/>
      <c r="D205" s="1070"/>
      <c r="E205" s="1070"/>
      <c r="F205" s="1063">
        <v>0.05</v>
      </c>
    </row>
    <row r="206" spans="1:6" ht="14.25" thickBot="1">
      <c r="A206" s="836" t="s">
        <v>528</v>
      </c>
      <c r="B206" s="837" t="s">
        <v>941</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942</v>
      </c>
      <c r="C210" s="1060">
        <v>0.15</v>
      </c>
      <c r="D210" s="1060">
        <v>0.15</v>
      </c>
      <c r="E210" s="1060">
        <v>0.15</v>
      </c>
      <c r="F210" s="1061">
        <v>0.13800000000000001</v>
      </c>
    </row>
    <row r="211" spans="1:6" ht="14.25" thickBot="1">
      <c r="A211" s="836" t="s">
        <v>528</v>
      </c>
      <c r="B211" s="830" t="s">
        <v>943</v>
      </c>
      <c r="C211" s="1060">
        <v>0.13700000000000001</v>
      </c>
      <c r="D211" s="1060">
        <v>0.13500000000000001</v>
      </c>
      <c r="E211" s="1060">
        <v>0.13600000000000001</v>
      </c>
      <c r="F211" s="1061">
        <v>0.1</v>
      </c>
    </row>
    <row r="212" spans="1:6" ht="14.25" thickBot="1">
      <c r="A212" s="836" t="s">
        <v>528</v>
      </c>
      <c r="B212" s="830" t="s">
        <v>944</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945</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946</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947</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948</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949</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950</v>
      </c>
      <c r="C231" s="1060">
        <v>0.128</v>
      </c>
      <c r="D231" s="1060">
        <v>0.125</v>
      </c>
      <c r="E231" s="1060">
        <v>0.13200000000000001</v>
      </c>
      <c r="F231" s="1072"/>
    </row>
    <row r="232" spans="1:6" ht="14.25" thickBot="1">
      <c r="A232" s="836" t="s">
        <v>528</v>
      </c>
      <c r="B232" s="830" t="s">
        <v>951</v>
      </c>
      <c r="C232" s="1060">
        <v>0.14499999999999999</v>
      </c>
      <c r="D232" s="1060">
        <v>0.14399999999999999</v>
      </c>
      <c r="E232" s="1060">
        <v>0.14599999999999999</v>
      </c>
      <c r="F232" s="1061">
        <v>0.13800000000000001</v>
      </c>
    </row>
    <row r="233" spans="1:6" ht="14.25" thickBot="1">
      <c r="A233" s="836" t="s">
        <v>528</v>
      </c>
      <c r="B233" s="830" t="s">
        <v>952</v>
      </c>
      <c r="C233" s="1060">
        <v>0.14499999999999999</v>
      </c>
      <c r="D233" s="1060">
        <v>0.14299999999999999</v>
      </c>
      <c r="E233" s="1060">
        <v>0.14199999999999999</v>
      </c>
      <c r="F233" s="1072"/>
    </row>
    <row r="234" spans="1:6" ht="14.25" thickBot="1">
      <c r="A234" s="836" t="s">
        <v>528</v>
      </c>
      <c r="B234" s="830" t="s">
        <v>953</v>
      </c>
      <c r="C234" s="1060">
        <v>0.14000000000000001</v>
      </c>
      <c r="D234" s="1060">
        <v>0.14000000000000001</v>
      </c>
      <c r="E234" s="1060">
        <v>0.14399999999999999</v>
      </c>
      <c r="F234" s="1072"/>
    </row>
    <row r="235" spans="1:6" ht="14.25" thickBot="1">
      <c r="A235" s="836" t="s">
        <v>528</v>
      </c>
      <c r="B235" s="830" t="s">
        <v>954</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955</v>
      </c>
      <c r="C237" s="1073"/>
      <c r="D237" s="1073"/>
      <c r="E237" s="1073"/>
      <c r="F237" s="1061">
        <v>0.05</v>
      </c>
    </row>
    <row r="238" spans="1:6" ht="24.75" thickBot="1">
      <c r="A238" s="836" t="s">
        <v>528</v>
      </c>
      <c r="B238" s="830" t="s">
        <v>956</v>
      </c>
      <c r="C238" s="1073"/>
      <c r="D238" s="1073"/>
      <c r="E238" s="1073"/>
      <c r="F238" s="1061">
        <v>0.05</v>
      </c>
    </row>
    <row r="239" spans="1:6" ht="24.75" thickBot="1">
      <c r="A239" s="836" t="s">
        <v>528</v>
      </c>
      <c r="B239" s="830" t="s">
        <v>957</v>
      </c>
      <c r="C239" s="1073"/>
      <c r="D239" s="1073"/>
      <c r="E239" s="1073"/>
      <c r="F239" s="1061">
        <v>0.05</v>
      </c>
    </row>
    <row r="240" spans="1:6" ht="24.75" thickBot="1">
      <c r="A240" s="836" t="s">
        <v>528</v>
      </c>
      <c r="B240" s="830" t="s">
        <v>958</v>
      </c>
      <c r="C240" s="1073"/>
      <c r="D240" s="1073"/>
      <c r="E240" s="1073"/>
      <c r="F240" s="1061">
        <v>0.05</v>
      </c>
    </row>
    <row r="241" spans="1:6" ht="24.75" thickBot="1">
      <c r="A241" s="836" t="s">
        <v>528</v>
      </c>
      <c r="B241" s="830" t="s">
        <v>959</v>
      </c>
      <c r="C241" s="1073"/>
      <c r="D241" s="1073"/>
      <c r="E241" s="1073"/>
      <c r="F241" s="1061">
        <v>0.05</v>
      </c>
    </row>
    <row r="242" spans="1:6" ht="24.75" thickBot="1">
      <c r="A242" s="836" t="s">
        <v>528</v>
      </c>
      <c r="B242" s="830" t="s">
        <v>960</v>
      </c>
      <c r="C242" s="1073"/>
      <c r="D242" s="1073"/>
      <c r="E242" s="1073"/>
      <c r="F242" s="1061">
        <v>0.05</v>
      </c>
    </row>
    <row r="243" spans="1:6" ht="24.75" thickBot="1">
      <c r="A243" s="836" t="s">
        <v>528</v>
      </c>
      <c r="B243" s="830" t="s">
        <v>961</v>
      </c>
      <c r="C243" s="1073"/>
      <c r="D243" s="1073"/>
      <c r="E243" s="1073"/>
      <c r="F243" s="1061">
        <v>0.05</v>
      </c>
    </row>
    <row r="244" spans="1:6" ht="24.75" thickBot="1">
      <c r="A244" s="846" t="s">
        <v>528</v>
      </c>
      <c r="B244" s="842" t="s">
        <v>962</v>
      </c>
      <c r="C244" s="1070"/>
      <c r="D244" s="1070"/>
      <c r="E244" s="1070"/>
      <c r="F244" s="1063">
        <v>0.05</v>
      </c>
    </row>
    <row r="245" spans="1:6" ht="14.25" thickBot="1">
      <c r="A245" s="836" t="s">
        <v>530</v>
      </c>
      <c r="B245" s="837" t="s">
        <v>963</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964</v>
      </c>
      <c r="C247" s="1060">
        <v>0.15</v>
      </c>
      <c r="D247" s="1060">
        <v>0.15</v>
      </c>
      <c r="E247" s="1060">
        <v>0.15</v>
      </c>
      <c r="F247" s="1061">
        <v>0.15</v>
      </c>
    </row>
    <row r="248" spans="1:6" ht="14.25" thickBot="1">
      <c r="A248" s="836" t="s">
        <v>530</v>
      </c>
      <c r="B248" s="830" t="s">
        <v>965</v>
      </c>
      <c r="C248" s="1060">
        <v>0.15</v>
      </c>
      <c r="D248" s="1060">
        <v>0.15</v>
      </c>
      <c r="E248" s="1060">
        <v>0.15</v>
      </c>
      <c r="F248" s="1061">
        <v>0.14000000000000001</v>
      </c>
    </row>
    <row r="249" spans="1:6" ht="14.25" thickBot="1">
      <c r="A249" s="836" t="s">
        <v>530</v>
      </c>
      <c r="B249" s="830" t="s">
        <v>966</v>
      </c>
      <c r="C249" s="1060">
        <v>0.15</v>
      </c>
      <c r="D249" s="1060">
        <v>0.14899999999999999</v>
      </c>
      <c r="E249" s="1060">
        <v>0.15</v>
      </c>
      <c r="F249" s="1061">
        <v>0.1</v>
      </c>
    </row>
    <row r="250" spans="1:6" ht="14.25" thickBot="1">
      <c r="A250" s="836" t="s">
        <v>530</v>
      </c>
      <c r="B250" s="830" t="s">
        <v>967</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968</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969</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970</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971</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972</v>
      </c>
      <c r="C273" s="1060">
        <v>0.14199999999999999</v>
      </c>
      <c r="D273" s="1060">
        <v>0.14299999999999999</v>
      </c>
      <c r="E273" s="1060">
        <v>0.15</v>
      </c>
      <c r="F273" s="1061">
        <v>0.1</v>
      </c>
    </row>
    <row r="274" spans="1:6" ht="14.25" thickBot="1">
      <c r="A274" s="836" t="s">
        <v>530</v>
      </c>
      <c r="B274" s="830" t="s">
        <v>973</v>
      </c>
      <c r="C274" s="1060">
        <v>0.14799999999999999</v>
      </c>
      <c r="D274" s="1060">
        <v>0.14799999999999999</v>
      </c>
      <c r="E274" s="1060">
        <v>0.15</v>
      </c>
      <c r="F274" s="1061">
        <v>6.7000000000000004E-2</v>
      </c>
    </row>
    <row r="275" spans="1:6" ht="14.25" thickBot="1">
      <c r="A275" s="836" t="s">
        <v>530</v>
      </c>
      <c r="B275" s="830" t="s">
        <v>974</v>
      </c>
      <c r="C275" s="1060">
        <v>0.15</v>
      </c>
      <c r="D275" s="1060">
        <v>0.15</v>
      </c>
      <c r="E275" s="1060">
        <v>0.15</v>
      </c>
      <c r="F275" s="1061">
        <v>0.15</v>
      </c>
    </row>
    <row r="276" spans="1:6" ht="14.25" thickBot="1">
      <c r="A276" s="836" t="s">
        <v>530</v>
      </c>
      <c r="B276" s="830" t="s">
        <v>975</v>
      </c>
      <c r="C276" s="1060">
        <v>0.14499999999999999</v>
      </c>
      <c r="D276" s="1060">
        <v>0.14299999999999999</v>
      </c>
      <c r="E276" s="1060">
        <v>0.15</v>
      </c>
      <c r="F276" s="1061">
        <v>5.8999999999999997E-2</v>
      </c>
    </row>
    <row r="277" spans="1:6" ht="14.25" thickBot="1">
      <c r="A277" s="836" t="s">
        <v>530</v>
      </c>
      <c r="B277" s="830" t="s">
        <v>976</v>
      </c>
      <c r="C277" s="1060">
        <v>0.15</v>
      </c>
      <c r="D277" s="1060">
        <v>0.15</v>
      </c>
      <c r="E277" s="1060">
        <v>0.15</v>
      </c>
      <c r="F277" s="1061">
        <v>0.121</v>
      </c>
    </row>
    <row r="278" spans="1:6" ht="14.25" thickBot="1">
      <c r="A278" s="836" t="s">
        <v>530</v>
      </c>
      <c r="B278" s="830" t="s">
        <v>977</v>
      </c>
      <c r="C278" s="1060">
        <v>0.15</v>
      </c>
      <c r="D278" s="1060">
        <v>0.15</v>
      </c>
      <c r="E278" s="1060">
        <v>0.15</v>
      </c>
      <c r="F278" s="1061">
        <v>0.13800000000000001</v>
      </c>
    </row>
    <row r="279" spans="1:6" ht="24.75" thickBot="1">
      <c r="A279" s="836" t="s">
        <v>530</v>
      </c>
      <c r="B279" s="830" t="s">
        <v>978</v>
      </c>
      <c r="C279" s="1073"/>
      <c r="D279" s="1073"/>
      <c r="E279" s="1073"/>
      <c r="F279" s="1061">
        <v>0.05</v>
      </c>
    </row>
    <row r="280" spans="1:6" ht="24.75" thickBot="1">
      <c r="A280" s="836" t="s">
        <v>530</v>
      </c>
      <c r="B280" s="830" t="s">
        <v>979</v>
      </c>
      <c r="C280" s="1073"/>
      <c r="D280" s="1073"/>
      <c r="E280" s="1073"/>
      <c r="F280" s="1061">
        <v>0.05</v>
      </c>
    </row>
    <row r="281" spans="1:6" ht="24.75" thickBot="1">
      <c r="A281" s="836" t="s">
        <v>530</v>
      </c>
      <c r="B281" s="830" t="s">
        <v>980</v>
      </c>
      <c r="C281" s="1073"/>
      <c r="D281" s="1073"/>
      <c r="E281" s="1073"/>
      <c r="F281" s="1061">
        <v>0.05</v>
      </c>
    </row>
    <row r="282" spans="1:6" ht="24.75" thickBot="1">
      <c r="A282" s="836" t="s">
        <v>530</v>
      </c>
      <c r="B282" s="830" t="s">
        <v>981</v>
      </c>
      <c r="C282" s="1073"/>
      <c r="D282" s="1073"/>
      <c r="E282" s="1073"/>
      <c r="F282" s="1061">
        <v>0.05</v>
      </c>
    </row>
    <row r="283" spans="1:6" ht="24.75" thickBot="1">
      <c r="A283" s="836" t="s">
        <v>530</v>
      </c>
      <c r="B283" s="830" t="s">
        <v>982</v>
      </c>
      <c r="C283" s="1073"/>
      <c r="D283" s="1073"/>
      <c r="E283" s="1073"/>
      <c r="F283" s="1061">
        <v>0.05</v>
      </c>
    </row>
    <row r="284" spans="1:6" ht="24.75" thickBot="1">
      <c r="A284" s="836" t="s">
        <v>530</v>
      </c>
      <c r="B284" s="830" t="s">
        <v>983</v>
      </c>
      <c r="C284" s="1073"/>
      <c r="D284" s="1073"/>
      <c r="E284" s="1073"/>
      <c r="F284" s="1061">
        <v>0.05</v>
      </c>
    </row>
    <row r="285" spans="1:6" ht="24.75" thickBot="1">
      <c r="A285" s="836" t="s">
        <v>530</v>
      </c>
      <c r="B285" s="830" t="s">
        <v>984</v>
      </c>
      <c r="C285" s="1073"/>
      <c r="D285" s="1073"/>
      <c r="E285" s="1073"/>
      <c r="F285" s="1061">
        <v>0.05</v>
      </c>
    </row>
    <row r="286" spans="1:6" ht="24.75" thickBot="1">
      <c r="A286" s="836" t="s">
        <v>530</v>
      </c>
      <c r="B286" s="830" t="s">
        <v>985</v>
      </c>
      <c r="C286" s="1073"/>
      <c r="D286" s="1073"/>
      <c r="E286" s="1073"/>
      <c r="F286" s="1061">
        <v>0.05</v>
      </c>
    </row>
    <row r="287" spans="1:6" ht="24.75" thickBot="1">
      <c r="A287" s="836" t="s">
        <v>530</v>
      </c>
      <c r="B287" s="830" t="s">
        <v>986</v>
      </c>
      <c r="C287" s="1073"/>
      <c r="D287" s="1073"/>
      <c r="E287" s="1073"/>
      <c r="F287" s="1061">
        <v>0.05</v>
      </c>
    </row>
    <row r="288" spans="1:6" ht="24.75" thickBot="1">
      <c r="A288" s="836" t="s">
        <v>530</v>
      </c>
      <c r="B288" s="830" t="s">
        <v>987</v>
      </c>
      <c r="C288" s="1073"/>
      <c r="D288" s="1073"/>
      <c r="E288" s="1073"/>
      <c r="F288" s="1061">
        <v>0.05</v>
      </c>
    </row>
    <row r="289" spans="1:6" ht="24.75" thickBot="1">
      <c r="A289" s="846" t="s">
        <v>530</v>
      </c>
      <c r="B289" s="842" t="s">
        <v>988</v>
      </c>
      <c r="C289" s="1070"/>
      <c r="D289" s="1070"/>
      <c r="E289" s="1070"/>
      <c r="F289" s="1063">
        <v>0.05</v>
      </c>
    </row>
    <row r="290" spans="1:6" ht="14.25" thickBot="1">
      <c r="A290" s="836" t="s">
        <v>534</v>
      </c>
      <c r="B290" s="837" t="s">
        <v>989</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990</v>
      </c>
      <c r="C292" s="1060">
        <v>0.15</v>
      </c>
      <c r="D292" s="1060">
        <v>0.15</v>
      </c>
      <c r="E292" s="1060">
        <v>0.15</v>
      </c>
      <c r="F292" s="1061">
        <v>0.14699999999999999</v>
      </c>
    </row>
    <row r="293" spans="1:6" ht="14.25" thickBot="1">
      <c r="A293" s="836" t="s">
        <v>534</v>
      </c>
      <c r="B293" s="830" t="s">
        <v>991</v>
      </c>
      <c r="C293" s="1073"/>
      <c r="D293" s="1073"/>
      <c r="E293" s="1073"/>
      <c r="F293" s="1061">
        <v>0.1</v>
      </c>
    </row>
    <row r="294" spans="1:6" ht="14.25" thickBot="1">
      <c r="A294" s="836" t="s">
        <v>534</v>
      </c>
      <c r="B294" s="830" t="s">
        <v>992</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993</v>
      </c>
      <c r="C296" s="1060">
        <v>0.15</v>
      </c>
      <c r="D296" s="1060">
        <v>0.15</v>
      </c>
      <c r="E296" s="1060">
        <v>0.15</v>
      </c>
      <c r="F296" s="1061">
        <v>0.15</v>
      </c>
    </row>
    <row r="297" spans="1:6" ht="14.25" thickBot="1">
      <c r="A297" s="836" t="s">
        <v>534</v>
      </c>
      <c r="B297" s="830" t="s">
        <v>994</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995</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996</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997</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998</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999</v>
      </c>
      <c r="C310" s="1060">
        <v>0.15</v>
      </c>
      <c r="D310" s="1060">
        <v>0.15</v>
      </c>
      <c r="E310" s="1060">
        <v>0.15</v>
      </c>
      <c r="F310" s="1061">
        <v>0.13700000000000001</v>
      </c>
    </row>
    <row r="311" spans="1:6" ht="14.25" thickBot="1">
      <c r="A311" s="836" t="s">
        <v>534</v>
      </c>
      <c r="B311" s="830" t="s">
        <v>1000</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1001</v>
      </c>
      <c r="C313" s="1060">
        <v>0.15</v>
      </c>
      <c r="D313" s="1060">
        <v>0.15</v>
      </c>
      <c r="E313" s="1060">
        <v>0.15</v>
      </c>
      <c r="F313" s="1061">
        <v>0.15</v>
      </c>
    </row>
    <row r="314" spans="1:6" ht="24.75" thickBot="1">
      <c r="A314" s="836" t="s">
        <v>534</v>
      </c>
      <c r="B314" s="830" t="s">
        <v>1002</v>
      </c>
      <c r="C314" s="1073"/>
      <c r="D314" s="1073"/>
      <c r="E314" s="1073"/>
      <c r="F314" s="1061">
        <v>0.05</v>
      </c>
    </row>
    <row r="315" spans="1:6" ht="24.75" thickBot="1">
      <c r="A315" s="836" t="s">
        <v>534</v>
      </c>
      <c r="B315" s="830" t="s">
        <v>1003</v>
      </c>
      <c r="C315" s="1073"/>
      <c r="D315" s="1073"/>
      <c r="E315" s="1073"/>
      <c r="F315" s="1061">
        <v>0.05</v>
      </c>
    </row>
    <row r="316" spans="1:6" ht="24.75" thickBot="1">
      <c r="A316" s="846" t="s">
        <v>534</v>
      </c>
      <c r="B316" s="842" t="s">
        <v>1004</v>
      </c>
      <c r="C316" s="1070"/>
      <c r="D316" s="1070"/>
      <c r="E316" s="1070"/>
      <c r="F316" s="1063">
        <v>0.05</v>
      </c>
    </row>
    <row r="317" spans="1:6" ht="14.25" thickBot="1">
      <c r="A317" s="836" t="s">
        <v>1005</v>
      </c>
      <c r="B317" s="837" t="s">
        <v>1006</v>
      </c>
      <c r="C317" s="1058">
        <v>0.15</v>
      </c>
      <c r="D317" s="1058">
        <v>0.15</v>
      </c>
      <c r="E317" s="1058">
        <v>0.15</v>
      </c>
      <c r="F317" s="1059">
        <v>0.15</v>
      </c>
    </row>
    <row r="318" spans="1:6" ht="14.25" thickBot="1">
      <c r="A318" s="836" t="s">
        <v>1005</v>
      </c>
      <c r="B318" s="830" t="s">
        <v>1007</v>
      </c>
      <c r="C318" s="1060">
        <v>0.107</v>
      </c>
      <c r="D318" s="1060">
        <v>0.11</v>
      </c>
      <c r="E318" s="1060">
        <v>0.112</v>
      </c>
      <c r="F318" s="1072"/>
    </row>
    <row r="319" spans="1:6" ht="14.25" thickBot="1">
      <c r="A319" s="836" t="s">
        <v>1005</v>
      </c>
      <c r="B319" s="830" t="s">
        <v>1008</v>
      </c>
      <c r="C319" s="1060">
        <v>0.15</v>
      </c>
      <c r="D319" s="1060">
        <v>0.15</v>
      </c>
      <c r="E319" s="1060">
        <v>0.15</v>
      </c>
      <c r="F319" s="1061">
        <v>0.15</v>
      </c>
    </row>
    <row r="320" spans="1:6" ht="14.25" thickBot="1">
      <c r="A320" s="836" t="s">
        <v>1005</v>
      </c>
      <c r="B320" s="830" t="s">
        <v>223</v>
      </c>
      <c r="C320" s="1060">
        <v>0.15</v>
      </c>
      <c r="D320" s="1060">
        <v>0.15</v>
      </c>
      <c r="E320" s="1060">
        <v>0.15</v>
      </c>
      <c r="F320" s="1072"/>
    </row>
    <row r="321" spans="1:6" ht="14.25" thickBot="1">
      <c r="A321" s="836" t="s">
        <v>1005</v>
      </c>
      <c r="B321" s="830" t="s">
        <v>1009</v>
      </c>
      <c r="C321" s="1060">
        <v>0.15</v>
      </c>
      <c r="D321" s="1060">
        <v>0.15</v>
      </c>
      <c r="E321" s="1060">
        <v>0.15</v>
      </c>
      <c r="F321" s="1072"/>
    </row>
    <row r="322" spans="1:6" ht="14.25" thickBot="1">
      <c r="A322" s="836" t="s">
        <v>1005</v>
      </c>
      <c r="B322" s="830" t="s">
        <v>1010</v>
      </c>
      <c r="C322" s="1060">
        <v>0.15</v>
      </c>
      <c r="D322" s="1060">
        <v>0.15</v>
      </c>
      <c r="E322" s="1060">
        <v>0.15</v>
      </c>
      <c r="F322" s="1061">
        <v>0.15</v>
      </c>
    </row>
    <row r="323" spans="1:6" ht="14.25" thickBot="1">
      <c r="A323" s="836" t="s">
        <v>1005</v>
      </c>
      <c r="B323" s="830" t="s">
        <v>1011</v>
      </c>
      <c r="C323" s="1060">
        <v>0.15</v>
      </c>
      <c r="D323" s="1060">
        <v>0.15</v>
      </c>
      <c r="E323" s="1060">
        <v>0.15</v>
      </c>
      <c r="F323" s="1072"/>
    </row>
    <row r="324" spans="1:6" ht="14.25" thickBot="1">
      <c r="A324" s="836" t="s">
        <v>1005</v>
      </c>
      <c r="B324" s="830" t="s">
        <v>1012</v>
      </c>
      <c r="C324" s="1060">
        <v>0.15</v>
      </c>
      <c r="D324" s="1060">
        <v>0.15</v>
      </c>
      <c r="E324" s="1060">
        <v>0.15</v>
      </c>
      <c r="F324" s="1072"/>
    </row>
    <row r="325" spans="1:6" ht="14.25" thickBot="1">
      <c r="A325" s="836" t="s">
        <v>1005</v>
      </c>
      <c r="B325" s="830" t="s">
        <v>1013</v>
      </c>
      <c r="C325" s="1060">
        <v>0.15</v>
      </c>
      <c r="D325" s="1060">
        <v>0.15</v>
      </c>
      <c r="E325" s="1060">
        <v>0.15</v>
      </c>
      <c r="F325" s="1061">
        <v>0.14699999999999999</v>
      </c>
    </row>
    <row r="326" spans="1:6" ht="14.25" thickBot="1">
      <c r="A326" s="836" t="s">
        <v>1005</v>
      </c>
      <c r="B326" s="830" t="s">
        <v>290</v>
      </c>
      <c r="C326" s="1060">
        <v>0.15</v>
      </c>
      <c r="D326" s="1060">
        <v>0.15</v>
      </c>
      <c r="E326" s="1060">
        <v>0.15</v>
      </c>
      <c r="F326" s="1072"/>
    </row>
    <row r="327" spans="1:6" ht="14.25" thickBot="1">
      <c r="A327" s="836" t="s">
        <v>1005</v>
      </c>
      <c r="B327" s="830" t="s">
        <v>1014</v>
      </c>
      <c r="C327" s="1060">
        <v>0.15</v>
      </c>
      <c r="D327" s="1060">
        <v>0.15</v>
      </c>
      <c r="E327" s="1060">
        <v>0.15</v>
      </c>
      <c r="F327" s="1061">
        <v>0.15</v>
      </c>
    </row>
    <row r="328" spans="1:6" ht="14.25" thickBot="1">
      <c r="A328" s="836" t="s">
        <v>1005</v>
      </c>
      <c r="B328" s="830" t="s">
        <v>310</v>
      </c>
      <c r="C328" s="1060">
        <v>0.15</v>
      </c>
      <c r="D328" s="1060">
        <v>0.15</v>
      </c>
      <c r="E328" s="1060">
        <v>0.15</v>
      </c>
      <c r="F328" s="1061">
        <v>0.14099999999999999</v>
      </c>
    </row>
    <row r="329" spans="1:6" ht="14.25" thickBot="1">
      <c r="A329" s="836" t="s">
        <v>1005</v>
      </c>
      <c r="B329" s="830" t="s">
        <v>320</v>
      </c>
      <c r="C329" s="1060">
        <v>0.15</v>
      </c>
      <c r="D329" s="1060">
        <v>0.15</v>
      </c>
      <c r="E329" s="1060">
        <v>0.15</v>
      </c>
      <c r="F329" s="1061">
        <v>0.15</v>
      </c>
    </row>
    <row r="330" spans="1:6" ht="14.25" thickBot="1">
      <c r="A330" s="836" t="s">
        <v>1005</v>
      </c>
      <c r="B330" s="830" t="s">
        <v>331</v>
      </c>
      <c r="C330" s="1060">
        <v>0.15</v>
      </c>
      <c r="D330" s="1060">
        <v>0.15</v>
      </c>
      <c r="E330" s="1060">
        <v>0.15</v>
      </c>
      <c r="F330" s="1072"/>
    </row>
    <row r="331" spans="1:6" ht="14.25" thickBot="1">
      <c r="A331" s="836" t="s">
        <v>1005</v>
      </c>
      <c r="B331" s="830" t="s">
        <v>1015</v>
      </c>
      <c r="C331" s="1060">
        <v>0.15</v>
      </c>
      <c r="D331" s="1060">
        <v>0.15</v>
      </c>
      <c r="E331" s="1060">
        <v>0.15</v>
      </c>
      <c r="F331" s="1061">
        <v>0.15</v>
      </c>
    </row>
    <row r="332" spans="1:6" ht="14.25" thickBot="1">
      <c r="A332" s="836" t="s">
        <v>1005</v>
      </c>
      <c r="B332" s="830" t="s">
        <v>352</v>
      </c>
      <c r="C332" s="1060">
        <v>0.15</v>
      </c>
      <c r="D332" s="1060">
        <v>0.15</v>
      </c>
      <c r="E332" s="1060">
        <v>0.15</v>
      </c>
      <c r="F332" s="1061">
        <v>0.15</v>
      </c>
    </row>
    <row r="333" spans="1:6" ht="14.25" thickBot="1">
      <c r="A333" s="836" t="s">
        <v>1005</v>
      </c>
      <c r="B333" s="830" t="s">
        <v>1016</v>
      </c>
      <c r="C333" s="1060">
        <v>0.15</v>
      </c>
      <c r="D333" s="1060">
        <v>0.15</v>
      </c>
      <c r="E333" s="1060">
        <v>0.15</v>
      </c>
      <c r="F333" s="1061">
        <v>0.14099999999999999</v>
      </c>
    </row>
    <row r="334" spans="1:6" ht="14.25" thickBot="1">
      <c r="A334" s="836" t="s">
        <v>1005</v>
      </c>
      <c r="B334" s="830" t="s">
        <v>372</v>
      </c>
      <c r="C334" s="1060">
        <v>0.15</v>
      </c>
      <c r="D334" s="1060">
        <v>0.15</v>
      </c>
      <c r="E334" s="1060">
        <v>0.15</v>
      </c>
      <c r="F334" s="1061">
        <v>0.15</v>
      </c>
    </row>
    <row r="335" spans="1:6" ht="14.25" thickBot="1">
      <c r="A335" s="836" t="s">
        <v>1005</v>
      </c>
      <c r="B335" s="830" t="s">
        <v>382</v>
      </c>
      <c r="C335" s="1060">
        <v>0.15</v>
      </c>
      <c r="D335" s="1060">
        <v>0.15</v>
      </c>
      <c r="E335" s="1060">
        <v>0.15</v>
      </c>
      <c r="F335" s="1072"/>
    </row>
    <row r="336" spans="1:6" ht="14.25" thickBot="1">
      <c r="A336" s="836" t="s">
        <v>1005</v>
      </c>
      <c r="B336" s="830" t="s">
        <v>1017</v>
      </c>
      <c r="C336" s="1060">
        <v>0.15</v>
      </c>
      <c r="D336" s="1060">
        <v>0.15</v>
      </c>
      <c r="E336" s="1060">
        <v>0.15</v>
      </c>
      <c r="F336" s="1061">
        <v>0.11799999999999999</v>
      </c>
    </row>
    <row r="337" spans="1:6" ht="14.25" thickBot="1">
      <c r="A337" s="846" t="s">
        <v>1005</v>
      </c>
      <c r="B337" s="842" t="s">
        <v>400</v>
      </c>
      <c r="C337" s="1070"/>
      <c r="D337" s="1070"/>
      <c r="E337" s="1070"/>
      <c r="F337" s="1063">
        <v>0.14299999999999999</v>
      </c>
    </row>
    <row r="338" spans="1:6" ht="14.25" thickBot="1">
      <c r="A338" s="836" t="s">
        <v>1018</v>
      </c>
      <c r="B338" s="837" t="s">
        <v>1019</v>
      </c>
      <c r="C338" s="1058">
        <v>0.15</v>
      </c>
      <c r="D338" s="1058">
        <v>0.15</v>
      </c>
      <c r="E338" s="1058">
        <v>0.15</v>
      </c>
      <c r="F338" s="1075"/>
    </row>
    <row r="339" spans="1:6" ht="14.25" thickBot="1">
      <c r="A339" s="836" t="s">
        <v>1018</v>
      </c>
      <c r="B339" s="830" t="s">
        <v>1020</v>
      </c>
      <c r="C339" s="1060">
        <v>0.15</v>
      </c>
      <c r="D339" s="1060">
        <v>0.15</v>
      </c>
      <c r="E339" s="1060">
        <v>0.15</v>
      </c>
      <c r="F339" s="1072"/>
    </row>
    <row r="340" spans="1:6" ht="14.25" thickBot="1">
      <c r="A340" s="836" t="s">
        <v>1018</v>
      </c>
      <c r="B340" s="830" t="s">
        <v>1021</v>
      </c>
      <c r="C340" s="1060">
        <v>0.15</v>
      </c>
      <c r="D340" s="1060">
        <v>0.15</v>
      </c>
      <c r="E340" s="1060">
        <v>0.15</v>
      </c>
      <c r="F340" s="1072"/>
    </row>
    <row r="341" spans="1:6" ht="14.25" thickBot="1">
      <c r="A341" s="836" t="s">
        <v>1018</v>
      </c>
      <c r="B341" s="830" t="s">
        <v>1022</v>
      </c>
      <c r="C341" s="1060">
        <v>0.15</v>
      </c>
      <c r="D341" s="1060">
        <v>0.15</v>
      </c>
      <c r="E341" s="1060">
        <v>0.15</v>
      </c>
      <c r="F341" s="1061">
        <v>0.15</v>
      </c>
    </row>
    <row r="342" spans="1:6" ht="14.25" thickBot="1">
      <c r="A342" s="836" t="s">
        <v>1018</v>
      </c>
      <c r="B342" s="830" t="s">
        <v>1023</v>
      </c>
      <c r="C342" s="1060">
        <v>0.15</v>
      </c>
      <c r="D342" s="1060">
        <v>0.15</v>
      </c>
      <c r="E342" s="1060">
        <v>0.15</v>
      </c>
      <c r="F342" s="1061">
        <v>0.15</v>
      </c>
    </row>
    <row r="343" spans="1:6" ht="14.25" thickBot="1">
      <c r="A343" s="836" t="s">
        <v>1018</v>
      </c>
      <c r="B343" s="830" t="s">
        <v>1024</v>
      </c>
      <c r="C343" s="1060">
        <v>0.15</v>
      </c>
      <c r="D343" s="1060">
        <v>0.15</v>
      </c>
      <c r="E343" s="1060">
        <v>0.15</v>
      </c>
      <c r="F343" s="1061">
        <v>0.15</v>
      </c>
    </row>
    <row r="344" spans="1:6" ht="14.25" thickBot="1">
      <c r="A344" s="846" t="s">
        <v>1018</v>
      </c>
      <c r="B344" s="842"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1296</v>
      </c>
      <c r="C1" s="1689">
        <f>项目基本情况!D3</f>
        <v>43796</v>
      </c>
      <c r="D1" s="1695" t="s">
        <v>1297</v>
      </c>
      <c r="E1" s="1690">
        <f>'数据-取费表'!B22</f>
        <v>4</v>
      </c>
      <c r="F1" s="1695" t="s">
        <v>1298</v>
      </c>
      <c r="G1" s="1691">
        <f ca="1">INDIRECT("d"&amp;$K$1)/100</f>
        <v>4.7500000000000001E-2</v>
      </c>
      <c r="H1" s="1695" t="s">
        <v>1328</v>
      </c>
      <c r="I1" s="1691">
        <f ca="1">F4/100</f>
        <v>1.4999999999999999E-2</v>
      </c>
      <c r="J1" s="1696">
        <f>IF(C1&gt;C13,0,MATCH(C1,C$13:C$100,-1))+IF(SUMIF(C13:C100,C1,D13:D100)=0,13,12)</f>
        <v>13</v>
      </c>
      <c r="K1" s="1696">
        <f>MATCH(E1,C3:C7,1)+IF(SUMIF(C3:C7,E1,D3:D7)=0,2,1)</f>
        <v>6</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1299</v>
      </c>
      <c r="E2" s="1631"/>
      <c r="F2" s="1631" t="s">
        <v>1300</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1301</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1302</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1303</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1304</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1305</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1306</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1307</v>
      </c>
      <c r="C10" s="1659"/>
      <c r="D10" s="1659"/>
      <c r="E10" s="1659"/>
      <c r="F10" s="1659"/>
      <c r="G10" s="1659"/>
      <c r="H10" s="1659"/>
      <c r="I10" s="1633"/>
      <c r="J10" s="1633"/>
      <c r="K10" s="1659"/>
      <c r="L10" s="1660" t="s">
        <v>1308</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1309</v>
      </c>
      <c r="C11" s="1664" t="s">
        <v>1310</v>
      </c>
      <c r="D11" s="1665" t="s">
        <v>1311</v>
      </c>
      <c r="E11" s="1666"/>
      <c r="F11" s="1665" t="s">
        <v>1312</v>
      </c>
      <c r="G11" s="1667"/>
      <c r="H11" s="1666"/>
      <c r="I11" s="1665" t="s">
        <v>1313</v>
      </c>
      <c r="J11" s="1666"/>
      <c r="K11" s="1662"/>
      <c r="L11" s="1663" t="s">
        <v>1309</v>
      </c>
      <c r="M11" s="1664" t="s">
        <v>1310</v>
      </c>
      <c r="N11" s="1663" t="s">
        <v>1314</v>
      </c>
      <c r="O11" s="1665" t="s">
        <v>1315</v>
      </c>
      <c r="P11" s="1667"/>
      <c r="Q11" s="1667"/>
      <c r="R11" s="1667"/>
      <c r="S11" s="1667"/>
      <c r="T11" s="1666"/>
      <c r="U11" s="1665" t="s">
        <v>1316</v>
      </c>
      <c r="V11" s="1667"/>
      <c r="W11" s="1666"/>
      <c r="X11" s="1663" t="s">
        <v>1317</v>
      </c>
      <c r="Y11" s="1663" t="s">
        <v>1318</v>
      </c>
      <c r="Z11" s="1663" t="s">
        <v>1319</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1320</v>
      </c>
      <c r="E12" s="1672" t="s">
        <v>1321</v>
      </c>
      <c r="F12" s="1672" t="s">
        <v>1322</v>
      </c>
      <c r="G12" s="1672" t="s">
        <v>1323</v>
      </c>
      <c r="H12" s="1672" t="s">
        <v>1305</v>
      </c>
      <c r="I12" s="1673" t="s">
        <v>1324</v>
      </c>
      <c r="J12" s="1673" t="s">
        <v>1324</v>
      </c>
      <c r="K12" s="1669"/>
      <c r="L12" s="1670"/>
      <c r="M12" s="1671"/>
      <c r="N12" s="1670"/>
      <c r="O12" s="1673" t="s">
        <v>1325</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1326</v>
      </c>
      <c r="C13" s="1677">
        <v>42301</v>
      </c>
      <c r="D13" s="1678">
        <v>4.3499999999999996</v>
      </c>
      <c r="E13" s="1678">
        <v>4.3499999999999996</v>
      </c>
      <c r="F13" s="1678">
        <v>4.75</v>
      </c>
      <c r="G13" s="1678">
        <v>4.75</v>
      </c>
      <c r="H13" s="1678">
        <v>4.9000000000000004</v>
      </c>
      <c r="I13" s="1678">
        <v>2.75</v>
      </c>
      <c r="J13" s="1678">
        <v>3.25</v>
      </c>
      <c r="K13" s="1675"/>
      <c r="L13" s="1676" t="s">
        <v>1326</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1327</v>
      </c>
      <c r="Y42" s="1682" t="s">
        <v>1327</v>
      </c>
      <c r="Z42" s="1682" t="s">
        <v>1327</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1327</v>
      </c>
      <c r="Y43" s="1682" t="s">
        <v>1327</v>
      </c>
      <c r="Z43" s="1682" t="s">
        <v>1327</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1327</v>
      </c>
      <c r="Y44" s="1682" t="s">
        <v>1327</v>
      </c>
      <c r="Z44" s="1682" t="s">
        <v>1327</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1327</v>
      </c>
      <c r="Y45" s="1682" t="s">
        <v>1327</v>
      </c>
      <c r="Z45" s="1682" t="s">
        <v>1327</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1327</v>
      </c>
      <c r="Y46" s="1682" t="s">
        <v>1327</v>
      </c>
      <c r="Z46" s="1682" t="s">
        <v>1327</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1327</v>
      </c>
      <c r="Y47" s="1682" t="s">
        <v>1327</v>
      </c>
      <c r="Z47" s="1682" t="s">
        <v>1327</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1327</v>
      </c>
      <c r="Y48" s="1682" t="s">
        <v>1327</v>
      </c>
      <c r="Z48" s="1682" t="s">
        <v>1327</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1327</v>
      </c>
      <c r="Y49" s="1682" t="s">
        <v>1327</v>
      </c>
      <c r="Z49" s="1682" t="s">
        <v>1327</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1327</v>
      </c>
      <c r="Y50" s="1682" t="s">
        <v>1327</v>
      </c>
      <c r="Z50" s="1682" t="s">
        <v>1327</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1327</v>
      </c>
      <c r="V51" s="1682" t="s">
        <v>1327</v>
      </c>
      <c r="W51" s="1682" t="s">
        <v>1327</v>
      </c>
      <c r="X51" s="1682" t="s">
        <v>1327</v>
      </c>
      <c r="Y51" s="1682" t="s">
        <v>1327</v>
      </c>
      <c r="Z51" s="1682" t="s">
        <v>1327</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1327</v>
      </c>
      <c r="J55" s="1682" t="s">
        <v>1327</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1" sqref="O21"/>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3092" t="s">
        <v>1657</v>
      </c>
      <c r="B1" s="3092"/>
      <c r="C1" s="3092"/>
      <c r="D1" s="3092"/>
    </row>
    <row r="2" spans="1:4" ht="18">
      <c r="A2" s="3093" t="s">
        <v>1641</v>
      </c>
      <c r="B2" s="3093"/>
      <c r="C2" s="3093"/>
      <c r="D2" s="3093"/>
    </row>
    <row r="3" spans="1:4" ht="18.75">
      <c r="A3" s="1971" t="s">
        <v>1642</v>
      </c>
      <c r="B3" s="1971" t="s">
        <v>1643</v>
      </c>
      <c r="C3" s="1971" t="s">
        <v>1644</v>
      </c>
      <c r="D3" s="1971" t="s">
        <v>1645</v>
      </c>
    </row>
    <row r="4" spans="1:4" ht="56.25" customHeight="1">
      <c r="A4" s="1972" t="str">
        <f>项目基本情况!B4</f>
        <v>郑燚</v>
      </c>
      <c r="B4" s="1973">
        <f ca="1">项目基本情况!C4</f>
        <v>1120070131</v>
      </c>
      <c r="C4" s="1974"/>
      <c r="D4" s="1975" t="s">
        <v>1646</v>
      </c>
    </row>
    <row r="5" spans="1:4" ht="56.25" customHeight="1">
      <c r="A5" s="1972" t="str">
        <f>项目基本情况!D4</f>
        <v>王鹏</v>
      </c>
      <c r="B5" s="1973">
        <f ca="1">项目基本情况!E4</f>
        <v>1120050019</v>
      </c>
      <c r="C5" s="1976"/>
      <c r="D5" s="1975" t="s">
        <v>1646</v>
      </c>
    </row>
    <row r="6" spans="1:4" ht="18">
      <c r="A6" s="3093" t="s">
        <v>1647</v>
      </c>
      <c r="B6" s="3093"/>
      <c r="C6" s="3093"/>
      <c r="D6" s="3093"/>
    </row>
    <row r="7" spans="1:4" ht="18.75">
      <c r="A7" s="1971" t="s">
        <v>1642</v>
      </c>
      <c r="B7" s="1973" t="s">
        <v>1648</v>
      </c>
      <c r="C7" s="1971" t="s">
        <v>1644</v>
      </c>
      <c r="D7" s="1971" t="s">
        <v>1645</v>
      </c>
    </row>
    <row r="8" spans="1:4" ht="56.25" customHeight="1">
      <c r="A8" s="1977" t="s">
        <v>866</v>
      </c>
      <c r="B8" s="1977" t="s">
        <v>1</v>
      </c>
      <c r="C8" s="1974"/>
      <c r="D8" s="1975" t="s">
        <v>1646</v>
      </c>
    </row>
    <row r="9" spans="1:4">
      <c r="A9" s="726"/>
      <c r="B9" s="726"/>
      <c r="C9" s="726"/>
      <c r="D9" s="726"/>
    </row>
    <row r="10" spans="1:4" ht="18.75">
      <c r="A10" s="1978" t="s">
        <v>1649</v>
      </c>
      <c r="B10" s="726"/>
      <c r="C10" s="726"/>
      <c r="D10" s="726"/>
    </row>
    <row r="11" spans="1:4" ht="30" customHeight="1">
      <c r="A11" s="3094" t="s">
        <v>1650</v>
      </c>
      <c r="B11" s="3095"/>
      <c r="C11" s="3095"/>
      <c r="D11" s="3095"/>
    </row>
    <row r="12" spans="1:4" ht="15.75">
      <c r="A12" s="30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6"/>
      <c r="C12" s="3096"/>
      <c r="D12" s="3096"/>
    </row>
    <row r="13" spans="1:4" ht="30" customHeight="1">
      <c r="A13" s="30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6"/>
      <c r="C13" s="3096"/>
      <c r="D13" s="3096"/>
    </row>
    <row r="14" spans="1:4" ht="15.75" customHeight="1">
      <c r="A14" s="3095" t="str">
        <f>IF(项目基本情况!B8="抵押","4.本次评估估价师所知悉的法定优先受偿款情况说明如下：","——")</f>
        <v>4.本次评估估价师所知悉的法定优先受偿款情况说明如下：</v>
      </c>
      <c r="B14" s="3096"/>
      <c r="C14" s="3096"/>
      <c r="D14" s="3096"/>
    </row>
    <row r="15" spans="1:4" ht="42" customHeight="1">
      <c r="A15" s="3095"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5"/>
      <c r="C15" s="3095"/>
      <c r="D15" s="3095"/>
    </row>
    <row r="16" spans="1:4" ht="30" customHeight="1">
      <c r="A16" s="3098" t="s">
        <v>1651</v>
      </c>
      <c r="B16" s="3098"/>
      <c r="C16" s="3098"/>
      <c r="D16" s="3098"/>
    </row>
    <row r="17" spans="1:4" ht="144" customHeight="1">
      <c r="A17" s="3098" t="s">
        <v>1652</v>
      </c>
      <c r="B17" s="3098"/>
      <c r="C17" s="3098"/>
      <c r="D17" s="3098"/>
    </row>
    <row r="18" spans="1:4" ht="15.75" customHeight="1">
      <c r="A18" s="3095" t="str">
        <f>IF(项目基本情况!B8="抵押",结果表!K120,"——")</f>
        <v>故，本次评估估价师知悉的法定优先受偿款为人民币18844.7万元整。</v>
      </c>
      <c r="B18" s="3095"/>
      <c r="C18" s="3095"/>
      <c r="D18" s="3095"/>
    </row>
    <row r="19" spans="1:4" ht="46.5" customHeight="1">
      <c r="A19" s="30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5"/>
      <c r="C19" s="3095"/>
      <c r="D19" s="3095"/>
    </row>
    <row r="20" spans="1:4" ht="57.75" customHeight="1">
      <c r="A20" s="30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5"/>
      <c r="C20" s="3095"/>
      <c r="D20" s="3095"/>
    </row>
    <row r="21" spans="1:4" ht="57.75" customHeight="1">
      <c r="A21" s="30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9"/>
      <c r="C21" s="3099"/>
      <c r="D21" s="3099"/>
    </row>
    <row r="22" spans="1:4" ht="18.75" customHeight="1">
      <c r="A22" s="3100" t="s">
        <v>1653</v>
      </c>
      <c r="B22" s="3100"/>
      <c r="C22" s="3100"/>
      <c r="D22" s="3100"/>
    </row>
    <row r="23" spans="1:4">
      <c r="A23" s="1979"/>
      <c r="B23" s="1951"/>
      <c r="C23" s="1951"/>
      <c r="D23" s="1951"/>
    </row>
    <row r="24" spans="1:4">
      <c r="A24" s="1979"/>
      <c r="B24" s="1951"/>
      <c r="C24" s="1951"/>
      <c r="D24" s="1951"/>
    </row>
    <row r="25" spans="1:4" ht="18.75">
      <c r="A25" s="1980" t="s">
        <v>1654</v>
      </c>
    </row>
    <row r="26" spans="1:4" ht="18">
      <c r="A26" s="1949"/>
    </row>
    <row r="27" spans="1:4" ht="18.75">
      <c r="A27" s="1949" t="s">
        <v>1655</v>
      </c>
    </row>
    <row r="30" spans="1:4" ht="18.75">
      <c r="D30" s="1980" t="s">
        <v>1656</v>
      </c>
    </row>
    <row r="31" spans="1:4" ht="13.5" customHeight="1">
      <c r="C31" s="3097">
        <v>42551</v>
      </c>
      <c r="D31" s="30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867</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18" sqref="A18:C18"/>
      <selection pane="bottomLeft" activeCell="A18" sqref="A18:C18"/>
    </sheetView>
  </sheetViews>
  <sheetFormatPr defaultColWidth="14.5" defaultRowHeight="14.25"/>
  <cols>
    <col min="1" max="1" width="14.5" style="1987" customWidth="1"/>
    <col min="2" max="16384" width="14.5" style="1969"/>
  </cols>
  <sheetData>
    <row r="1" spans="1:7" s="1984" customFormat="1" ht="18.75">
      <c r="A1" s="1983" t="s">
        <v>1658</v>
      </c>
    </row>
    <row r="3" spans="1:7">
      <c r="A3" s="1985" t="s">
        <v>82</v>
      </c>
      <c r="B3" s="1969" t="s">
        <v>1659</v>
      </c>
      <c r="G3" s="1986"/>
    </row>
    <row r="4" spans="1:7">
      <c r="G4" s="1986"/>
    </row>
    <row r="5" spans="1:7">
      <c r="A5" s="1988" t="s">
        <v>73</v>
      </c>
      <c r="B5" s="1969" t="s">
        <v>1660</v>
      </c>
      <c r="G5" s="1986"/>
    </row>
    <row r="6" spans="1:7">
      <c r="G6" s="1986"/>
    </row>
    <row r="7" spans="1:7">
      <c r="A7" s="1989" t="s">
        <v>135</v>
      </c>
      <c r="B7" s="1969" t="s">
        <v>1661</v>
      </c>
      <c r="G7" s="1986"/>
    </row>
    <row r="8" spans="1:7">
      <c r="G8" s="1986"/>
    </row>
    <row r="9" spans="1:7">
      <c r="A9" s="1990" t="s">
        <v>74</v>
      </c>
      <c r="B9" s="1969" t="s">
        <v>1662</v>
      </c>
    </row>
    <row r="11" spans="1:7">
      <c r="A11" s="1991" t="s">
        <v>75</v>
      </c>
      <c r="B11" s="1992" t="s">
        <v>72</v>
      </c>
    </row>
    <row r="13" spans="1:7">
      <c r="A13" s="1993" t="s">
        <v>1663</v>
      </c>
    </row>
    <row r="15" spans="1:7" ht="13.5">
      <c r="A15" s="3106" t="s">
        <v>1664</v>
      </c>
      <c r="B15" s="3101" t="s">
        <v>136</v>
      </c>
      <c r="C15" s="3102"/>
    </row>
    <row r="16" spans="1:7" ht="13.5">
      <c r="A16" s="3107"/>
      <c r="B16" s="3101" t="s">
        <v>69</v>
      </c>
      <c r="C16" s="3102"/>
    </row>
    <row r="17" spans="1:3" ht="13.5">
      <c r="A17" s="3107"/>
      <c r="B17" s="3104" t="s">
        <v>1665</v>
      </c>
      <c r="C17" s="1994" t="s">
        <v>1664</v>
      </c>
    </row>
    <row r="18" spans="1:3" ht="13.5">
      <c r="A18" s="3107"/>
      <c r="B18" s="3104"/>
      <c r="C18" s="1994" t="s">
        <v>1666</v>
      </c>
    </row>
    <row r="19" spans="1:3" ht="13.5">
      <c r="A19" s="3107"/>
      <c r="B19" s="3104"/>
      <c r="C19" s="1994" t="s">
        <v>1667</v>
      </c>
    </row>
    <row r="20" spans="1:3" ht="13.5">
      <c r="A20" s="3108"/>
      <c r="B20" s="3103" t="s">
        <v>1668</v>
      </c>
      <c r="C20" s="3102"/>
    </row>
    <row r="21" spans="1:3" ht="13.5">
      <c r="A21" s="1995" t="s">
        <v>1669</v>
      </c>
      <c r="B21" s="1996"/>
      <c r="C21" s="1997"/>
    </row>
    <row r="22" spans="1:3" ht="13.5">
      <c r="A22" s="3105" t="s">
        <v>1670</v>
      </c>
      <c r="B22" s="3103" t="s">
        <v>1671</v>
      </c>
      <c r="C22" s="3102"/>
    </row>
    <row r="23" spans="1:3" ht="13.5">
      <c r="A23" s="3105"/>
      <c r="B23" s="3103" t="s">
        <v>1672</v>
      </c>
      <c r="C23" s="3102"/>
    </row>
    <row r="24" spans="1:3" ht="13.5">
      <c r="A24" s="3105"/>
      <c r="B24" s="3103" t="s">
        <v>1673</v>
      </c>
      <c r="C24" s="3102"/>
    </row>
    <row r="25" spans="1:3" ht="13.5">
      <c r="A25" s="3105"/>
      <c r="B25" s="3104" t="s">
        <v>1674</v>
      </c>
      <c r="C25" s="1994" t="s">
        <v>1675</v>
      </c>
    </row>
    <row r="26" spans="1:3" ht="13.5">
      <c r="A26" s="3105"/>
      <c r="B26" s="3104"/>
      <c r="C26" s="1994" t="s">
        <v>1676</v>
      </c>
    </row>
    <row r="27" spans="1:3" ht="13.5">
      <c r="A27" s="3105"/>
      <c r="B27" s="3104"/>
      <c r="C27" s="1994" t="s">
        <v>1677</v>
      </c>
    </row>
    <row r="28" spans="1:3" ht="13.5">
      <c r="A28" s="3105"/>
      <c r="B28" s="3104"/>
      <c r="C28" s="1994" t="s">
        <v>1678</v>
      </c>
    </row>
    <row r="29" spans="1:3" ht="13.5">
      <c r="A29" s="3105"/>
      <c r="B29" s="3104"/>
      <c r="C29" s="1994" t="s">
        <v>1679</v>
      </c>
    </row>
    <row r="30" spans="1:3" ht="13.5">
      <c r="A30" s="3105"/>
      <c r="B30" s="3104"/>
      <c r="C30" s="1994" t="s">
        <v>1680</v>
      </c>
    </row>
    <row r="31" spans="1:3" ht="13.5">
      <c r="A31" s="3105"/>
      <c r="B31" s="3104"/>
      <c r="C31" s="1994" t="s">
        <v>1681</v>
      </c>
    </row>
    <row r="32" spans="1:3" ht="13.5">
      <c r="A32" s="3105"/>
      <c r="B32" s="3104"/>
      <c r="C32" s="1994" t="s">
        <v>1682</v>
      </c>
    </row>
    <row r="33" spans="1:3" ht="13.5">
      <c r="A33" s="3105"/>
      <c r="B33" s="3104"/>
      <c r="C33" s="1994" t="s">
        <v>1683</v>
      </c>
    </row>
    <row r="34" spans="1:3">
      <c r="A34" s="1998" t="s">
        <v>76</v>
      </c>
    </row>
    <row r="37" spans="1:3">
      <c r="A37" s="1998" t="s">
        <v>1684</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1"/>
    <col min="3" max="3" width="32.25" style="1011" customWidth="1"/>
    <col min="4" max="5" width="22.625" style="1011"/>
    <col min="6" max="6" width="25.625" style="1011" customWidth="1"/>
    <col min="7" max="16384" width="22.625" style="1011"/>
  </cols>
  <sheetData>
    <row r="2" spans="1:6" ht="24" customHeight="1">
      <c r="A2" s="1013" t="s">
        <v>825</v>
      </c>
      <c r="B2" s="1014">
        <f ca="1">TODAY()</f>
        <v>43812</v>
      </c>
      <c r="C2" s="1015" t="s">
        <v>826</v>
      </c>
      <c r="D2" s="1015"/>
    </row>
    <row r="3" spans="1:6" ht="24" customHeight="1">
      <c r="A3" s="1016" t="s">
        <v>827</v>
      </c>
      <c r="B3" s="1017" t="s">
        <v>828</v>
      </c>
      <c r="C3" s="2338" t="s">
        <v>829</v>
      </c>
      <c r="D3" s="2341" t="s">
        <v>830</v>
      </c>
      <c r="E3" s="1018" t="s">
        <v>831</v>
      </c>
      <c r="F3" s="1017" t="s">
        <v>829</v>
      </c>
    </row>
    <row r="4" spans="1:6" ht="24" customHeight="1">
      <c r="A4" s="1697" t="s">
        <v>832</v>
      </c>
      <c r="B4" s="1018">
        <f ca="1">IF(C4&lt;B2,"已过期",1119970066)</f>
        <v>1119970066</v>
      </c>
      <c r="C4" s="2339">
        <v>43849</v>
      </c>
      <c r="D4" s="2342" t="s">
        <v>832</v>
      </c>
      <c r="E4" s="1018">
        <f ca="1">IF(F4&lt;B2,"已过期",96010014)</f>
        <v>96010014</v>
      </c>
      <c r="F4" s="1026">
        <v>47118</v>
      </c>
    </row>
    <row r="5" spans="1:6" ht="24" customHeight="1">
      <c r="A5" s="1697" t="s">
        <v>833</v>
      </c>
      <c r="B5" s="1018">
        <f ca="1">IF(C5&lt;B2,"已过期",1119970074)</f>
        <v>1119970074</v>
      </c>
      <c r="C5" s="2339">
        <v>43849</v>
      </c>
      <c r="D5" s="2342" t="s">
        <v>833</v>
      </c>
      <c r="E5" s="1018">
        <f ca="1">IF(F5&lt;B2,"已过期",2002110027)</f>
        <v>2002110027</v>
      </c>
      <c r="F5" s="1026">
        <v>46752</v>
      </c>
    </row>
    <row r="6" spans="1:6" ht="24" customHeight="1">
      <c r="A6" s="1697" t="s">
        <v>834</v>
      </c>
      <c r="B6" s="1018">
        <f ca="1">IF(C6&lt;B2,"已过期",1119970111)</f>
        <v>1119970111</v>
      </c>
      <c r="C6" s="2339">
        <v>43849</v>
      </c>
      <c r="D6" s="2342" t="s">
        <v>834</v>
      </c>
      <c r="E6" s="1018">
        <f ca="1">IF(F6&lt;B2,"已过期",94010078)</f>
        <v>94010078</v>
      </c>
      <c r="F6" s="1026">
        <v>46387</v>
      </c>
    </row>
    <row r="7" spans="1:6" ht="24" customHeight="1">
      <c r="A7" s="1697" t="s">
        <v>835</v>
      </c>
      <c r="B7" s="1018">
        <f ca="1">IF(C7&lt;B2,"已过期",1120050019)</f>
        <v>1120050019</v>
      </c>
      <c r="C7" s="2339">
        <v>44395</v>
      </c>
      <c r="D7" s="2342" t="s">
        <v>835</v>
      </c>
      <c r="E7" s="1018">
        <f ca="1">IF(F7&lt;B2,"已过期",2002110030)</f>
        <v>2002110030</v>
      </c>
      <c r="F7" s="1026">
        <v>46387</v>
      </c>
    </row>
    <row r="8" spans="1:6" ht="24" customHeight="1">
      <c r="A8" s="1697" t="s">
        <v>836</v>
      </c>
      <c r="B8" s="1018">
        <f ca="1">IF(C8&lt;B2,"已过期",1120000080)</f>
        <v>1120000080</v>
      </c>
      <c r="C8" s="2339">
        <v>43849</v>
      </c>
      <c r="D8" s="2342" t="s">
        <v>836</v>
      </c>
      <c r="E8" s="1018">
        <f ca="1">IF(F8&lt;B2,"已过期",2000110082)</f>
        <v>2000110082</v>
      </c>
      <c r="F8" s="1026">
        <v>46387</v>
      </c>
    </row>
    <row r="9" spans="1:6" ht="24" customHeight="1">
      <c r="A9" s="1697" t="s">
        <v>837</v>
      </c>
      <c r="B9" s="1018">
        <f ca="1">IF(C9&lt;B2,"已过期",1419970001)</f>
        <v>1419970001</v>
      </c>
      <c r="C9" s="2339">
        <v>43867</v>
      </c>
      <c r="D9" s="2342" t="s">
        <v>837</v>
      </c>
      <c r="E9" s="1018">
        <f ca="1">IF(F9&lt;B2,"已过期",2002110125)</f>
        <v>2002110125</v>
      </c>
      <c r="F9" s="1026">
        <v>47118</v>
      </c>
    </row>
    <row r="10" spans="1:6" ht="24" customHeight="1">
      <c r="A10" s="1697" t="s">
        <v>838</v>
      </c>
      <c r="B10" s="1018">
        <f ca="1">IF(C10&lt;B2,"已过期",1120060040)</f>
        <v>1120060040</v>
      </c>
      <c r="C10" s="2339">
        <v>44554</v>
      </c>
      <c r="D10" s="2342" t="s">
        <v>838</v>
      </c>
      <c r="E10" s="1018">
        <f ca="1">IF(F10&lt;B2,"已过期",2004110096)</f>
        <v>2004110096</v>
      </c>
      <c r="F10" s="1026">
        <v>47118</v>
      </c>
    </row>
    <row r="11" spans="1:6" ht="24" customHeight="1">
      <c r="A11" s="1697" t="s">
        <v>839</v>
      </c>
      <c r="B11" s="1018">
        <f ca="1">IF(C11&lt;B2,"已过期",1120100036)</f>
        <v>1120100036</v>
      </c>
      <c r="C11" s="2339">
        <v>44675</v>
      </c>
      <c r="D11" s="2342" t="s">
        <v>839</v>
      </c>
      <c r="E11" s="1018">
        <f ca="1">IF(F11&lt;B2,"已过期",2010110070)</f>
        <v>2010110070</v>
      </c>
      <c r="F11" s="1026">
        <v>47907</v>
      </c>
    </row>
    <row r="12" spans="1:6" ht="24" customHeight="1">
      <c r="A12" s="1697"/>
      <c r="B12" s="1018"/>
      <c r="C12" s="2919"/>
      <c r="D12" s="1697"/>
      <c r="E12" s="1018"/>
      <c r="F12" s="1026"/>
    </row>
    <row r="13" spans="1:6" ht="24" customHeight="1">
      <c r="A13" s="1697" t="s">
        <v>840</v>
      </c>
      <c r="B13" s="1018">
        <f ca="1">IF(C13&lt;B2,"已过期",1120070131)</f>
        <v>1120070131</v>
      </c>
      <c r="C13" s="2339">
        <v>43814</v>
      </c>
      <c r="D13" s="2342" t="s">
        <v>840</v>
      </c>
      <c r="E13" s="1018">
        <f ca="1">IF(F13&lt;B2,"已过期",2014110011)</f>
        <v>2014110011</v>
      </c>
      <c r="F13" s="1026">
        <v>49302</v>
      </c>
    </row>
    <row r="14" spans="1:6" ht="24" customHeight="1">
      <c r="A14" s="1697" t="s">
        <v>3038</v>
      </c>
      <c r="B14" s="1018">
        <f ca="1">IF(C14&lt;B2,"已过期",1120040230)</f>
        <v>1120040230</v>
      </c>
      <c r="C14" s="2339">
        <v>43835</v>
      </c>
      <c r="D14" s="2342" t="s">
        <v>3038</v>
      </c>
      <c r="E14" s="1018">
        <f ca="1">IF(F14&lt;B2,"已过期",98030020)</f>
        <v>98030020</v>
      </c>
      <c r="F14" s="1026">
        <v>47118</v>
      </c>
    </row>
    <row r="15" spans="1:6" ht="24" customHeight="1">
      <c r="A15" s="1698" t="s">
        <v>3039</v>
      </c>
      <c r="B15" s="1018">
        <f ca="1">IF(C15&lt;B2,"已过期",1120070085)</f>
        <v>1120070085</v>
      </c>
      <c r="C15" s="2339">
        <v>43814</v>
      </c>
      <c r="D15" s="2343" t="s">
        <v>3039</v>
      </c>
      <c r="E15" s="1018">
        <f ca="1">IF(F15&lt;B2,"已过期",2004110128)</f>
        <v>2004110128</v>
      </c>
      <c r="F15" s="1019">
        <v>47118</v>
      </c>
    </row>
    <row r="16" spans="1:6" ht="24" customHeight="1">
      <c r="A16" s="1697" t="s">
        <v>3040</v>
      </c>
      <c r="B16" s="1018">
        <f ca="1">IF(C16&lt;B2,"已过期",1120140022)</f>
        <v>1120140022</v>
      </c>
      <c r="C16" s="2919">
        <v>44029</v>
      </c>
      <c r="D16" s="2342" t="s">
        <v>3040</v>
      </c>
      <c r="E16" s="1018">
        <f ca="1">IF(F16&lt;B2,"已过期",2008110059)</f>
        <v>2008110059</v>
      </c>
      <c r="F16" s="1026">
        <v>47177</v>
      </c>
    </row>
    <row r="17" spans="1:7" ht="24" customHeight="1">
      <c r="A17" s="1697"/>
      <c r="B17" s="1018"/>
      <c r="C17" s="2339"/>
      <c r="D17" s="2342" t="s">
        <v>3041</v>
      </c>
      <c r="E17" s="1018">
        <f ca="1">IF(F17&lt;B2,"已过期",2014110076)</f>
        <v>2014110076</v>
      </c>
      <c r="F17" s="1026">
        <v>49302</v>
      </c>
    </row>
    <row r="18" spans="1:7" ht="24" customHeight="1">
      <c r="A18" s="1697" t="s">
        <v>3049</v>
      </c>
      <c r="B18" s="1018">
        <v>1120190079</v>
      </c>
      <c r="C18" s="2919">
        <v>44826</v>
      </c>
      <c r="D18" s="2342"/>
      <c r="E18" s="1018"/>
      <c r="F18" s="1026"/>
    </row>
    <row r="19" spans="1:7" ht="24" customHeight="1">
      <c r="A19" s="1697"/>
      <c r="B19" s="1018"/>
      <c r="C19" s="2339"/>
      <c r="D19" s="2342"/>
      <c r="E19" s="1018"/>
      <c r="F19" s="1018"/>
    </row>
    <row r="20" spans="1:7" ht="24" customHeight="1">
      <c r="A20" s="1697"/>
      <c r="B20" s="1018"/>
      <c r="C20" s="2339"/>
      <c r="D20" s="2342"/>
      <c r="E20" s="1018"/>
      <c r="F20" s="1018"/>
    </row>
    <row r="21" spans="1:7" ht="24" customHeight="1">
      <c r="A21" s="1697"/>
      <c r="B21" s="1018"/>
      <c r="C21" s="2339"/>
      <c r="D21" s="2342" t="s">
        <v>841</v>
      </c>
      <c r="E21" s="1018">
        <f ca="1">IF(F21&lt;B2,"已过期",2011110090)</f>
        <v>2011110090</v>
      </c>
      <c r="F21" s="1026">
        <v>48302</v>
      </c>
    </row>
    <row r="22" spans="1:7" ht="24" customHeight="1">
      <c r="A22" s="1697" t="s">
        <v>842</v>
      </c>
      <c r="B22" s="1018">
        <f ca="1">IF(C22&lt;B2,"已过期",1120020033)</f>
        <v>1120020033</v>
      </c>
      <c r="C22" s="2919">
        <v>44339</v>
      </c>
      <c r="D22" s="2342" t="s">
        <v>842</v>
      </c>
      <c r="E22" s="1018">
        <f ca="1">IF(F22&lt;B2,"已过期",2000110137)</f>
        <v>2000110137</v>
      </c>
      <c r="F22" s="1026">
        <v>46387</v>
      </c>
    </row>
    <row r="23" spans="1:7" ht="24" customHeight="1">
      <c r="A23" s="1697"/>
      <c r="B23" s="1018"/>
      <c r="C23" s="2339"/>
      <c r="D23" s="2342"/>
      <c r="E23" s="1018"/>
      <c r="F23" s="1018"/>
    </row>
    <row r="24" spans="1:7" s="1020" customFormat="1" ht="24" customHeight="1">
      <c r="A24" s="1698" t="s">
        <v>1329</v>
      </c>
      <c r="B24" s="1698" t="s">
        <v>1329</v>
      </c>
      <c r="C24" s="2340" t="s">
        <v>1329</v>
      </c>
      <c r="D24" s="2343" t="s">
        <v>1329</v>
      </c>
      <c r="E24" s="1698" t="s">
        <v>1329</v>
      </c>
      <c r="F24" s="1698" t="s">
        <v>1329</v>
      </c>
    </row>
    <row r="25" spans="1:7" ht="24" customHeight="1">
      <c r="A25" s="3109" t="s">
        <v>843</v>
      </c>
      <c r="B25" s="3109"/>
      <c r="C25" s="3109"/>
      <c r="D25" s="3109"/>
      <c r="E25" s="3109"/>
      <c r="F25" s="3109"/>
      <c r="G25" s="3109"/>
    </row>
    <row r="26" spans="1:7" s="1021" customFormat="1" ht="24" customHeight="1">
      <c r="A26" s="3110" t="s">
        <v>844</v>
      </c>
      <c r="B26" s="3110"/>
      <c r="C26" s="3111"/>
      <c r="D26" s="3112" t="s">
        <v>845</v>
      </c>
      <c r="E26" s="3110"/>
      <c r="F26" s="3110"/>
    </row>
    <row r="27" spans="1:7" s="1023" customFormat="1" ht="24" customHeight="1">
      <c r="A27" s="1022" t="s">
        <v>846</v>
      </c>
      <c r="B27" s="1017" t="s">
        <v>847</v>
      </c>
      <c r="C27" s="2338" t="s">
        <v>848</v>
      </c>
      <c r="D27" s="2345" t="s">
        <v>846</v>
      </c>
      <c r="E27" s="1017" t="s">
        <v>847</v>
      </c>
      <c r="F27" s="1017" t="s">
        <v>848</v>
      </c>
    </row>
    <row r="28" spans="1:7" s="1023" customFormat="1" ht="24" customHeight="1">
      <c r="A28" s="1024" t="s">
        <v>849</v>
      </c>
      <c r="B28" s="1025" t="s">
        <v>850</v>
      </c>
      <c r="C28" s="1026">
        <v>44820</v>
      </c>
      <c r="D28" s="2346" t="s">
        <v>851</v>
      </c>
      <c r="E28" s="1024" t="s">
        <v>852</v>
      </c>
      <c r="F28" s="1054">
        <v>44377</v>
      </c>
    </row>
    <row r="29" spans="1:7" s="1023" customFormat="1" ht="24" customHeight="1">
      <c r="A29" s="1024"/>
      <c r="B29" s="1024"/>
      <c r="C29" s="2344"/>
      <c r="D29" s="2346" t="s">
        <v>853</v>
      </c>
      <c r="E29" s="1198" t="s">
        <v>3050</v>
      </c>
      <c r="F29" s="1199">
        <v>44012</v>
      </c>
    </row>
    <row r="30" spans="1:7" ht="24" customHeight="1">
      <c r="C30" s="1027"/>
      <c r="D30" s="1027"/>
    </row>
  </sheetData>
  <sheetProtection sheet="1" objects="1" scenarios="1"/>
  <mergeCells count="3">
    <mergeCell ref="A25:G25"/>
    <mergeCell ref="A26:C26"/>
    <mergeCell ref="D26:F26"/>
  </mergeCells>
  <phoneticPr fontId="86" type="noConversion"/>
  <conditionalFormatting sqref="F4">
    <cfRule type="cellIs" dxfId="263" priority="97" stopIfTrue="1" operator="lessThan">
      <formula>$B$2</formula>
    </cfRule>
  </conditionalFormatting>
  <conditionalFormatting sqref="C5">
    <cfRule type="expression" dxfId="262" priority="92">
      <formula>AND($C5-TODAY()&lt;30,TODAY()&lt;$C5)</formula>
    </cfRule>
  </conditionalFormatting>
  <conditionalFormatting sqref="C5 F5">
    <cfRule type="cellIs" dxfId="261" priority="93" stopIfTrue="1" operator="lessThan">
      <formula>$B$2</formula>
    </cfRule>
  </conditionalFormatting>
  <conditionalFormatting sqref="F6 F8 F10">
    <cfRule type="cellIs" dxfId="260" priority="91" stopIfTrue="1" operator="lessThan">
      <formula>$B$2</formula>
    </cfRule>
  </conditionalFormatting>
  <conditionalFormatting sqref="C4:C11 C13 C23 C17 C19:C21">
    <cfRule type="expression" dxfId="259" priority="89">
      <formula>AND($C4-TODAY()&lt;30,TODAY()&lt;$C4)</formula>
    </cfRule>
  </conditionalFormatting>
  <conditionalFormatting sqref="F7 F9 F11 C4:C11 C13 C23 C17 C19:C21">
    <cfRule type="cellIs" dxfId="258" priority="90" stopIfTrue="1" operator="lessThan">
      <formula>$B$2</formula>
    </cfRule>
  </conditionalFormatting>
  <conditionalFormatting sqref="C20">
    <cfRule type="expression" dxfId="257" priority="77">
      <formula>AND($C20-TODAY()&lt;30,TODAY()&lt;$C20)</formula>
    </cfRule>
  </conditionalFormatting>
  <conditionalFormatting sqref="C20">
    <cfRule type="cellIs" dxfId="256" priority="78" stopIfTrue="1" operator="lessThan">
      <formula>$B$2</formula>
    </cfRule>
  </conditionalFormatting>
  <conditionalFormatting sqref="C17">
    <cfRule type="expression" dxfId="255" priority="71">
      <formula>AND($C17-TODAY()&lt;30,TODAY()&lt;$C17)</formula>
    </cfRule>
  </conditionalFormatting>
  <conditionalFormatting sqref="C17">
    <cfRule type="cellIs" dxfId="254" priority="72" stopIfTrue="1" operator="lessThan">
      <formula>$B$2</formula>
    </cfRule>
  </conditionalFormatting>
  <conditionalFormatting sqref="C19">
    <cfRule type="expression" dxfId="253" priority="69">
      <formula>AND($C19-TODAY()&lt;30,TODAY()&lt;$C19)</formula>
    </cfRule>
  </conditionalFormatting>
  <conditionalFormatting sqref="C19">
    <cfRule type="cellIs" dxfId="252" priority="70" stopIfTrue="1" operator="lessThan">
      <formula>$B$2</formula>
    </cfRule>
  </conditionalFormatting>
  <conditionalFormatting sqref="C21">
    <cfRule type="expression" dxfId="251" priority="67">
      <formula>AND($C21-TODAY()&lt;30,TODAY()&lt;$C21)</formula>
    </cfRule>
  </conditionalFormatting>
  <conditionalFormatting sqref="C21">
    <cfRule type="cellIs" dxfId="250" priority="68" stopIfTrue="1" operator="lessThan">
      <formula>$B$2</formula>
    </cfRule>
  </conditionalFormatting>
  <conditionalFormatting sqref="C23">
    <cfRule type="expression" dxfId="249" priority="65">
      <formula>AND($C23-TODAY()&lt;30,TODAY()&lt;$C23)</formula>
    </cfRule>
  </conditionalFormatting>
  <conditionalFormatting sqref="C23">
    <cfRule type="cellIs" dxfId="248" priority="66" stopIfTrue="1" operator="lessThan">
      <formula>$B$2</formula>
    </cfRule>
  </conditionalFormatting>
  <conditionalFormatting sqref="F18">
    <cfRule type="cellIs" dxfId="247" priority="62" stopIfTrue="1" operator="lessThan">
      <formula>$B$2</formula>
    </cfRule>
  </conditionalFormatting>
  <conditionalFormatting sqref="F22">
    <cfRule type="cellIs" dxfId="246" priority="61" stopIfTrue="1" operator="lessThan">
      <formula>$B$2</formula>
    </cfRule>
  </conditionalFormatting>
  <conditionalFormatting sqref="F21">
    <cfRule type="cellIs" dxfId="245" priority="60" stopIfTrue="1" operator="lessThan">
      <formula>$B$2</formula>
    </cfRule>
  </conditionalFormatting>
  <conditionalFormatting sqref="B4:B11 E4:E11 B17 E18:E23 B13 E13 B19:B23">
    <cfRule type="cellIs" dxfId="244" priority="58" stopIfTrue="1" operator="equal">
      <formula>"已过期"</formula>
    </cfRule>
  </conditionalFormatting>
  <conditionalFormatting sqref="A24:F24">
    <cfRule type="cellIs" dxfId="243" priority="54" stopIfTrue="1" operator="equal">
      <formula>"已过期"</formula>
    </cfRule>
  </conditionalFormatting>
  <conditionalFormatting sqref="F28">
    <cfRule type="expression" dxfId="242" priority="52">
      <formula>AND($E28-TODAY()&lt;30,TODAY()&lt;$E28)</formula>
    </cfRule>
  </conditionalFormatting>
  <conditionalFormatting sqref="F28">
    <cfRule type="cellIs" dxfId="241" priority="53" stopIfTrue="1" operator="lessThan">
      <formula>$B$2</formula>
    </cfRule>
  </conditionalFormatting>
  <conditionalFormatting sqref="F29">
    <cfRule type="expression" dxfId="240" priority="48" stopIfTrue="1">
      <formula>AND($E29-TODAY()&lt;30,TODAY()&lt;$E29)</formula>
    </cfRule>
  </conditionalFormatting>
  <conditionalFormatting sqref="F29">
    <cfRule type="cellIs" dxfId="239" priority="49" stopIfTrue="1" operator="lessThan">
      <formula>$B$2</formula>
    </cfRule>
  </conditionalFormatting>
  <conditionalFormatting sqref="F13">
    <cfRule type="cellIs" dxfId="238" priority="41" stopIfTrue="1" operator="lessThan">
      <formula>$B$2</formula>
    </cfRule>
  </conditionalFormatting>
  <conditionalFormatting sqref="C12">
    <cfRule type="expression" dxfId="237" priority="39">
      <formula>AND($C12-TODAY()&lt;30,TODAY()&lt;$C12)</formula>
    </cfRule>
  </conditionalFormatting>
  <conditionalFormatting sqref="C12">
    <cfRule type="cellIs" dxfId="236" priority="40" stopIfTrue="1" operator="lessThan">
      <formula>$B$2</formula>
    </cfRule>
  </conditionalFormatting>
  <conditionalFormatting sqref="C12">
    <cfRule type="expression" dxfId="235" priority="37">
      <formula>AND($C12-TODAY()&lt;30,TODAY()&lt;$C12)</formula>
    </cfRule>
  </conditionalFormatting>
  <conditionalFormatting sqref="C12">
    <cfRule type="cellIs" dxfId="234" priority="38" stopIfTrue="1" operator="lessThan">
      <formula>$B$2</formula>
    </cfRule>
  </conditionalFormatting>
  <conditionalFormatting sqref="B12">
    <cfRule type="cellIs" dxfId="233" priority="36" stopIfTrue="1" operator="equal">
      <formula>"已过期"</formula>
    </cfRule>
  </conditionalFormatting>
  <conditionalFormatting sqref="E12">
    <cfRule type="cellIs" dxfId="232" priority="35" stopIfTrue="1" operator="equal">
      <formula>"已过期"</formula>
    </cfRule>
  </conditionalFormatting>
  <conditionalFormatting sqref="F12">
    <cfRule type="cellIs" dxfId="231" priority="34" stopIfTrue="1" operator="lessThan">
      <formula>$B$2</formula>
    </cfRule>
  </conditionalFormatting>
  <conditionalFormatting sqref="C22">
    <cfRule type="expression" dxfId="230" priority="32">
      <formula>AND($C22-TODAY()&lt;30,TODAY()&lt;$C22)</formula>
    </cfRule>
  </conditionalFormatting>
  <conditionalFormatting sqref="C22">
    <cfRule type="cellIs" dxfId="229" priority="33" stopIfTrue="1" operator="lessThan">
      <formula>$B$2</formula>
    </cfRule>
  </conditionalFormatting>
  <conditionalFormatting sqref="C22">
    <cfRule type="expression" dxfId="228" priority="30">
      <formula>AND($C22-TODAY()&lt;30,TODAY()&lt;$C22)</formula>
    </cfRule>
  </conditionalFormatting>
  <conditionalFormatting sqref="C22">
    <cfRule type="cellIs" dxfId="227" priority="31" stopIfTrue="1" operator="lessThan">
      <formula>$B$2</formula>
    </cfRule>
  </conditionalFormatting>
  <conditionalFormatting sqref="C16">
    <cfRule type="expression" dxfId="226" priority="28">
      <formula>AND($C16-TODAY()&lt;30,TODAY()&lt;$C16)</formula>
    </cfRule>
  </conditionalFormatting>
  <conditionalFormatting sqref="C16">
    <cfRule type="cellIs" dxfId="225" priority="29" stopIfTrue="1" operator="lessThan">
      <formula>$B$2</formula>
    </cfRule>
  </conditionalFormatting>
  <conditionalFormatting sqref="C16">
    <cfRule type="expression" dxfId="224" priority="26">
      <formula>AND($C16-TODAY()&lt;30,TODAY()&lt;$C16)</formula>
    </cfRule>
  </conditionalFormatting>
  <conditionalFormatting sqref="C16">
    <cfRule type="cellIs" dxfId="223" priority="27" stopIfTrue="1" operator="lessThan">
      <formula>$B$2</formula>
    </cfRule>
  </conditionalFormatting>
  <conditionalFormatting sqref="B16">
    <cfRule type="cellIs" dxfId="222" priority="25" stopIfTrue="1" operator="equal">
      <formula>"已过期"</formula>
    </cfRule>
  </conditionalFormatting>
  <conditionalFormatting sqref="C14:C15">
    <cfRule type="expression" dxfId="221" priority="23">
      <formula>AND($C14-TODAY()&lt;30,TODAY()&lt;$C14)</formula>
    </cfRule>
  </conditionalFormatting>
  <conditionalFormatting sqref="C14:C15">
    <cfRule type="cellIs" dxfId="220" priority="24" stopIfTrue="1" operator="lessThan">
      <formula>$B$2</formula>
    </cfRule>
  </conditionalFormatting>
  <conditionalFormatting sqref="C14">
    <cfRule type="expression" dxfId="219" priority="21">
      <formula>AND($C14-TODAY()&lt;30,TODAY()&lt;$C14)</formula>
    </cfRule>
  </conditionalFormatting>
  <conditionalFormatting sqref="C14">
    <cfRule type="cellIs" dxfId="218" priority="22" stopIfTrue="1" operator="lessThan">
      <formula>$B$2</formula>
    </cfRule>
  </conditionalFormatting>
  <conditionalFormatting sqref="C15">
    <cfRule type="expression" dxfId="217" priority="19">
      <formula>AND($C15-TODAY()&lt;30,TODAY()&lt;$C15)</formula>
    </cfRule>
  </conditionalFormatting>
  <conditionalFormatting sqref="C15">
    <cfRule type="cellIs" dxfId="216" priority="20" stopIfTrue="1" operator="lessThan">
      <formula>$B$2</formula>
    </cfRule>
  </conditionalFormatting>
  <conditionalFormatting sqref="B14">
    <cfRule type="cellIs" dxfId="215" priority="18" stopIfTrue="1" operator="equal">
      <formula>"已过期"</formula>
    </cfRule>
  </conditionalFormatting>
  <conditionalFormatting sqref="B15">
    <cfRule type="cellIs" dxfId="214" priority="17" stopIfTrue="1" operator="equal">
      <formula>"已过期"</formula>
    </cfRule>
  </conditionalFormatting>
  <conditionalFormatting sqref="A15">
    <cfRule type="cellIs" dxfId="213" priority="16" stopIfTrue="1" operator="equal">
      <formula>"已过期"</formula>
    </cfRule>
  </conditionalFormatting>
  <conditionalFormatting sqref="C15">
    <cfRule type="expression" dxfId="212" priority="15">
      <formula>AND($C15-TODAY()&lt;30,TODAY()&lt;$C15)</formula>
    </cfRule>
  </conditionalFormatting>
  <conditionalFormatting sqref="F16">
    <cfRule type="cellIs" dxfId="211" priority="14" stopIfTrue="1" operator="lessThan">
      <formula>$B$2</formula>
    </cfRule>
  </conditionalFormatting>
  <conditionalFormatting sqref="E16 E14">
    <cfRule type="cellIs" dxfId="210" priority="13" stopIfTrue="1" operator="equal">
      <formula>"已过期"</formula>
    </cfRule>
  </conditionalFormatting>
  <conditionalFormatting sqref="E15">
    <cfRule type="cellIs" dxfId="209" priority="12" stopIfTrue="1" operator="equal">
      <formula>"已过期"</formula>
    </cfRule>
  </conditionalFormatting>
  <conditionalFormatting sqref="D15">
    <cfRule type="cellIs" dxfId="208" priority="11" stopIfTrue="1" operator="equal">
      <formula>"已过期"</formula>
    </cfRule>
  </conditionalFormatting>
  <conditionalFormatting sqref="F17">
    <cfRule type="cellIs" dxfId="207" priority="10" stopIfTrue="1" operator="lessThan">
      <formula>$B$2</formula>
    </cfRule>
  </conditionalFormatting>
  <conditionalFormatting sqref="E17">
    <cfRule type="cellIs" dxfId="206" priority="9" stopIfTrue="1" operator="equal">
      <formula>"已过期"</formula>
    </cfRule>
  </conditionalFormatting>
  <conditionalFormatting sqref="F14">
    <cfRule type="cellIs" dxfId="205" priority="8" stopIfTrue="1" operator="lessThan">
      <formula>$B$2</formula>
    </cfRule>
  </conditionalFormatting>
  <conditionalFormatting sqref="C18">
    <cfRule type="expression" dxfId="204" priority="6">
      <formula>AND($C18-TODAY()&lt;30,TODAY()&lt;$C18)</formula>
    </cfRule>
  </conditionalFormatting>
  <conditionalFormatting sqref="C18">
    <cfRule type="cellIs" dxfId="203" priority="7" stopIfTrue="1" operator="lessThan">
      <formula>$B$2</formula>
    </cfRule>
  </conditionalFormatting>
  <conditionalFormatting sqref="C18">
    <cfRule type="expression" dxfId="202" priority="4">
      <formula>AND($C18-TODAY()&lt;30,TODAY()&lt;$C18)</formula>
    </cfRule>
  </conditionalFormatting>
  <conditionalFormatting sqref="C18">
    <cfRule type="cellIs" dxfId="201" priority="5" stopIfTrue="1" operator="lessThan">
      <formula>$B$2</formula>
    </cfRule>
  </conditionalFormatting>
  <conditionalFormatting sqref="B18">
    <cfRule type="cellIs" dxfId="200" priority="3" stopIfTrue="1" operator="equal">
      <formula>"已过期"</formula>
    </cfRule>
  </conditionalFormatting>
  <conditionalFormatting sqref="C28">
    <cfRule type="expression" dxfId="199" priority="1">
      <formula>AND($C28-TODAY()&lt;30,TODAY()&lt;$C28)</formula>
    </cfRule>
  </conditionalFormatting>
  <conditionalFormatting sqref="C28">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167</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抵押物汇总表</vt:lpstr>
      <vt:lpstr>数据-汇总表</vt:lpstr>
      <vt:lpstr>数据-取费表</vt:lpstr>
      <vt:lpstr>估价对象房地状况</vt:lpstr>
      <vt:lpstr>系统读取表</vt:lpstr>
      <vt:lpstr>结果表</vt:lpstr>
      <vt:lpstr>成本法</vt:lpstr>
      <vt:lpstr>成本法 (元)</vt:lpstr>
      <vt:lpstr>土地比较法-住宅</vt:lpstr>
      <vt:lpstr>住宅土地案例</vt:lpstr>
      <vt:lpstr>土地比较法-商业</vt:lpstr>
      <vt:lpstr>商业土地案例</vt:lpstr>
      <vt:lpstr>土地比较法-商业 (2017)</vt:lpstr>
      <vt:lpstr>2017年所用商业案例</vt:lpstr>
      <vt:lpstr>案例位置</vt:lpstr>
      <vt:lpstr>假设开发法</vt:lpstr>
      <vt:lpstr>比较法-住宅</vt:lpstr>
      <vt:lpstr>比较法-公寓</vt:lpstr>
      <vt:lpstr>比较法-商业</vt:lpstr>
      <vt:lpstr>收益法（商业）</vt:lpstr>
      <vt:lpstr>收益法（公寓）</vt:lpstr>
      <vt:lpstr>收益法（地下车库）</vt:lpstr>
      <vt:lpstr>收益法 (元)</vt:lpstr>
      <vt:lpstr>收益法（汇总）</vt:lpstr>
      <vt:lpstr>酒店收入计算</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Sheet10</vt:lpstr>
      <vt:lpstr>估价师及机构信息!Print_Area</vt:lpstr>
      <vt:lpstr>'收益法 (元)'!Print_Area</vt:lpstr>
      <vt:lpstr>'收益法（地下车库）'!Print_Area</vt:lpstr>
      <vt:lpstr>'收益法（公寓）'!Print_Area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'土地比较法-商业'!套工交易情况</vt:lpstr>
      <vt:lpstr>'土地比较法-商业 (2017)'!套工交易情况</vt:lpstr>
      <vt:lpstr>套工交易情况</vt:lpstr>
      <vt:lpstr>套工土地级别</vt:lpstr>
      <vt:lpstr>套工用途</vt:lpstr>
      <vt:lpstr>套工宗地开发程度</vt:lpstr>
      <vt:lpstr>套工宗地形状</vt:lpstr>
      <vt:lpstr>'土地比较法-商业'!套综道路等级</vt:lpstr>
      <vt:lpstr>'土地比较法-商业 (2017)'!套综道路等级</vt:lpstr>
      <vt:lpstr>套综道路等级</vt:lpstr>
      <vt:lpstr>'土地比较法-商业'!套综工程地质条件</vt:lpstr>
      <vt:lpstr>'土地比较法-商业 (2017)'!套综工程地质条件</vt:lpstr>
      <vt:lpstr>套综工程地质条件</vt:lpstr>
      <vt:lpstr>'土地比较法-商业'!套综交易情况</vt:lpstr>
      <vt:lpstr>'土地比较法-商业 (2017)'!套综交易情况</vt:lpstr>
      <vt:lpstr>套综交易情况</vt:lpstr>
      <vt:lpstr>'土地比较法-商业'!套综临街宽度及深度</vt:lpstr>
      <vt:lpstr>'土地比较法-商业 (2017)'!套综临街宽度及深度</vt:lpstr>
      <vt:lpstr>套综临街宽度及深度</vt:lpstr>
      <vt:lpstr>'土地比较法-商业'!套综土地级别</vt:lpstr>
      <vt:lpstr>'土地比较法-商业 (2017)'!套综土地级别</vt:lpstr>
      <vt:lpstr>套综土地级别</vt:lpstr>
      <vt:lpstr>'土地比较法-商业'!套综用途</vt:lpstr>
      <vt:lpstr>'土地比较法-商业 (2017)'!套综用途</vt:lpstr>
      <vt:lpstr>套综用途</vt:lpstr>
      <vt:lpstr>'土地比较法-商业'!套综宗地内开发程度</vt:lpstr>
      <vt:lpstr>'土地比较法-商业 (2017)'!套综宗地内开发程度</vt:lpstr>
      <vt:lpstr>套综宗地内开发程度</vt:lpstr>
      <vt:lpstr>'土地比较法-商业'!套综宗地形状</vt:lpstr>
      <vt:lpstr>'土地比较法-商业 (2017)'!套综宗地形状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住宅朝向</vt:lpstr>
      <vt:lpstr>'比较法-公寓'!住宅房型</vt:lpstr>
      <vt:lpstr>住宅房型</vt:lpstr>
      <vt:lpstr>'比较法-公寓'!住宅公共部分装修</vt:lpstr>
      <vt:lpstr>住宅公共部分装修</vt:lpstr>
      <vt:lpstr>'比较法-公寓'!住宅基础设施水平</vt:lpstr>
      <vt:lpstr>住宅基础设施水平</vt:lpstr>
      <vt:lpstr>'比较法-公寓'!住宅建筑结构</vt:lpstr>
      <vt:lpstr>住宅建筑结构</vt:lpstr>
      <vt:lpstr>'比较法-公寓'!住宅建筑类型</vt:lpstr>
      <vt:lpstr>住宅建筑类型</vt:lpstr>
      <vt:lpstr>'比较法-公寓'!住宅建筑品质</vt:lpstr>
      <vt:lpstr>住宅建筑品质</vt:lpstr>
      <vt:lpstr>'比较法-公寓'!住宅交易情况</vt:lpstr>
      <vt:lpstr>住宅交易情况</vt:lpstr>
      <vt:lpstr>'比较法-公寓'!住宅楼层</vt:lpstr>
      <vt:lpstr>住宅楼层</vt:lpstr>
      <vt:lpstr>'比较法-公寓'!住宅内部装修</vt:lpstr>
      <vt:lpstr>住宅内部装修</vt:lpstr>
      <vt:lpstr>'比较法-公寓'!住宅物业管理</vt:lpstr>
      <vt:lpstr>住宅物业管理</vt:lpstr>
      <vt:lpstr>'比较法-公寓'!住宅用途</vt:lpstr>
      <vt:lpstr>住宅用途</vt:lpstr>
      <vt:lpstr>'比较法-公寓'!住宅主力户型面积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2019-12-13T06:00:17Z</dcterms:modified>
</cp:coreProperties>
</file>