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24" i="9" l="1"/>
  <c r="L23" i="9"/>
  <c r="C6" i="69"/>
  <c r="G62" i="43"/>
  <c r="G63" i="43"/>
  <c r="G64" i="43"/>
  <c r="G65" i="43"/>
  <c r="G66" i="43"/>
  <c r="G67" i="43"/>
  <c r="G68" i="43"/>
  <c r="G69" i="43"/>
  <c r="G61" i="43"/>
  <c r="D33" i="43"/>
  <c r="I47" i="21"/>
  <c r="G47" i="21"/>
  <c r="E47" i="21"/>
  <c r="I33" i="21"/>
  <c r="G33" i="21"/>
  <c r="E33" i="21"/>
  <c r="C33" i="21"/>
  <c r="I5" i="21"/>
  <c r="G5" i="21"/>
  <c r="E5" i="21"/>
  <c r="I7" i="21"/>
  <c r="G7" i="21"/>
  <c r="E7" i="21"/>
  <c r="Y6" i="1"/>
  <c r="N6" i="1"/>
  <c r="F19" i="6"/>
  <c r="D89" i="80"/>
  <c r="D88" i="80"/>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E55" i="71" s="1"/>
  <c r="O53" i="71"/>
  <c r="C54" i="71" s="1"/>
  <c r="N53" i="71"/>
  <c r="B54" i="71"/>
  <c r="B55" i="71" s="1"/>
  <c r="B56" i="71" s="1"/>
  <c r="S56" i="71" s="1"/>
  <c r="D53" i="71"/>
  <c r="Q52" i="71"/>
  <c r="P52" i="71"/>
  <c r="O52" i="71"/>
  <c r="N52" i="71"/>
  <c r="Q51" i="71"/>
  <c r="P51" i="71"/>
  <c r="O51" i="71"/>
  <c r="N51" i="71"/>
  <c r="Q50" i="71"/>
  <c r="P50" i="71"/>
  <c r="O50" i="71"/>
  <c r="N50" i="71"/>
  <c r="Q49" i="71"/>
  <c r="F50" i="71"/>
  <c r="F51"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F38" i="71" s="1"/>
  <c r="F39" i="71" s="1"/>
  <c r="F40" i="71" s="1"/>
  <c r="V40" i="71" s="1"/>
  <c r="P37" i="71"/>
  <c r="O37" i="71"/>
  <c r="C38" i="71" s="1"/>
  <c r="C39" i="71" s="1"/>
  <c r="D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AA25" i="71" s="1"/>
  <c r="O31" i="71"/>
  <c r="Y31" i="71"/>
  <c r="Z31" i="71" s="1"/>
  <c r="N31" i="71"/>
  <c r="X29" i="71" s="1"/>
  <c r="Q30" i="71"/>
  <c r="P30" i="71"/>
  <c r="O30" i="71"/>
  <c r="N30" i="71"/>
  <c r="Q29" i="71"/>
  <c r="AB25"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C27" i="71" s="1"/>
  <c r="X27" i="71"/>
  <c r="D42" i="71"/>
  <c r="C51" i="71"/>
  <c r="D51" i="71" s="1"/>
  <c r="P28" i="71"/>
  <c r="E56" i="71"/>
  <c r="U56" i="71" s="1"/>
  <c r="E59" i="71"/>
  <c r="E60" i="71" s="1"/>
  <c r="U60" i="71"/>
  <c r="E63" i="71"/>
  <c r="E64" i="71"/>
  <c r="U64" i="71" s="1"/>
  <c r="Q65" i="71"/>
  <c r="U68" i="71"/>
  <c r="E67" i="71"/>
  <c r="E66" i="71" s="1"/>
  <c r="P66" i="71" s="1"/>
  <c r="Q28" i="71"/>
  <c r="C59" i="71"/>
  <c r="D59" i="71" s="1"/>
  <c r="C63" i="71"/>
  <c r="C64" i="71" s="1"/>
  <c r="T64" i="71" s="1"/>
  <c r="Q67" i="71"/>
  <c r="T68" i="71"/>
  <c r="O68" i="71"/>
  <c r="D68" i="71"/>
  <c r="C67" i="71"/>
  <c r="O67" i="71" s="1"/>
  <c r="Q68" i="71"/>
  <c r="C71" i="71"/>
  <c r="D71" i="71" s="1"/>
  <c r="E71" i="71"/>
  <c r="E70" i="71"/>
  <c r="C75" i="71"/>
  <c r="C74" i="71" s="1"/>
  <c r="D74" i="71" s="1"/>
  <c r="E75" i="71"/>
  <c r="E74" i="71"/>
  <c r="D76" i="71"/>
  <c r="C79" i="71"/>
  <c r="C78" i="71" s="1"/>
  <c r="E79" i="71"/>
  <c r="E78" i="71"/>
  <c r="C83" i="71"/>
  <c r="D83" i="71" s="1"/>
  <c r="C87" i="71"/>
  <c r="T28" i="71"/>
  <c r="F28" i="71"/>
  <c r="F27" i="71"/>
  <c r="F26" i="71" s="1"/>
  <c r="AB27" i="71"/>
  <c r="E28" i="71"/>
  <c r="AA27" i="71"/>
  <c r="D28" i="71"/>
  <c r="C66" i="71"/>
  <c r="D66" i="71" s="1"/>
  <c r="D67" i="71"/>
  <c r="D63" i="71"/>
  <c r="C82" i="71"/>
  <c r="D82" i="71" s="1"/>
  <c r="D75" i="71"/>
  <c r="D87" i="71"/>
  <c r="C86" i="71"/>
  <c r="D86" i="71" s="1"/>
  <c r="D78" i="71"/>
  <c r="C70" i="71"/>
  <c r="D70" i="71" s="1"/>
  <c r="C60" i="71"/>
  <c r="T60" i="71" s="1"/>
  <c r="P67" i="71"/>
  <c r="C44" i="71"/>
  <c r="T44" i="71" s="1"/>
  <c r="C40" i="71"/>
  <c r="T40" i="71" s="1"/>
  <c r="C26" i="71"/>
  <c r="D26" i="71" s="1"/>
  <c r="D27" i="71"/>
  <c r="P65" i="71"/>
  <c r="O65" i="71"/>
  <c r="D40" i="71"/>
  <c r="D4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c r="H18" i="36"/>
  <c r="AB18" i="36"/>
  <c r="F18" i="36"/>
  <c r="AA18" i="36"/>
  <c r="C18" i="36"/>
  <c r="Z18" i="35"/>
  <c r="Q18" i="35"/>
  <c r="D68" i="35"/>
  <c r="E68" i="35" s="1"/>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c r="D81" i="21"/>
  <c r="G20" i="20"/>
  <c r="B88" i="43" s="1"/>
  <c r="C22" i="20"/>
  <c r="B57" i="43"/>
  <c r="S25" i="40"/>
  <c r="S18" i="36"/>
  <c r="U18" i="36"/>
  <c r="F94" i="40"/>
  <c r="H25" i="40"/>
  <c r="G94" i="40"/>
  <c r="J25" i="40"/>
  <c r="H29" i="39"/>
  <c r="AB29" i="39" s="1"/>
  <c r="J29" i="39"/>
  <c r="AC29" i="39" s="1"/>
  <c r="G66" i="36"/>
  <c r="J18" i="36"/>
  <c r="F68" i="35"/>
  <c r="H18" i="35"/>
  <c r="AB18" i="35" s="1"/>
  <c r="S18" i="35"/>
  <c r="G68" i="35"/>
  <c r="J18" i="35"/>
  <c r="F77" i="37"/>
  <c r="G77" i="37" s="1"/>
  <c r="H21" i="37"/>
  <c r="F21" i="37"/>
  <c r="AA21" i="37" s="1"/>
  <c r="F84" i="34"/>
  <c r="H21" i="34"/>
  <c r="AB21" i="34" s="1"/>
  <c r="F83" i="33"/>
  <c r="H21" i="33"/>
  <c r="U21" i="33" s="1"/>
  <c r="F21" i="33"/>
  <c r="E83" i="21"/>
  <c r="F83" i="21" s="1"/>
  <c r="G83" i="21" s="1"/>
  <c r="S21" i="21"/>
  <c r="H1" i="69"/>
  <c r="AC25" i="40"/>
  <c r="W25" i="40"/>
  <c r="AB25" i="40"/>
  <c r="U25" i="40"/>
  <c r="U29" i="39"/>
  <c r="W29" i="39"/>
  <c r="AC18" i="36"/>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6" i="39"/>
  <c r="AC36" i="39"/>
  <c r="U9" i="39"/>
  <c r="W40" i="39"/>
  <c r="U30" i="37"/>
  <c r="W31" i="37"/>
  <c r="E103" i="37"/>
  <c r="F103" i="37" s="1"/>
  <c r="G103" i="37" s="1"/>
  <c r="H103" i="37" s="1"/>
  <c r="I103" i="37" s="1"/>
  <c r="J103" i="37" s="1"/>
  <c r="K103" i="37" s="1"/>
  <c r="L103" i="37" s="1"/>
  <c r="M103" i="37" s="1"/>
  <c r="F29" i="36"/>
  <c r="AA29" i="36" s="1"/>
  <c r="F16" i="36"/>
  <c r="AA16" i="36"/>
  <c r="W28" i="36"/>
  <c r="U31" i="36"/>
  <c r="J33" i="36"/>
  <c r="AC33" i="36" s="1"/>
  <c r="H22" i="35"/>
  <c r="AB22" i="35"/>
  <c r="W28" i="35"/>
  <c r="U31" i="35"/>
  <c r="W22" i="35"/>
  <c r="S31" i="35"/>
  <c r="F36" i="34"/>
  <c r="J35" i="34"/>
  <c r="U34" i="34"/>
  <c r="H39" i="33"/>
  <c r="AB39" i="33" s="1"/>
  <c r="F26" i="33"/>
  <c r="AA26" i="33" s="1"/>
  <c r="U33" i="33"/>
  <c r="U35" i="33"/>
  <c r="S40" i="33"/>
  <c r="W33" i="33"/>
  <c r="W39" i="33"/>
  <c r="F11" i="40"/>
  <c r="AA11" i="40" s="1"/>
  <c r="H11" i="40"/>
  <c r="AB11" i="40" s="1"/>
  <c r="W8" i="40"/>
  <c r="AC40" i="40"/>
  <c r="AC9" i="40"/>
  <c r="U9" i="40"/>
  <c r="S34" i="40"/>
  <c r="U38" i="40"/>
  <c r="S40" i="40"/>
  <c r="U34"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U30" i="36"/>
  <c r="J30" i="35"/>
  <c r="W30" i="35" s="1"/>
  <c r="H30" i="35"/>
  <c r="AB30" i="35" s="1"/>
  <c r="F22" i="35"/>
  <c r="AA22" i="35"/>
  <c r="H10" i="35"/>
  <c r="U10" i="35" s="1"/>
  <c r="AC16" i="36"/>
  <c r="W30" i="36"/>
  <c r="H16" i="36"/>
  <c r="AB16" i="36" s="1"/>
  <c r="E85" i="36"/>
  <c r="F85" i="36" s="1"/>
  <c r="G85" i="36" s="1"/>
  <c r="H85" i="36" s="1"/>
  <c r="I85" i="36" s="1"/>
  <c r="J85" i="36" s="1"/>
  <c r="K85" i="36" s="1"/>
  <c r="L85" i="36" s="1"/>
  <c r="M85" i="36" s="1"/>
  <c r="J29" i="36"/>
  <c r="AC29" i="36" s="1"/>
  <c r="F12" i="36"/>
  <c r="S12" i="36" s="1"/>
  <c r="F24" i="36"/>
  <c r="AA2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23" i="35"/>
  <c r="W14" i="37"/>
  <c r="AB28" i="37"/>
  <c r="U33"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AC34" i="33"/>
  <c r="AA34" i="33"/>
  <c r="AB37" i="40"/>
  <c r="S35" i="40"/>
  <c r="U35" i="40"/>
  <c r="AC36" i="40"/>
  <c r="W38" i="40"/>
  <c r="AA32" i="40"/>
  <c r="S17" i="40"/>
  <c r="S23" i="40"/>
  <c r="AC17" i="40"/>
  <c r="AC15" i="40"/>
  <c r="AB27" i="40"/>
  <c r="S30" i="40"/>
  <c r="AA19"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AA26"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D16" i="53"/>
  <c r="B34" i="72"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F40" i="67"/>
  <c r="F43" i="67"/>
  <c r="M26" i="67"/>
  <c r="AO13" i="1"/>
  <c r="F6" i="67"/>
  <c r="M24" i="15"/>
  <c r="L47" i="67"/>
  <c r="F26" i="67"/>
  <c r="F42" i="67"/>
  <c r="M28" i="67"/>
  <c r="F5" i="73"/>
  <c r="M6" i="15"/>
  <c r="C76" i="15"/>
  <c r="B8" i="76"/>
  <c r="M23" i="15"/>
  <c r="C19" i="9"/>
  <c r="F42" i="15"/>
  <c r="F37" i="67"/>
  <c r="E7" i="76"/>
  <c r="F43" i="15"/>
  <c r="F37" i="15"/>
  <c r="L47" i="15"/>
  <c r="E9" i="76"/>
  <c r="M6" i="67"/>
  <c r="F9" i="67"/>
  <c r="J15" i="67"/>
  <c r="E2" i="68"/>
  <c r="E8" i="76"/>
  <c r="J15" i="15"/>
  <c r="E11" i="76"/>
  <c r="F26" i="15"/>
  <c r="E10" i="76"/>
  <c r="M23" i="67"/>
  <c r="F36" i="67"/>
  <c r="M8" i="15"/>
  <c r="M29" i="15"/>
  <c r="B11" i="76"/>
  <c r="C20" i="9"/>
  <c r="F16" i="15"/>
  <c r="F3" i="73"/>
  <c r="E12" i="76"/>
  <c r="D34" i="9"/>
  <c r="C76" i="67"/>
  <c r="M22" i="15"/>
  <c r="F38" i="15"/>
  <c r="M9" i="67"/>
  <c r="B13" i="76"/>
  <c r="F8" i="67"/>
  <c r="E13" i="76"/>
  <c r="M8" i="67"/>
  <c r="B9" i="76"/>
  <c r="F8" i="15"/>
  <c r="F9" i="15"/>
  <c r="D3" i="73"/>
  <c r="B12" i="76"/>
  <c r="F40" i="15"/>
  <c r="L48" i="67"/>
  <c r="F36" i="15"/>
  <c r="F6" i="73"/>
  <c r="D7" i="73"/>
  <c r="F6" i="15"/>
  <c r="M29" i="67"/>
  <c r="M9" i="15"/>
  <c r="E2" i="69"/>
  <c r="M22" i="67"/>
  <c r="D6" i="73"/>
  <c r="F7" i="15"/>
  <c r="B10" i="76"/>
  <c r="D35" i="9"/>
  <c r="L48" i="15"/>
  <c r="F7" i="67"/>
  <c r="B7" i="76"/>
  <c r="M28" i="15"/>
  <c r="F7" i="73"/>
  <c r="M24" i="67"/>
  <c r="F16" i="67"/>
  <c r="M26" i="15"/>
  <c r="F20" i="31"/>
  <c r="F13" i="67"/>
  <c r="F13" i="15"/>
  <c r="F38" i="67"/>
  <c r="F4" i="73"/>
  <c r="H50" i="43" l="1"/>
  <c r="S37" i="21"/>
  <c r="S27" i="21"/>
  <c r="B41" i="1"/>
  <c r="D93" i="9"/>
  <c r="D68" i="9"/>
  <c r="M18" i="15"/>
  <c r="F30" i="69"/>
  <c r="F48" i="69" s="1"/>
  <c r="M18" i="67"/>
  <c r="F31" i="12"/>
  <c r="C31" i="12" s="1"/>
  <c r="F30" i="11"/>
  <c r="C48" i="11" s="1"/>
  <c r="H69" i="43"/>
  <c r="H67" i="43"/>
  <c r="H111" i="9"/>
  <c r="H112" i="9"/>
  <c r="D21" i="53" s="1"/>
  <c r="B39" i="72" s="1"/>
  <c r="A118" i="9"/>
  <c r="C24" i="12"/>
  <c r="AZ521" i="3"/>
  <c r="AB35" i="39"/>
  <c r="U35" i="39"/>
  <c r="C21" i="71"/>
  <c r="U31" i="21"/>
  <c r="AB31" i="21"/>
  <c r="AC45" i="21"/>
  <c r="W45" i="21"/>
  <c r="AB40" i="40"/>
  <c r="U40" i="40"/>
  <c r="AZ551" i="3"/>
  <c r="BA5" i="3"/>
  <c r="G28" i="6"/>
  <c r="B101" i="43"/>
  <c r="B79" i="43"/>
  <c r="B97" i="43"/>
  <c r="B75" i="43"/>
  <c r="H36" i="35"/>
  <c r="J36" i="35"/>
  <c r="J23" i="36"/>
  <c r="H23" i="36"/>
  <c r="F23" i="36"/>
  <c r="W31" i="35"/>
  <c r="AC31" i="35"/>
  <c r="G5" i="3"/>
  <c r="B3" i="3" s="1"/>
  <c r="AA39" i="34"/>
  <c r="AC11" i="39"/>
  <c r="AC12" i="37"/>
  <c r="AC11" i="35"/>
  <c r="S26" i="33"/>
  <c r="F34" i="36"/>
  <c r="F33" i="36"/>
  <c r="J34" i="36"/>
  <c r="W34" i="36" s="1"/>
  <c r="S40" i="39"/>
  <c r="C25" i="39"/>
  <c r="S38" i="39"/>
  <c r="S38" i="40"/>
  <c r="W31" i="40"/>
  <c r="AA9" i="40"/>
  <c r="AB39" i="40"/>
  <c r="S27" i="35"/>
  <c r="H39" i="37"/>
  <c r="AC27" i="35"/>
  <c r="U9" i="36"/>
  <c r="U14" i="37"/>
  <c r="F39" i="37"/>
  <c r="W25" i="37"/>
  <c r="F35" i="39"/>
  <c r="J35" i="39"/>
  <c r="B94" i="43"/>
  <c r="B73" i="43"/>
  <c r="B99" i="43"/>
  <c r="B76" i="43"/>
  <c r="J9" i="34"/>
  <c r="F9" i="34"/>
  <c r="AA9" i="34" s="1"/>
  <c r="J12" i="34"/>
  <c r="F12" i="34"/>
  <c r="J34" i="35"/>
  <c r="H34" i="35"/>
  <c r="F34" i="35"/>
  <c r="J9" i="36"/>
  <c r="AZ400" i="3"/>
  <c r="AZ413" i="3"/>
  <c r="AZ424" i="3"/>
  <c r="AZ429" i="3"/>
  <c r="AZ439" i="3"/>
  <c r="AZ444" i="3"/>
  <c r="AZ456" i="3"/>
  <c r="AZ466" i="3"/>
  <c r="AZ472" i="3"/>
  <c r="AZ475" i="3"/>
  <c r="AZ483" i="3"/>
  <c r="AZ489" i="3"/>
  <c r="AZ316" i="3"/>
  <c r="AZ332" i="3"/>
  <c r="AZ395" i="3"/>
  <c r="AZ208" i="3"/>
  <c r="AZ211" i="3"/>
  <c r="AZ219" i="3"/>
  <c r="AZ236" i="3"/>
  <c r="AZ252" i="3"/>
  <c r="AZ272" i="3"/>
  <c r="AZ276" i="3"/>
  <c r="AZ289" i="3"/>
  <c r="AZ294" i="3"/>
  <c r="AZ300" i="3"/>
  <c r="AZ118" i="3"/>
  <c r="AZ121" i="3"/>
  <c r="AZ134" i="3"/>
  <c r="AZ137" i="3"/>
  <c r="AZ145" i="3"/>
  <c r="AZ161" i="3"/>
  <c r="AZ177" i="3"/>
  <c r="G551" i="3"/>
  <c r="BL548" i="3"/>
  <c r="AZ548" i="3" s="1"/>
  <c r="AZ52" i="3"/>
  <c r="AZ56" i="3"/>
  <c r="AZ68" i="3"/>
  <c r="AZ73" i="3"/>
  <c r="AZ87" i="3"/>
  <c r="AZ95" i="3"/>
  <c r="C35" i="71"/>
  <c r="D34" i="71"/>
  <c r="D54" i="71"/>
  <c r="C55" i="71"/>
  <c r="AZ100" i="3"/>
  <c r="AZ104" i="3"/>
  <c r="S21" i="34"/>
  <c r="C25" i="40"/>
  <c r="B100" i="43"/>
  <c r="B77" i="43"/>
  <c r="B68" i="43"/>
  <c r="C29" i="39"/>
  <c r="D60" i="71"/>
  <c r="O66" i="71"/>
  <c r="C52" i="71"/>
  <c r="D79" i="71"/>
  <c r="U28" i="71"/>
  <c r="E27" i="71"/>
  <c r="E26" i="71" s="1"/>
  <c r="V28" i="71"/>
  <c r="AA3" i="71"/>
  <c r="AA26" i="71"/>
  <c r="AA28" i="71"/>
  <c r="D38" i="71"/>
  <c r="C31" i="71"/>
  <c r="AB37" i="71"/>
  <c r="AB33" i="71"/>
  <c r="Y24" i="71"/>
  <c r="Z24" i="71" s="1"/>
  <c r="Y30" i="71"/>
  <c r="Z30" i="71" s="1"/>
  <c r="AB30" i="71"/>
  <c r="AB31" i="71"/>
  <c r="Y34" i="71"/>
  <c r="Z34" i="71" s="1"/>
  <c r="AB34" i="71"/>
  <c r="X33" i="71"/>
  <c r="X34" i="71"/>
  <c r="X35" i="71"/>
  <c r="AB35" i="71"/>
  <c r="Y38" i="71"/>
  <c r="Z38" i="71" s="1"/>
  <c r="AA9" i="71"/>
  <c r="AA39" i="71"/>
  <c r="AA37" i="71"/>
  <c r="C47" i="71"/>
  <c r="D47" i="71" s="1"/>
  <c r="D46" i="71"/>
  <c r="S68" i="71"/>
  <c r="B67" i="71"/>
  <c r="T72" i="71"/>
  <c r="D72" i="71"/>
  <c r="T80" i="71"/>
  <c r="D80" i="71"/>
  <c r="B28" i="71"/>
  <c r="X26" i="71"/>
  <c r="X28" i="71"/>
  <c r="Y29" i="71"/>
  <c r="Z29" i="71" s="1"/>
  <c r="Y25" i="71"/>
  <c r="Z25" i="71" s="1"/>
  <c r="Y26" i="71"/>
  <c r="Z26" i="71" s="1"/>
  <c r="Y27" i="71"/>
  <c r="Z27" i="71" s="1"/>
  <c r="Y28" i="71"/>
  <c r="Z28" i="71" s="1"/>
  <c r="AB29" i="71"/>
  <c r="AB26" i="71"/>
  <c r="AB28" i="71"/>
  <c r="F30" i="71"/>
  <c r="F31" i="71" s="1"/>
  <c r="F32" i="71" s="1"/>
  <c r="V32" i="71" s="1"/>
  <c r="AA30" i="71"/>
  <c r="AA31" i="71"/>
  <c r="AA33" i="71"/>
  <c r="AA32" i="71"/>
  <c r="Y9" i="71"/>
  <c r="Z9" i="71" s="1"/>
  <c r="Y39" i="71"/>
  <c r="Z39" i="71" s="1"/>
  <c r="X13" i="71"/>
  <c r="AA13" i="71"/>
  <c r="Y17" i="71"/>
  <c r="Z17" i="71" s="1"/>
  <c r="AB18" i="71"/>
  <c r="X9" i="71"/>
  <c r="AB9" i="71"/>
  <c r="M56" i="9"/>
  <c r="K56" i="9"/>
  <c r="AA24" i="71"/>
  <c r="AA22" i="71"/>
  <c r="AA23" i="71"/>
  <c r="X21" i="71"/>
  <c r="X22" i="71"/>
  <c r="Y21" i="71"/>
  <c r="Z21" i="71" s="1"/>
  <c r="Y22" i="71"/>
  <c r="Z22" i="71" s="1"/>
  <c r="AA21" i="71"/>
  <c r="AB21" i="71"/>
  <c r="AB10" i="71"/>
  <c r="Y11" i="71"/>
  <c r="Z11" i="71" s="1"/>
  <c r="Y14" i="71"/>
  <c r="Z14" i="71" s="1"/>
  <c r="X24" i="71"/>
  <c r="E24" i="71"/>
  <c r="AB24" i="71"/>
  <c r="Y23" i="71"/>
  <c r="Z23" i="71" s="1"/>
  <c r="AB23" i="71"/>
  <c r="Y18" i="71"/>
  <c r="Z18" i="71" s="1"/>
  <c r="X18" i="71"/>
  <c r="AA18" i="71"/>
  <c r="Y13" i="71"/>
  <c r="Z13" i="71" s="1"/>
  <c r="Y12" i="71"/>
  <c r="Z12" i="71" s="1"/>
  <c r="AB15" i="71"/>
  <c r="AB14" i="71"/>
  <c r="AB12" i="71"/>
  <c r="AB11" i="71"/>
  <c r="X17" i="71"/>
  <c r="AA17" i="71"/>
  <c r="AB17" i="71"/>
  <c r="AB13" i="71"/>
  <c r="Y10" i="71"/>
  <c r="Z10" i="71" s="1"/>
  <c r="AA12" i="71"/>
  <c r="X11" i="71"/>
  <c r="X14" i="71"/>
  <c r="X15" i="71"/>
  <c r="AA15" i="71"/>
  <c r="AA11" i="71"/>
  <c r="AA10" i="71"/>
  <c r="AA14" i="71"/>
  <c r="X12" i="71"/>
  <c r="X10" i="71"/>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C36" i="69"/>
  <c r="D9" i="68"/>
  <c r="D4" i="73"/>
  <c r="D5" i="73"/>
  <c r="C16" i="15"/>
  <c r="C16" i="67"/>
  <c r="G1" i="73"/>
  <c r="N370" i="46" l="1"/>
  <c r="F26" i="43"/>
  <c r="N94" i="46"/>
  <c r="E26" i="43"/>
  <c r="J26" i="43"/>
  <c r="F48" i="9"/>
  <c r="O52" i="9" s="1"/>
  <c r="F30" i="68"/>
  <c r="F52" i="9"/>
  <c r="F32" i="15"/>
  <c r="F60" i="15" s="1"/>
  <c r="F54" i="9"/>
  <c r="F28" i="67"/>
  <c r="C28" i="67" s="1"/>
  <c r="F32" i="67"/>
  <c r="F60" i="67" s="1"/>
  <c r="F28" i="15"/>
  <c r="C28" i="15" s="1"/>
  <c r="C48" i="69"/>
  <c r="C30" i="69"/>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D126" i="9"/>
  <c r="D19" i="53"/>
  <c r="AZ5" i="3"/>
  <c r="B15" i="71"/>
  <c r="B14" i="71" s="1"/>
  <c r="B13" i="71" s="1"/>
  <c r="B12" i="71" s="1"/>
  <c r="S16" i="71"/>
  <c r="B27" i="71"/>
  <c r="B26" i="71" s="1"/>
  <c r="S28" i="71"/>
  <c r="T52" i="71"/>
  <c r="D52" i="71"/>
  <c r="D35" i="71"/>
  <c r="C36" i="71"/>
  <c r="AA34" i="35"/>
  <c r="S34" i="35"/>
  <c r="W34" i="35"/>
  <c r="AC34" i="35"/>
  <c r="W12" i="34"/>
  <c r="AC12" i="34"/>
  <c r="AC9" i="34"/>
  <c r="W9" i="34"/>
  <c r="S35" i="39"/>
  <c r="AA35" i="39"/>
  <c r="S39" i="37"/>
  <c r="AA39" i="37"/>
  <c r="U39" i="37"/>
  <c r="AB39" i="37"/>
  <c r="AA33" i="36"/>
  <c r="S33" i="36"/>
  <c r="BL5" i="3"/>
  <c r="AB23" i="36"/>
  <c r="U23" i="36"/>
  <c r="AC36" i="35"/>
  <c r="W36" i="35"/>
  <c r="D21" i="71"/>
  <c r="C20" i="71"/>
  <c r="E23" i="71"/>
  <c r="E22" i="71" s="1"/>
  <c r="E21" i="71" s="1"/>
  <c r="E20" i="71" s="1"/>
  <c r="V24" i="71"/>
  <c r="B66" i="71"/>
  <c r="N67" i="71"/>
  <c r="D31" i="71"/>
  <c r="C32" i="71"/>
  <c r="D55" i="71"/>
  <c r="C56" i="71"/>
  <c r="AC9" i="36"/>
  <c r="W9" i="36"/>
  <c r="AB34" i="35"/>
  <c r="U34" i="35"/>
  <c r="S12" i="34"/>
  <c r="AA12" i="34"/>
  <c r="W35" i="39"/>
  <c r="AC35" i="39"/>
  <c r="S34" i="36"/>
  <c r="AA34"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00" i="3"/>
  <c r="E378" i="3"/>
  <c r="E58" i="3"/>
  <c r="E488" i="3"/>
  <c r="E521" i="3"/>
  <c r="E47" i="3"/>
  <c r="E65" i="3"/>
  <c r="E195" i="3"/>
  <c r="E248" i="3"/>
  <c r="E266" i="3"/>
  <c r="E386" i="3"/>
  <c r="E584" i="3"/>
  <c r="E24" i="3"/>
  <c r="E87" i="3"/>
  <c r="E250" i="3"/>
  <c r="E341" i="3"/>
  <c r="E51" i="3"/>
  <c r="E154" i="3"/>
  <c r="E222" i="3"/>
  <c r="E373" i="3"/>
  <c r="E165" i="3"/>
  <c r="E244" i="3"/>
  <c r="E149" i="3"/>
  <c r="E167" i="3"/>
  <c r="E141" i="3"/>
  <c r="E312" i="3"/>
  <c r="AD6" i="3"/>
  <c r="E542" i="3"/>
  <c r="E552" i="3"/>
  <c r="E421" i="3"/>
  <c r="E464" i="3"/>
  <c r="E487" i="3"/>
  <c r="E398" i="3"/>
  <c r="E416" i="3"/>
  <c r="E459" i="3"/>
  <c r="E374" i="3"/>
  <c r="E566" i="3"/>
  <c r="E582" i="3"/>
  <c r="E413" i="3"/>
  <c r="E460" i="3"/>
  <c r="E520" i="3"/>
  <c r="E436" i="3"/>
  <c r="E39" i="3"/>
  <c r="E90" i="3"/>
  <c r="E57" i="3"/>
  <c r="E131" i="3"/>
  <c r="E187" i="3"/>
  <c r="E155" i="3"/>
  <c r="E240" i="3"/>
  <c r="E297" i="3"/>
  <c r="E259" i="3"/>
  <c r="E348" i="3"/>
  <c r="E375" i="3"/>
  <c r="E504" i="3"/>
  <c r="E110" i="3"/>
  <c r="E462" i="3"/>
  <c r="E446" i="3"/>
  <c r="E98" i="3"/>
  <c r="E138" i="3"/>
  <c r="E163" i="3"/>
  <c r="E209" i="3"/>
  <c r="E307" i="3"/>
  <c r="E354" i="3"/>
  <c r="E66" i="3"/>
  <c r="E48" i="3"/>
  <c r="E127" i="3"/>
  <c r="E284" i="3"/>
  <c r="Y6" i="3"/>
  <c r="E19" i="3"/>
  <c r="E179" i="3"/>
  <c r="E323" i="3"/>
  <c r="E82" i="3"/>
  <c r="S23" i="36"/>
  <c r="AA23" i="36"/>
  <c r="AC23" i="36"/>
  <c r="W23" i="36"/>
  <c r="AB36" i="35"/>
  <c r="U36"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F48" i="68" l="1"/>
  <c r="C30" i="68"/>
  <c r="C48" i="68"/>
  <c r="B38" i="72"/>
  <c r="D20" i="53"/>
  <c r="B40" i="72" s="1"/>
  <c r="D12" i="52"/>
  <c r="D127" i="9"/>
  <c r="D13" i="52" s="1"/>
  <c r="E65" i="39"/>
  <c r="T56" i="71"/>
  <c r="D56" i="71"/>
  <c r="T32" i="71"/>
  <c r="D32" i="71"/>
  <c r="C19" i="71"/>
  <c r="T20" i="71"/>
  <c r="D20" i="71"/>
  <c r="U20" i="71" s="1"/>
  <c r="B11" i="71"/>
  <c r="B10" i="71" s="1"/>
  <c r="B9" i="71" s="1"/>
  <c r="B8" i="71" s="1"/>
  <c r="B7" i="71" s="1"/>
  <c r="B6" i="71" s="1"/>
  <c r="B5" i="71" s="1"/>
  <c r="S12" i="71"/>
  <c r="N65" i="71"/>
  <c r="N66" i="71"/>
  <c r="E19" i="71"/>
  <c r="E18" i="71" s="1"/>
  <c r="E17" i="71" s="1"/>
  <c r="E16" i="71" s="1"/>
  <c r="V20" i="71"/>
  <c r="T36" i="71"/>
  <c r="D36"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C18" i="71"/>
  <c r="D19" i="71"/>
  <c r="E15" i="71"/>
  <c r="E14" i="71" s="1"/>
  <c r="E13" i="71" s="1"/>
  <c r="E12" i="71" s="1"/>
  <c r="V16"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H25" i="6" l="1"/>
  <c r="E11" i="71"/>
  <c r="E10" i="71" s="1"/>
  <c r="E9" i="71" s="1"/>
  <c r="E8" i="71" s="1"/>
  <c r="E7" i="71" s="1"/>
  <c r="E6" i="71" s="1"/>
  <c r="E5" i="71" s="1"/>
  <c r="V12" i="7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8" i="69" l="1"/>
  <c r="C5" i="69" s="1"/>
  <c r="B29" i="1"/>
  <c r="D17" i="71"/>
  <c r="C16"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8" i="68" l="1"/>
  <c r="C5" i="68" s="1"/>
  <c r="C23" i="68" s="1"/>
  <c r="C18" i="12"/>
  <c r="C21" i="12" s="1"/>
  <c r="J7" i="21"/>
  <c r="AC7" i="21" s="1"/>
  <c r="V48" i="21" s="1"/>
  <c r="I48" i="21" s="1"/>
  <c r="C15" i="71"/>
  <c r="T16" i="71"/>
  <c r="D16" i="71"/>
  <c r="U16" i="7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c r="C22" i="12" l="1"/>
  <c r="C30" i="12" s="1"/>
  <c r="C28" i="12" s="1"/>
  <c r="D15" i="71"/>
  <c r="C14"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27" i="12" l="1"/>
  <c r="C25" i="12" s="1"/>
  <c r="C32" i="12" s="1"/>
  <c r="B2" i="12" s="1"/>
  <c r="B3" i="12" s="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9"/>
  <c r="D102" i="9" l="1"/>
  <c r="G19" i="9"/>
  <c r="G21" i="9" s="1"/>
  <c r="D22" i="9"/>
  <c r="D21" i="9"/>
  <c r="B3" i="69"/>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
  <c r="D2" i="21"/>
  <c r="L51" i="67"/>
  <c r="D103" i="9" l="1"/>
  <c r="G20" i="9"/>
  <c r="C32" i="9" s="1"/>
  <c r="C11" i="71"/>
  <c r="T12" i="71"/>
  <c r="D12" i="71"/>
  <c r="U12" i="71"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5" i="9" l="1"/>
  <c r="C34" i="9" s="1"/>
  <c r="C10" i="71"/>
  <c r="D11"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6"/>
  <c r="D2" i="35"/>
  <c r="L51" i="15"/>
  <c r="D10" i="71" l="1"/>
  <c r="C9"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6" i="1"/>
  <c r="AO8" i="1"/>
  <c r="AO9" i="1"/>
  <c r="AO12" i="1"/>
  <c r="AO10" i="1"/>
  <c r="C8" i="71" l="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c r="D52" i="9"/>
  <c r="C104" i="9"/>
  <c r="H4" i="52"/>
  <c r="I4" i="52"/>
  <c r="C105" i="9"/>
  <c r="N58" i="9"/>
  <c r="P57" i="9"/>
  <c r="N60" i="9"/>
  <c r="N61" i="9"/>
  <c r="B22" i="72"/>
  <c r="M67" i="9"/>
  <c r="L67" i="9"/>
  <c r="N59" i="9"/>
  <c r="C6" i="74"/>
  <c r="C81" i="9"/>
  <c r="E81" i="9"/>
  <c r="C78" i="9"/>
  <c r="C73" i="9"/>
  <c r="L65" i="9"/>
  <c r="M65" i="9"/>
  <c r="B30" i="72"/>
  <c r="B20" i="72"/>
  <c r="D6" i="53"/>
  <c r="B51" i="72"/>
  <c r="E97" i="9"/>
  <c r="D8" i="52"/>
  <c r="N57" i="9"/>
  <c r="D54" i="9"/>
  <c r="M55" i="9"/>
  <c r="B48" i="72"/>
  <c r="B52" i="72"/>
  <c r="F4" i="52"/>
  <c r="M48" i="9"/>
  <c r="D5" i="53"/>
  <c r="D15" i="53"/>
  <c r="B31" i="72"/>
  <c r="M69" i="9"/>
  <c r="N69" i="9"/>
  <c r="D123" i="9"/>
  <c r="D9" i="52"/>
  <c r="H119" i="9"/>
  <c r="H5" i="52"/>
  <c r="C72" i="9"/>
  <c r="C79" i="9"/>
  <c r="C80" i="9"/>
  <c r="E80" i="9"/>
  <c r="B49" i="72"/>
  <c r="M54" i="9"/>
  <c r="H108" i="9"/>
  <c r="D122" i="9"/>
  <c r="B21" i="72"/>
  <c r="L66" i="9"/>
  <c r="M66" i="9"/>
  <c r="D55" i="9"/>
  <c r="M53" i="9"/>
  <c r="C68" i="9"/>
  <c r="C67" i="9"/>
  <c r="D59" i="9"/>
  <c r="D7" i="53"/>
  <c r="H102" i="9"/>
  <c r="C5" i="74"/>
  <c r="L68" i="9"/>
  <c r="M68" i="9"/>
  <c r="L64" i="9"/>
  <c r="M64" i="9"/>
  <c r="E4" i="52"/>
  <c r="G4" i="52"/>
  <c r="D13" i="53"/>
  <c r="D14" i="53"/>
  <c r="B32" i="72"/>
  <c r="D119" i="9"/>
  <c r="D5" i="52"/>
  <c r="D56" i="9"/>
  <c r="E118" i="9"/>
  <c r="D118" i="9"/>
  <c r="D4" i="52"/>
  <c r="B47" i="72"/>
  <c r="C64" i="9"/>
  <c r="C63" i="9"/>
  <c r="C93" i="9"/>
  <c r="C86" i="9"/>
  <c r="C96" i="9"/>
  <c r="E96" i="9"/>
  <c r="H107" i="9"/>
  <c r="M49" i="9"/>
  <c r="L63" i="9"/>
  <c r="M63" i="9"/>
  <c r="G118" i="9"/>
  <c r="F118" i="9"/>
  <c r="F119" i="9"/>
  <c r="F5" i="52"/>
  <c r="B53" i="72"/>
  <c r="C97" i="9"/>
  <c r="D58"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<sst xmlns="http://schemas.openxmlformats.org/spreadsheetml/2006/main" count="7816" uniqueCount="3419">
  <si>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</si>
  <si>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</si>
  <si>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</si>
  <si>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</si>
  <si>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</si>
  <si>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</si>
  <si>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</si>
  <si>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</si>
  <si>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</si>
  <si>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</si>
  <si>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</si>
  <si>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</si>
  <si>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</si>
  <si>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</si>
  <si>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</si>
  <si>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</si>
  <si>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</si>
  <si>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</si>
  <si>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</si>
  <si>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</si>
  <si>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</si>
  <si>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</si>
  <si>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</si>
  <si>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</si>
  <si>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</si>
  <si>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</si>
  <si>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</si>
  <si>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</si>
  <si>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</si>
  <si>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</si>
  <si>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</si>
  <si>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</si>
  <si>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</si>
  <si>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</si>
  <si>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</si>
  <si>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</si>
  <si>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</si>
  <si>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</si>
  <si>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</si>
  <si>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</si>
  <si>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</si>
  <si>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</si>
  <si>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</si>
  <si>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</si>
  <si>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</si>
  <si>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</si>
  <si>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</si>
  <si>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</si>
  <si>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</si>
  <si>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</si>
  <si>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</si>
  <si>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</si>
  <si>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</si>
  <si>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</si>
  <si>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</si>
  <si>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</si>
  <si>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</si>
  <si>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</si>
  <si>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</si>
  <si>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</si>
  <si>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</si>
  <si>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</si>
  <si>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</si>
  <si>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</si>
  <si>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</si>
  <si>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</si>
  <si>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</si>
  <si>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</si>
  <si>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</si>
  <si>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</si>
  <si>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</si>
  <si>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</si>
  <si>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</si>
  <si>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</si>
  <si>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</si>
  <si>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</si>
  <si>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</si>
  <si>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</si>
  <si>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</si>
  <si>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</si>
  <si>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</si>
  <si>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</si>
  <si>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</si>
  <si>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</si>
  <si>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</si>
  <si>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</si>
  <si>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</si>
  <si>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</si>
  <si>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</si>
  <si>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</si>
  <si>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</si>
  <si>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</si>
  <si>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</si>
  <si>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</si>
  <si>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</si>
  <si>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</si>
  <si>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</si>
  <si>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</si>
  <si>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</si>
  <si>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</si>
  <si>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</si>
  <si>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</si>
  <si>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</si>
  <si>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</si>
  <si>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</si>
  <si>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</si>
  <si>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</si>
  <si>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</si>
  <si>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</si>
  <si>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</si>
  <si>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</si>
  <si>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</si>
  <si>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</si>
  <si>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</si>
  <si>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</si>
  <si>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</si>
  <si>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</si>
  <si>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</si>
  <si>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</si>
  <si>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</si>
  <si>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</si>
  <si>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</si>
  <si>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</si>
  <si>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</si>
  <si>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</si>
  <si>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</si>
  <si>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</si>
  <si>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</si>
  <si>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</si>
  <si>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</si>
  <si>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</si>
  <si>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</si>
  <si>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</si>
  <si>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</si>
  <si>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</si>
  <si>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</si>
  <si>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</si>
  <si>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</si>
  <si>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</si>
  <si>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</si>
  <si>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</si>
  <si>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</si>
  <si>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</si>
  <si>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</si>
  <si>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</si>
  <si>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</si>
  <si>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</si>
  <si>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</si>
  <si>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</si>
  <si>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</si>
  <si>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</si>
  <si>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</si>
  <si>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</si>
  <si>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</si>
  <si>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</si>
  <si>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</si>
  <si>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</si>
  <si>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</si>
  <si>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</si>
  <si>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</si>
  <si>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</si>
  <si>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</si>
  <si>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</si>
  <si>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</si>
  <si>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</si>
  <si>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</si>
  <si>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</si>
  <si>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</si>
  <si>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</si>
  <si>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</si>
  <si>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</si>
  <si>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</si>
  <si>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</si>
  <si>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</si>
  <si>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</si>
  <si>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</si>
  <si>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</si>
  <si>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</si>
  <si>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</si>
  <si>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</si>
  <si>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</si>
  <si>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</si>
  <si>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</si>
  <si>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</si>
  <si>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</si>
  <si>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</si>
  <si>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</si>
  <si>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</si>
  <si>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</si>
  <si>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</si>
  <si>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</si>
  <si>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</si>
  <si>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</si>
  <si>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</si>
  <si>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</si>
  <si>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</si>
  <si>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</si>
  <si>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</si>
  <si>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</si>
  <si>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</si>
  <si>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</si>
  <si>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</si>
  <si>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</si>
  <si>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</si>
  <si>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</si>
  <si>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</si>
  <si>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</si>
  <si>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</si>
  <si>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</si>
  <si>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</si>
  <si>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</si>
  <si>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</si>
  <si>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</si>
  <si>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</si>
  <si>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</si>
  <si>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</si>
  <si>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</si>
  <si>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</si>
  <si>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</si>
  <si>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</si>
  <si>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</si>
  <si>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</si>
  <si>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</si>
  <si>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</si>
  <si>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</si>
  <si>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</si>
  <si>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</si>
  <si>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</si>
  <si>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</si>
  <si>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</si>
  <si>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</si>
  <si>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</si>
  <si>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</si>
  <si>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</si>
  <si>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</si>
  <si>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</si>
  <si>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</si>
  <si>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</si>
  <si>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</si>
  <si>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</si>
  <si>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</si>
  <si>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</si>
  <si>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</si>
  <si>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</si>
  <si>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</si>
  <si>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</si>
  <si>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</si>
  <si>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</si>
  <si>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</si>
  <si>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</si>
  <si>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</si>
  <si>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</si>
  <si>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</si>
  <si>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</si>
  <si>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</si>
  <si>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</si>
  <si>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</si>
  <si>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</si>
  <si>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</si>
  <si>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</si>
  <si>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</si>
  <si>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</si>
  <si>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</si>
  <si>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</si>
  <si>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</si>
  <si>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</si>
  <si>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</si>
  <si>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</si>
  <si>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</si>
  <si>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</si>
  <si>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</si>
  <si>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</si>
  <si>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</si>
  <si>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</si>
  <si>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</si>
  <si>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</si>
  <si>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</si>
  <si>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</si>
  <si>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</si>
  <si>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</si>
  <si>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</si>
  <si>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</si>
  <si>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</si>
  <si>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</si>
  <si>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</si>
  <si>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</si>
  <si>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</si>
  <si>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</si>
  <si>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</si>
  <si>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</si>
  <si>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</si>
  <si>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</si>
  <si>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</si>
  <si>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</si>
  <si>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</si>
  <si>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</si>
  <si>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</si>
  <si>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</si>
  <si>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</si>
  <si>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</si>
  <si>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</si>
  <si>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</si>
  <si>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</si>
  <si>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</si>
  <si>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</si>
  <si>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</si>
  <si>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</si>
  <si>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</si>
  <si>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</si>
  <si>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</si>
  <si>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</si>
  <si>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</si>
  <si>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</si>
  <si>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</si>
  <si>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</si>
  <si>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</si>
  <si>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</si>
  <si>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</si>
  <si>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</si>
  <si>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</si>
  <si>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</si>
  <si>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</si>
  <si>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</si>
  <si>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</si>
  <si>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</si>
  <si>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</si>
  <si>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</si>
  <si>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</si>
  <si>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</si>
  <si>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</si>
  <si>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</si>
  <si>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</si>
  <si>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</si>
  <si>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</si>
  <si>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</si>
  <si>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</si>
  <si>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</si>
  <si>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</si>
  <si>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</si>
  <si>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</si>
  <si>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</si>
  <si>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</si>
  <si>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</si>
  <si>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</si>
  <si>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</si>
  <si>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</si>
  <si>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</si>
  <si>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</si>
  <si>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</si>
  <si>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</si>
  <si>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</si>
  <si>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</si>
  <si>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</si>
  <si>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</si>
  <si>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</si>
  <si>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</si>
  <si>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</si>
  <si>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</si>
  <si>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</si>
  <si>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</si>
  <si>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</si>
  <si>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</si>
  <si>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</si>
  <si>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</si>
  <si>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</si>
  <si>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</si>
  <si>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</si>
  <si>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</si>
  <si>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</si>
  <si>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</si>
  <si>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</si>
  <si>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</si>
  <si>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</si>
  <si>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</si>
  <si>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</si>
  <si>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</si>
  <si>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</si>
  <si>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</si>
  <si>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</si>
  <si>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</si>
  <si>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</si>
  <si>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</si>
  <si>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</si>
  <si>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</si>
  <si>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</si>
  <si>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</si>
  <si>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</si>
  <si>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</si>
  <si>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</si>
  <si>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</si>
  <si>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</si>
  <si>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</si>
  <si>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</si>
  <si>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</si>
  <si>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</si>
  <si>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</si>
  <si>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</si>
  <si>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</si>
  <si>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</si>
  <si>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</si>
  <si>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</si>
  <si>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</si>
  <si>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</si>
  <si>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</si>
  <si>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</si>
  <si>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</si>
  <si>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</si>
  <si>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</si>
  <si>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</si>
  <si>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</si>
  <si>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</si>
  <si>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</si>
  <si>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</si>
  <si>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</si>
  <si>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</si>
  <si>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</si>
  <si>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</si>
  <si>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</si>
  <si>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</si>
  <si>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</si>
  <si>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</si>
  <si>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</si>
  <si>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</si>
  <si>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</si>
  <si>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</si>
  <si>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</si>
  <si>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</si>
  <si>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</si>
  <si>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</si>
  <si>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</si>
  <si>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</si>
  <si>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</si>
  <si>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</si>
  <si>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</si>
  <si>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</si>
  <si>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</si>
  <si>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</si>
  <si>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</si>
  <si>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</si>
  <si>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</si>
  <si>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</si>
  <si>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</si>
  <si>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</si>
  <si>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</si>
  <si>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</si>
  <si>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</si>
  <si>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</si>
  <si>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</si>
  <si>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</si>
  <si>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</si>
  <si>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</si>
  <si>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</si>
  <si>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</si>
  <si>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</si>
  <si>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</si>
  <si>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</si>
  <si>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</si>
  <si>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</si>
  <si>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</si>
  <si>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</si>
  <si>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</si>
  <si>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</si>
  <si>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</si>
  <si>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</si>
  <si>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</si>
  <si>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</si>
  <si>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</si>
  <si>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</si>
  <si>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</si>
  <si>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</si>
  <si>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</si>
  <si>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</si>
  <si>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</si>
  <si>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</si>
  <si>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</si>
  <si>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</si>
  <si>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</si>
  <si>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</si>
  <si>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</si>
  <si>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</si>
  <si>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</si>
  <si>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</si>
  <si>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</si>
  <si>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</si>
  <si>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</si>
  <si>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</si>
  <si>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</si>
  <si>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</si>
  <si>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</si>
  <si>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</si>
  <si>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</si>
  <si>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</si>
  <si>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</si>
  <si>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</si>
  <si>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</si>
  <si>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</si>
  <si>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</si>
  <si>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</si>
  <si>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</si>
  <si>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</si>
  <si>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</si>
  <si>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</si>
  <si>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</si>
  <si>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</si>
  <si>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</si>
  <si>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</si>
  <si>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</si>
  <si>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</si>
  <si>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</si>
  <si>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</si>
  <si>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</si>
  <si>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</si>
  <si>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</si>
  <si>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</si>
  <si>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</si>
  <si>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</si>
  <si>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</si>
  <si>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</si>
  <si>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</si>
  <si>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</si>
  <si>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</si>
  <si>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</si>
  <si>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</si>
  <si>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</si>
  <si>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</si>
  <si>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</si>
  <si>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</si>
  <si>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</si>
  <si>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</si>
  <si>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</si>
  <si>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</si>
  <si>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</si>
  <si>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</si>
  <si>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</si>
  <si>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</si>
  <si>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</si>
  <si>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</si>
  <si>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</si>
  <si>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</si>
  <si>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</si>
  <si>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</si>
  <si>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</si>
  <si>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</si>
  <si>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</si>
  <si>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</si>
  <si>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</si>
  <si>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</si>
  <si>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</si>
  <si>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</si>
  <si>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</si>
  <si>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</si>
  <si>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</si>
  <si>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</si>
  <si>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</si>
  <si>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</si>
  <si>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</si>
  <si>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</si>
  <si>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</si>
  <si>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</si>
  <si>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</si>
  <si>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</si>
  <si>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</si>
  <si>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</si>
  <si>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</si>
  <si>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</si>
  <si>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</si>
  <si>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</si>
  <si>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</si>
  <si>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</si>
  <si>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</si>
  <si>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</si>
  <si>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</si>
  <si>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</si>
  <si>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</si>
  <si>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</si>
  <si>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</si>
  <si>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</si>
  <si>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</si>
  <si>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</si>
  <si>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</si>
  <si>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</si>
  <si>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</si>
  <si>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</si>
  <si>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</si>
  <si>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</si>
  <si>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</si>
  <si>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</si>
  <si>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</si>
  <si>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</si>
  <si>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</si>
  <si>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</si>
  <si>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</si>
  <si>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</si>
  <si>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</si>
  <si>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</si>
  <si>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</si>
  <si>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</si>
  <si>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</si>
  <si>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</si>
  <si>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</si>
  <si>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</si>
  <si>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</si>
  <si>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</si>
  <si>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</si>
  <si>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</si>
  <si>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</si>
  <si>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</si>
  <si>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</si>
  <si>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</si>
  <si>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</si>
  <si>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</si>
  <si>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</si>
  <si>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</si>
  <si>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</si>
  <si>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</si>
  <si>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</si>
  <si>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</si>
  <si>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</si>
  <si>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</si>
  <si>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</si>
  <si>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</si>
  <si>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</si>
  <si>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</si>
  <si>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</si>
  <si>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</si>
  <si>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</si>
  <si>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</si>
  <si>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</si>
  <si>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</si>
  <si>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</si>
  <si>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</si>
  <si>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</si>
  <si>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</si>
  <si>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</si>
  <si>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</si>
  <si>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</si>
  <si>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</si>
  <si>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</si>
  <si>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</si>
  <si>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</si>
  <si>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</si>
  <si>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</si>
  <si>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</si>
  <si>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</si>
  <si>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</si>
  <si>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</si>
  <si>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</si>
  <si>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</si>
  <si>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</si>
  <si>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</si>
  <si>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</si>
  <si>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</si>
  <si>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</si>
  <si>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</si>
  <si>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</si>
  <si>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</si>
  <si>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</si>
  <si>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</si>
  <si>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</si>
  <si>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</si>
  <si>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</si>
  <si>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</si>
  <si>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</si>
  <si>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</si>
  <si>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</si>
  <si>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</si>
  <si>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</si>
  <si>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</si>
  <si>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</si>
  <si>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</si>
  <si>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</si>
  <si>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</si>
  <si>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</si>
  <si>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</si>
  <si>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</si>
  <si>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</si>
  <si>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</si>
  <si>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</si>
  <si>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</si>
  <si>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</si>
  <si>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</si>
  <si>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</si>
  <si>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</si>
  <si>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</si>
  <si>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</si>
  <si>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</si>
  <si>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</si>
  <si>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</si>
  <si>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</si>
  <si>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</si>
  <si>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</si>
  <si>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</si>
  <si>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</si>
  <si>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</si>
  <si>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</si>
  <si>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</si>
  <si>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</si>
  <si>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</si>
  <si>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</si>
  <si>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</si>
  <si>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</si>
  <si>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</si>
  <si>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</si>
  <si>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</si>
  <si>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</si>
  <si>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</si>
  <si>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</si>
  <si>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</si>
  <si>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</si>
  <si>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</si>
  <si>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</si>
  <si>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</si>
  <si>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</si>
  <si>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</si>
  <si>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</si>
  <si>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</si>
  <si>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</si>
  <si>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</si>
  <si>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</si>
  <si>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</si>
  <si>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</si>
  <si>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</si>
  <si>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</si>
  <si>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</si>
  <si>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</si>
  <si>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</si>
  <si>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</si>
  <si>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</si>
  <si>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</si>
  <si>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</si>
  <si>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</si>
  <si>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</si>
  <si>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</si>
  <si>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</si>
  <si>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</si>
  <si>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</si>
  <si>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</si>
  <si>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</si>
  <si>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</si>
  <si>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</si>
  <si>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</si>
  <si>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</si>
  <si>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</si>
  <si>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</si>
  <si>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</si>
  <si>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</si>
  <si>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</si>
  <si>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</si>
  <si>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</si>
  <si>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</si>
  <si>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</si>
  <si>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</si>
  <si>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</si>
  <si>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</si>
  <si>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</si>
  <si>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</si>
  <si>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</si>
  <si>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</si>
  <si>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</si>
  <si>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</si>
  <si>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</si>
  <si>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</si>
  <si>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</si>
  <si>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</si>
  <si>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</si>
  <si>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</si>
  <si>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</si>
  <si>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</si>
  <si>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</si>
  <si>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</si>
  <si>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</si>
  <si>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</si>
  <si>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</si>
  <si>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</si>
  <si>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</si>
  <si>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</si>
  <si>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</si>
  <si>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</si>
  <si>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</si>
  <si>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</si>
  <si>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</si>
  <si>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</si>
  <si>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</si>
  <si>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</si>
  <si>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</si>
  <si>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</si>
  <si>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</si>
  <si>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</si>
  <si>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</si>
  <si>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</si>
  <si>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</si>
  <si>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</si>
  <si>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</si>
  <si>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</si>
  <si>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</si>
  <si>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</si>
  <si>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</si>
  <si>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</si>
  <si>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</si>
  <si>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</si>
  <si>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</si>
  <si>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</si>
  <si>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</si>
  <si>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</si>
  <si>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</si>
  <si>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</si>
  <si>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</si>
  <si>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</si>
  <si>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</si>
  <si>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</si>
  <si>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</si>
  <si>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</si>
  <si>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</si>
  <si>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</si>
  <si>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</si>
  <si>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</si>
  <si>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</si>
  <si>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</si>
  <si>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</si>
  <si>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</si>
  <si>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</si>
  <si>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</si>
  <si>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</si>
  <si>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</si>
  <si>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</si>
  <si>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</si>
  <si>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</si>
  <si>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</si>
  <si>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</si>
  <si>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</si>
  <si>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</si>
  <si>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</si>
  <si>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</si>
  <si>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</si>
  <si>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</si>
  <si>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</si>
  <si>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</si>
  <si>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</si>
  <si>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</si>
  <si>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</si>
  <si>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</si>
  <si>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</si>
  <si>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</si>
  <si>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</si>
  <si>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</si>
  <si>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</si>
  <si>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</si>
  <si>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</si>
  <si>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</si>
  <si>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</si>
  <si>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</si>
  <si>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</si>
  <si>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</si>
  <si>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</si>
  <si>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</si>
  <si>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</si>
  <si>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</si>
  <si>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</si>
  <si>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</si>
  <si>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</si>
  <si>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</si>
  <si>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</si>
  <si>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</si>
  <si>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</si>
  <si>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</si>
  <si>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</si>
  <si>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</si>
  <si>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</si>
  <si>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</si>
  <si>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</si>
  <si>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</si>
  <si>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</si>
  <si>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</si>
  <si>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</si>
  <si>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</si>
  <si>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</si>
  <si>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</si>
  <si>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</si>
  <si>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</si>
  <si>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</si>
  <si>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</si>
  <si>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</si>
  <si>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</si>
  <si>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</si>
  <si>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</si>
  <si>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</si>
  <si>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</si>
  <si>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</si>
  <si>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</si>
  <si>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</si>
  <si>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</si>
  <si>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</si>
  <si>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</si>
  <si>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</si>
  <si>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</si>
  <si>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</si>
  <si>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</si>
  <si>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</si>
  <si>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</si>
  <si>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</si>
  <si>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</si>
  <si>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</si>
  <si>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</si>
  <si>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</si>
  <si>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</si>
  <si>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</si>
  <si>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</si>
  <si>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</si>
  <si>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</si>
  <si>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</si>
  <si>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</si>
  <si>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</si>
  <si>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</si>
  <si>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</si>
  <si>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</si>
  <si>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</si>
  <si>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</si>
  <si>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</si>
  <si>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</si>
  <si>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</si>
  <si>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</si>
  <si>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</si>
  <si>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</si>
  <si>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</si>
  <si>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</si>
  <si>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</si>
  <si>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</si>
  <si>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</si>
  <si>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</si>
  <si>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</si>
  <si>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</si>
  <si>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</si>
  <si>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</si>
  <si>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</si>
  <si>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</si>
  <si>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</si>
  <si>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</si>
  <si>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</si>
  <si>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</si>
  <si>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</si>
  <si>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</si>
  <si>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</si>
  <si>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</si>
  <si>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</si>
  <si>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</si>
  <si>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</si>
  <si>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</si>
  <si>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</si>
  <si>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</si>
  <si>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</si>
  <si>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</si>
  <si>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</si>
  <si>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</si>
  <si>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</si>
  <si>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</si>
  <si>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</si>
  <si>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</si>
  <si>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</si>
  <si>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</si>
  <si>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</si>
  <si>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</si>
  <si>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</si>
  <si>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</si>
  <si>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</si>
  <si>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</si>
  <si>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</si>
  <si>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</si>
  <si>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</si>
  <si>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</si>
  <si>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</si>
  <si>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</si>
  <si>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</si>
  <si>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</si>
  <si>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</si>
  <si>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</si>
  <si>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</si>
  <si>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</si>
  <si>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</si>
  <si>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</si>
  <si>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</si>
  <si>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</si>
  <si>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</si>
  <si>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</si>
  <si>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</si>
  <si>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</si>
  <si>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</si>
  <si>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</si>
  <si>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</si>
  <si>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</si>
  <si>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</si>
  <si>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</si>
  <si>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</si>
  <si>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</si>
  <si>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</si>
  <si>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</si>
  <si>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</si>
  <si>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</si>
  <si>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</si>
  <si>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</si>
  <si>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</si>
  <si>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</si>
  <si>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</si>
  <si>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</si>
  <si>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</si>
  <si>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</si>
  <si>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</si>
  <si>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</si>
  <si>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</si>
  <si>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</si>
  <si>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</si>
  <si>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</si>
  <si>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</si>
  <si>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</si>
  <si>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</si>
  <si>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</si>
  <si>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</si>
  <si>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</si>
  <si>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</si>
  <si>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</si>
  <si>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</si>
  <si>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</si>
  <si>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</si>
  <si>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</si>
  <si>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</si>
  <si>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</si>
  <si>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</si>
  <si>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</si>
  <si>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</si>
  <si>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</si>
  <si>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</si>
  <si>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</si>
  <si>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</si>
  <si>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</si>
  <si>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</si>
  <si>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</si>
  <si>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</si>
  <si>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</si>
  <si>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</si>
  <si>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</si>
  <si>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</si>
  <si>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</si>
  <si>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</si>
  <si>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</si>
  <si>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</si>
  <si>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</si>
  <si>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</si>
  <si>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</si>
  <si>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</si>
  <si>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</si>
  <si>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</si>
  <si>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</si>
  <si>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</si>
  <si>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</si>
  <si>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</si>
  <si>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</si>
  <si>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</si>
  <si>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</si>
  <si>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</si>
  <si>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</si>
  <si>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</si>
  <si>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</si>
  <si>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</si>
  <si>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</si>
  <si>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</si>
  <si>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</si>
  <si>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</si>
  <si>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</si>
  <si>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</si>
  <si>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</si>
  <si>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</si>
  <si>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</si>
  <si>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</si>
  <si>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</si>
  <si>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</si>
  <si>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</si>
  <si>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</si>
  <si>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</si>
  <si>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</si>
  <si>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</si>
  <si>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</si>
  <si>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</si>
  <si>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</si>
  <si>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</si>
  <si>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</si>
  <si>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</si>
  <si>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</si>
  <si>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</si>
  <si>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</si>
  <si>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</si>
  <si>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</si>
  <si>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</si>
  <si>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</si>
  <si>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</si>
  <si>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</si>
  <si>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</si>
  <si>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</si>
  <si>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</si>
  <si>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</si>
  <si>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</si>
  <si>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</si>
  <si>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</si>
  <si>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</si>
  <si>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</si>
  <si>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</si>
  <si>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</si>
  <si>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</si>
  <si>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</si>
  <si>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</si>
  <si>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</si>
  <si>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</si>
  <si>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</si>
  <si>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</si>
  <si>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</si>
  <si>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</si>
  <si>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</si>
  <si>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</si>
  <si>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</si>
  <si>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</si>
  <si>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</si>
  <si>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</si>
  <si>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</si>
  <si>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</si>
  <si>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</si>
  <si>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</si>
  <si>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</si>
  <si>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</si>
  <si>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</si>
  <si>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</si>
  <si>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</si>
  <si>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</si>
  <si>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</si>
  <si>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</si>
  <si>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</si>
  <si>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</si>
  <si>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</si>
  <si>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</si>
  <si>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</si>
  <si>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</si>
  <si>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</si>
  <si>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</si>
  <si>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</si>
  <si>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</si>
  <si>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</si>
  <si>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</si>
  <si>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</si>
  <si>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</si>
  <si>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</si>
  <si>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</si>
  <si>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</si>
  <si>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</si>
  <si>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</si>
  <si>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</si>
  <si>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</si>
  <si>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</si>
  <si>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</si>
  <si>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</si>
  <si>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</si>
  <si>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</si>
  <si>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</si>
  <si>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</si>
  <si>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</si>
  <si>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</si>
  <si>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</si>
  <si>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</si>
  <si>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</si>
  <si>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</si>
  <si>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</si>
  <si>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</si>
  <si>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</si>
  <si>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</si>
  <si>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</si>
  <si>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</si>
  <si>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</si>
  <si>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</si>
  <si>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</si>
  <si>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</si>
  <si>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</si>
  <si>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</si>
  <si>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</si>
  <si>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</si>
  <si>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</si>
  <si>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</si>
  <si>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</si>
  <si>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</si>
  <si>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</si>
  <si>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</si>
  <si>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</si>
  <si>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</si>
  <si>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</si>
  <si>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</si>
  <si>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</si>
  <si>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</si>
  <si>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</si>
  <si>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</si>
  <si>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</si>
  <si>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</si>
  <si>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</si>
  <si>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</si>
  <si>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</si>
  <si>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</si>
  <si>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</si>
  <si>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</si>
  <si>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</si>
  <si>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</si>
  <si>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</si>
  <si>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</si>
  <si>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</si>
  <si>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</si>
  <si>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</si>
  <si>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</si>
  <si>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</si>
  <si>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</si>
  <si>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</si>
  <si>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</si>
  <si>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</si>
  <si>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</si>
  <si>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</si>
  <si>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</si>
  <si>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</si>
  <si>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</si>
  <si>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</si>
  <si>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</si>
  <si>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</si>
  <si>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</si>
  <si>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</si>
  <si>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</si>
  <si>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</si>
  <si>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</si>
  <si>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</si>
  <si>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</si>
  <si>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</si>
  <si>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</si>
  <si>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</si>
  <si>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</si>
  <si>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</si>
  <si>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</si>
  <si>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</si>
  <si>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</si>
  <si>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</si>
  <si>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</si>
  <si>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</si>
  <si>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</si>
  <si>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</si>
  <si>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</si>
  <si>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</si>
  <si>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</si>
  <si>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</si>
  <si>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</si>
  <si>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</si>
  <si>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</si>
  <si>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</si>
  <si>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</si>
  <si>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</si>
  <si>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</si>
  <si>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</si>
  <si>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</si>
  <si>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</si>
  <si>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</si>
  <si>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</si>
  <si>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</si>
  <si>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</si>
  <si>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</si>
  <si>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</si>
  <si>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</si>
  <si>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</si>
  <si>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</si>
  <si>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</si>
  <si>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</si>
  <si>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</si>
  <si>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</si>
  <si>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</si>
  <si>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</si>
  <si>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</si>
  <si>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</si>
  <si>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</si>
  <si>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</si>
  <si>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</si>
  <si>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</si>
  <si>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</si>
  <si>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</si>
  <si>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</si>
  <si>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</si>
  <si>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</si>
  <si>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</si>
  <si>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</si>
  <si>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</si>
  <si>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</si>
  <si>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</si>
  <si>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</si>
  <si>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</si>
  <si>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</si>
  <si>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</si>
  <si>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</si>
  <si>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</si>
  <si>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</si>
  <si>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</si>
  <si>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</si>
  <si>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</si>
  <si>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</si>
  <si>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</si>
  <si>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</si>
  <si>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</si>
  <si>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</si>
  <si>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</si>
  <si>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</si>
  <si>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</si>
  <si>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</si>
  <si>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</si>
  <si>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</si>
  <si>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</si>
  <si>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</si>
  <si>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</si>
  <si>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</si>
  <si>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</si>
  <si>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</si>
  <si>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</si>
  <si>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</si>
  <si>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</si>
  <si>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</si>
  <si>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</si>
  <si>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</si>
  <si>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</si>
  <si>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</si>
  <si>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</si>
  <si>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</si>
  <si>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</si>
  <si>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</si>
  <si>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</si>
  <si>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</si>
  <si>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</si>
  <si>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</si>
  <si>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</si>
  <si>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</si>
  <si>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</si>
  <si>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</si>
  <si>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</si>
  <si>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</si>
  <si>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</si>
  <si>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</si>
  <si>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</si>
  <si>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</si>
  <si>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</si>
  <si>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</si>
  <si>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</si>
  <si>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</si>
  <si>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</si>
  <si>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</si>
  <si>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</si>
  <si>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</si>
  <si>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</si>
  <si>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</si>
  <si>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</si>
  <si>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</si>
  <si>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</si>
  <si>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</si>
  <si>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</si>
  <si>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</si>
  <si>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</si>
  <si>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</si>
  <si>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</si>
  <si>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</si>
  <si>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</si>
  <si>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</si>
  <si>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</si>
  <si>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</si>
  <si>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</si>
  <si>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</si>
  <si>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</si>
  <si>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</si>
  <si>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</si>
  <si>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</si>
  <si>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</si>
  <si>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</si>
  <si>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</si>
  <si>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</si>
  <si>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</si>
  <si>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</si>
  <si>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</si>
  <si>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</si>
  <si>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</si>
  <si>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</si>
  <si>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</si>
  <si>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</si>
  <si>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</si>
  <si>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</si>
  <si>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</si>
  <si>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</si>
  <si>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</si>
  <si>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</si>
  <si>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</si>
  <si>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</si>
  <si>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</si>
  <si>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</si>
  <si>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</si>
  <si>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</si>
  <si>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</si>
  <si>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</si>
  <si>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</si>
  <si>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</si>
  <si>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</si>
  <si>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</si>
  <si>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</si>
  <si>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</si>
  <si>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</si>
  <si>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</si>
  <si>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</si>
  <si>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</si>
  <si>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</si>
  <si>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</si>
  <si>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</si>
  <si>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</si>
  <si>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</si>
  <si>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</si>
  <si>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</si>
  <si>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</si>
  <si>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</si>
  <si>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</si>
  <si>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</si>
  <si>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</si>
  <si>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</si>
  <si>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</si>
  <si>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</si>
  <si>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</si>
  <si>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</si>
  <si>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</si>
  <si>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</si>
  <si>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</si>
  <si>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</si>
  <si>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</si>
  <si>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</si>
  <si>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</si>
  <si>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</si>
  <si>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</si>
  <si>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</si>
  <si>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</si>
  <si>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</si>
  <si>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</si>
  <si>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</si>
  <si>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</si>
  <si>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</si>
  <si>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</si>
  <si>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</si>
  <si>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</si>
  <si>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</si>
  <si>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</si>
  <si>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</si>
  <si>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</si>
  <si>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</si>
  <si>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</si>
  <si>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</si>
  <si>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</si>
  <si>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</si>
  <si>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</si>
  <si>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</si>
  <si>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</si>
  <si>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</si>
  <si>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</si>
  <si>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</si>
  <si>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</si>
  <si>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</si>
  <si>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</si>
  <si>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</si>
  <si>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</si>
  <si>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</si>
  <si>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</si>
  <si>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</si>
  <si>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</si>
  <si>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</si>
  <si>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</si>
  <si>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</si>
  <si>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</si>
  <si>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</si>
  <si>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</si>
  <si>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</si>
  <si>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</si>
  <si>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</si>
  <si>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</si>
  <si>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</si>
  <si>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</si>
  <si>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</si>
  <si>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</si>
  <si>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</si>
  <si>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</si>
  <si>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</si>
  <si>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</si>
  <si>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</si>
  <si>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</si>
  <si>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</si>
  <si>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</si>
  <si>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</si>
  <si>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</si>
  <si>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</si>
  <si>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</si>
  <si>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</si>
  <si>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</si>
  <si>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</si>
  <si>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</si>
  <si>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</si>
  <si>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</si>
  <si>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</si>
  <si>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</si>
  <si>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</si>
  <si>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</si>
  <si>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</si>
  <si>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</si>
  <si>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</si>
  <si>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</si>
  <si>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</si>
  <si>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</si>
  <si>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</si>
  <si>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</si>
  <si>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</si>
  <si>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</si>
  <si>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</si>
  <si>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</si>
  <si>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</si>
  <si>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</si>
  <si>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</si>
  <si>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</si>
  <si>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</si>
  <si>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</si>
  <si>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</si>
  <si>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</si>
  <si>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</si>
  <si>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</si>
  <si>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</si>
  <si>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</si>
  <si>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</si>
  <si>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</si>
  <si>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</si>
  <si>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</si>
  <si>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</si>
  <si>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</si>
  <si>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</si>
  <si>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</si>
  <si>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</si>
  <si>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</si>
  <si>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</si>
  <si>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</si>
  <si>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</si>
  <si>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</si>
  <si>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</si>
  <si>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</si>
  <si>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</si>
  <si>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</si>
  <si>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</si>
  <si>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</si>
  <si>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</si>
  <si>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</si>
  <si>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</si>
  <si>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</si>
  <si>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</si>
  <si>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</si>
  <si>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</si>
  <si>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</si>
  <si>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</si>
  <si>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</si>
  <si>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</si>
  <si>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</si>
  <si>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</si>
  <si>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</si>
  <si>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</si>
  <si>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</si>
  <si>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</si>
  <si>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</si>
  <si>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</si>
  <si>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</si>
  <si>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</si>
  <si>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</si>
  <si>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</si>
  <si>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</si>
  <si>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</si>
  <si>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</si>
  <si>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</si>
  <si>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</si>
  <si>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</si>
  <si>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</si>
  <si>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</si>
  <si>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</si>
  <si>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</si>
  <si>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</si>
  <si>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</si>
  <si>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</si>
  <si>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</si>
  <si>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</si>
  <si>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</si>
  <si>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</si>
  <si>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</si>
  <si>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</si>
  <si>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</si>
  <si>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</si>
  <si>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</si>
  <si>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</si>
  <si>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</si>
  <si>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</si>
  <si>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</si>
  <si>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</si>
  <si>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</si>
  <si>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</si>
  <si>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</si>
  <si>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</si>
  <si>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</si>
  <si>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</si>
  <si>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</si>
  <si>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</si>
  <si>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</si>
  <si>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</si>
  <si>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</si>
  <si>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</si>
  <si>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</si>
  <si>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</si>
  <si>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</si>
  <si>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</si>
  <si>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</si>
  <si>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</si>
  <si>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</si>
  <si>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</si>
  <si>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</si>
  <si>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</si>
  <si>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</si>
  <si>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</si>
  <si>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</si>
  <si>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</si>
  <si>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</si>
  <si>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</si>
  <si>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</si>
  <si>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</si>
  <si>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</si>
  <si>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</si>
  <si>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</si>
  <si>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</si>
  <si>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</si>
  <si>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</si>
  <si>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</si>
  <si>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</si>
  <si>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</si>
  <si>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</si>
  <si>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</si>
  <si>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</si>
  <si>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</si>
  <si>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</si>
  <si>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</si>
  <si>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</si>
  <si>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</si>
  <si>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</si>
  <si>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</si>
  <si>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</si>
  <si>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</si>
  <si>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</si>
  <si>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</si>
  <si>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</si>
  <si>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</si>
  <si>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</si>
  <si>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</si>
  <si>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</si>
  <si>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</si>
  <si>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</si>
  <si>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</si>
  <si>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</si>
  <si>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</si>
  <si>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</si>
  <si>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</si>
  <si>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</si>
  <si>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</si>
  <si>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</si>
  <si>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</si>
  <si>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</si>
  <si>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</si>
  <si>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</si>
  <si>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</si>
  <si>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</si>
  <si>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</si>
  <si>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</si>
  <si>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</si>
  <si>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</si>
  <si>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</si>
  <si>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</si>
  <si>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</si>
  <si>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</si>
  <si>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</si>
  <si>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</si>
  <si>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</si>
  <si>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</si>
  <si>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</si>
  <si>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</si>
  <si>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</si>
  <si>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</si>
  <si>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</si>
  <si>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</si>
  <si>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</si>
  <si>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</si>
  <si>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</si>
  <si>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</si>
  <si>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</si>
  <si>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</si>
  <si>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</si>
  <si>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</si>
  <si>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</si>
  <si>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</si>
  <si>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</si>
  <si>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</si>
  <si>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</si>
  <si>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</si>
  <si>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</si>
  <si>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</si>
  <si>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</si>
  <si>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</si>
  <si>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</si>
  <si>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</si>
  <si>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</si>
  <si>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</si>
  <si>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</si>
  <si>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</si>
  <si>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</si>
  <si>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</si>
  <si>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</si>
  <si>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</si>
  <si>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</si>
  <si>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</si>
  <si>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</si>
  <si>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</si>
  <si>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</si>
  <si>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</si>
  <si>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</si>
  <si>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</si>
  <si>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</si>
  <si>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</si>
  <si>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</si>
  <si>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</si>
  <si>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</si>
  <si>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</si>
  <si>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</si>
  <si>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</si>
  <si>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</si>
  <si>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</si>
  <si>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</si>
  <si>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</si>
  <si>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</si>
  <si>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</si>
  <si>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</si>
  <si>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</si>
  <si>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</si>
  <si>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</si>
  <si>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</si>
  <si>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</si>
  <si>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</si>
  <si>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</si>
  <si>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</si>
  <si>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</si>
  <si>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</si>
  <si>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</si>
  <si>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</si>
  <si>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</si>
  <si>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</si>
  <si>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</si>
  <si>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</si>
  <si>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</si>
  <si>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</si>
  <si>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</si>
  <si>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</si>
  <si>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</si>
  <si>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</si>
  <si>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</si>
  <si>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</si>
  <si>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</si>
  <si>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</si>
  <si>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</si>
  <si>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</si>
  <si>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</si>
  <si>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</si>
  <si>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</si>
  <si>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</si>
  <si>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</si>
  <si>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</si>
  <si>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</si>
  <si>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</si>
  <si>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</si>
  <si>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</si>
  <si>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</si>
  <si>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</si>
  <si>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</si>
  <si>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</si>
  <si>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</si>
  <si>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</si>
  <si>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</si>
  <si>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</si>
  <si>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</si>
  <si>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</si>
  <si>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</si>
  <si>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</si>
  <si>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</si>
  <si>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</si>
  <si>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</si>
  <si>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</si>
  <si>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</si>
  <si>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</si>
  <si>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</si>
  <si>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</si>
  <si>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</si>
  <si>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</si>
  <si>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</si>
  <si>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</si>
  <si>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</si>
  <si>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</si>
  <si>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</si>
  <si>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</si>
  <si>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</si>
  <si>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</si>
  <si>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</si>
  <si>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</si>
  <si>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</si>
  <si>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</si>
  <si>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</si>
  <si>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</si>
  <si>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</si>
  <si>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</si>
  <si>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</si>
  <si>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</si>
  <si>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</si>
  <si>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</si>
  <si>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</si>
  <si>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</si>
  <si>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</si>
  <si>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</si>
  <si>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</si>
  <si>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</si>
  <si>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</si>
  <si>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</si>
  <si>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</si>
  <si>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</si>
  <si>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</si>
  <si>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</si>
  <si>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</si>
  <si>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</si>
  <si>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</si>
  <si>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</si>
  <si>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</si>
  <si>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</si>
  <si>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</si>
  <si>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</si>
  <si>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</si>
  <si>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</si>
  <si>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</si>
  <si>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</si>
  <si>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</si>
  <si>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</si>
  <si>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</si>
  <si>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</si>
  <si>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</si>
  <si>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</si>
  <si>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</si>
  <si>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</si>
  <si>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</si>
  <si>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</si>
  <si>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</si>
  <si>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</si>
  <si>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</si>
  <si>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</si>
  <si>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</si>
  <si>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</si>
  <si>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</si>
  <si>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</si>
  <si>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</si>
  <si>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</si>
  <si>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</si>
  <si>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</si>
  <si>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</si>
  <si>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</si>
  <si>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</si>
  <si>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</si>
  <si>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</si>
  <si>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</si>
  <si>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</si>
  <si>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</si>
  <si>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</si>
  <si>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</si>
  <si>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</si>
  <si>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</si>
  <si>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</si>
  <si>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</si>
  <si>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</si>
  <si>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</si>
  <si>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</si>
  <si>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</si>
  <si>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</si>
  <si>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</si>
  <si>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</si>
  <si>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</si>
  <si>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</si>
  <si>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</si>
  <si>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</si>
  <si>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</si>
  <si>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</si>
  <si>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</si>
  <si>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</si>
  <si>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</si>
  <si>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</si>
  <si>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</si>
  <si>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</si>
  <si>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</si>
  <si>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</si>
  <si>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</si>
  <si>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</si>
  <si>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</si>
  <si>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</si>
  <si>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</si>
  <si>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</si>
  <si>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</si>
  <si>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</si>
  <si>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</si>
  <si>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</si>
  <si>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</si>
  <si>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</si>
  <si>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</si>
  <si>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</si>
  <si>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</si>
  <si>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</si>
  <si>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</si>
  <si>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</si>
  <si>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</si>
  <si>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</si>
  <si>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</si>
  <si>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</si>
  <si>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</si>
  <si>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</si>
  <si>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</si>
  <si>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</si>
  <si>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</si>
  <si>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</si>
  <si>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</si>
  <si>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</si>
  <si>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</si>
  <si>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</si>
  <si>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</si>
  <si>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</si>
  <si>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</si>
  <si>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</si>
  <si>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</si>
  <si>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</si>
  <si>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</si>
  <si>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</si>
  <si>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</si>
  <si>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</si>
  <si>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</si>
  <si>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</si>
  <si>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</si>
  <si>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</si>
  <si>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</si>
  <si>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</si>
  <si>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</si>
  <si>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</si>
  <si>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</si>
  <si>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</si>
  <si>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</si>
  <si>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</si>
  <si>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</si>
  <si>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</si>
  <si>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</si>
  <si>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</si>
  <si>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</si>
  <si>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</si>
  <si>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</si>
  <si>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</si>
  <si>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</si>
  <si>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</si>
  <si>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</si>
  <si>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</si>
  <si>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</si>
  <si>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</si>
  <si>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</si>
  <si>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</si>
  <si>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</si>
  <si>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</si>
  <si>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</si>
  <si>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</si>
  <si>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</si>
  <si>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</si>
  <si>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</si>
  <si>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</si>
  <si>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</si>
  <si>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</si>
  <si>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</si>
  <si>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</si>
  <si>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</si>
  <si>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</si>
  <si>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</si>
  <si>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</si>
  <si>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</si>
  <si>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</si>
  <si>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</si>
  <si>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</si>
  <si>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</si>
  <si>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</si>
  <si>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</si>
  <si>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</si>
  <si>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</si>
  <si>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</si>
  <si>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</si>
  <si>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</si>
  <si>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</si>
  <si>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</si>
  <si>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</si>
  <si>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</si>
  <si>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</si>
  <si>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</si>
  <si>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</si>
  <si>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</si>
  <si>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</si>
  <si>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</si>
  <si>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</si>
  <si>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</si>
  <si>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</si>
  <si>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</si>
  <si>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</si>
  <si>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</si>
  <si>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</si>
  <si>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</si>
  <si>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</si>
  <si>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</si>
  <si>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</si>
  <si>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</si>
  <si>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</si>
  <si>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</si>
  <si>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</si>
  <si>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</si>
  <si>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</si>
  <si>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</si>
  <si>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</si>
  <si>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</si>
  <si>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</si>
  <si>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</si>
  <si>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</si>
  <si>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</si>
  <si>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</si>
  <si>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</si>
  <si>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</si>
  <si>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</si>
  <si>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</si>
  <si>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</si>
  <si>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</si>
  <si>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</si>
  <si>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</si>
  <si>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</si>
  <si>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</si>
  <si>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</si>
  <si>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</si>
  <si>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</si>
  <si>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</si>
  <si>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</si>
  <si>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</si>
  <si>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</si>
  <si>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</si>
  <si>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</si>
  <si>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</si>
  <si>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</si>
  <si>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</si>
  <si>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</si>
  <si>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</si>
  <si>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</si>
  <si>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</si>
  <si>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</si>
  <si>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</si>
  <si>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</si>
  <si>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</si>
  <si>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</si>
  <si>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</si>
  <si>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</si>
  <si>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</si>
  <si>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</si>
  <si>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</si>
  <si>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</si>
  <si>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</si>
  <si>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</si>
  <si>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</si>
  <si>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</si>
  <si>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</si>
  <si>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</si>
  <si>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</si>
  <si>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</si>
  <si>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</si>
  <si>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</si>
  <si>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</si>
  <si>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</si>
  <si>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</si>
  <si>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</si>
  <si>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</si>
  <si>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</si>
  <si>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</si>
  <si>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</si>
  <si>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</si>
  <si>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</si>
  <si>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</si>
  <si>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</si>
  <si>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</si>
  <si>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</si>
  <si>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</si>
  <si>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</si>
  <si>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</si>
  <si>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</si>
  <si>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</si>
  <si>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</si>
  <si>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</si>
  <si>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</si>
  <si>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</si>
  <si>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</si>
  <si>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</si>
  <si>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</si>
  <si>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</si>
  <si>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</si>
  <si>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</si>
  <si>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</si>
  <si>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</si>
  <si>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</si>
  <si>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</si>
  <si>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</si>
  <si>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</si>
  <si>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</si>
  <si>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</si>
  <si>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</si>
  <si>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</si>
  <si>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</si>
  <si>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</si>
  <si>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</si>
  <si>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</si>
  <si>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</si>
  <si>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</si>
  <si>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</si>
  <si>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</si>
  <si>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</si>
  <si>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</si>
  <si>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</si>
  <si>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</si>
  <si>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</si>
  <si>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</si>
  <si>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</si>
  <si>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</si>
  <si>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</si>
  <si>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</si>
  <si>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</si>
  <si>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</si>
  <si>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</si>
  <si>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</si>
  <si>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</si>
  <si>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</si>
  <si>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</si>
  <si>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</si>
  <si>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</si>
  <si>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</si>
  <si>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</si>
  <si>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</si>
  <si>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</si>
  <si>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</si>
  <si>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</si>
  <si>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</si>
  <si>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</si>
  <si>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</si>
  <si>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</si>
  <si>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</si>
  <si>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</si>
  <si>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</si>
  <si>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</si>
  <si>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</si>
  <si>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</si>
  <si>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</si>
  <si>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</si>
  <si>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</si>
  <si>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</si>
  <si>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</si>
  <si>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</si>
  <si>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</si>
  <si>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</si>
  <si>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</si>
  <si>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</si>
  <si>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</si>
  <si>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</si>
  <si>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</si>
  <si>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</si>
  <si>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</si>
  <si>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</si>
  <si>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</si>
  <si>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</si>
  <si>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</si>
  <si>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</si>
  <si>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</si>
  <si>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</si>
  <si>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</si>
  <si>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</si>
  <si>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</si>
  <si>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</si>
  <si>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</si>
  <si>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</si>
  <si>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</si>
  <si>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</si>
  <si>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</si>
  <si>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</si>
  <si>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</si>
  <si>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</si>
  <si>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</si>
  <si>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</si>
  <si>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</si>
  <si>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</si>
  <si>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</si>
  <si>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</si>
  <si>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</si>
  <si>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</si>
  <si>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</si>
  <si>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</si>
  <si>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</si>
  <si>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</si>
  <si>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</si>
  <si>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</si>
  <si>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</si>
  <si>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</si>
  <si>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</si>
  <si>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</si>
  <si>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</si>
  <si>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</si>
  <si>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</si>
  <si>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</si>
  <si>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</si>
  <si>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</si>
  <si>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</si>
  <si>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</si>
  <si>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</si>
  <si>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</si>
  <si>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</si>
  <si>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</si>
  <si>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</si>
  <si>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</si>
  <si>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</si>
  <si>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</si>
  <si>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</si>
  <si>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</si>
  <si>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</si>
  <si>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</si>
  <si>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</si>
  <si>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</si>
  <si>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</si>
  <si>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</si>
  <si>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</si>
  <si>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</si>
  <si>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</si>
  <si>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</si>
  <si>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</si>
  <si>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</si>
  <si>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</si>
  <si>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</si>
  <si>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</si>
  <si>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</si>
  <si>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</si>
  <si>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</si>
  <si>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</si>
  <si>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</si>
  <si>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</si>
  <si>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</si>
  <si>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</si>
  <si>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</si>
  <si>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</si>
  <si>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</si>
  <si>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</si>
  <si>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</si>
  <si>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</si>
  <si>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</si>
  <si>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</si>
  <si>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</si>
  <si>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</si>
  <si>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</si>
  <si>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</si>
  <si>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</si>
  <si>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</si>
  <si>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</si>
  <si>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</si>
  <si>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</si>
  <si>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</si>
  <si>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</si>
  <si>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</si>
  <si>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</si>
  <si>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</si>
  <si>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</si>
  <si>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</si>
  <si>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</si>
  <si>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</si>
  <si>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</si>
  <si>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</si>
  <si>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</si>
  <si>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</si>
  <si>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</si>
  <si>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</si>
  <si>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</si>
  <si>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</si>
  <si>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</si>
  <si>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</si>
  <si>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</si>
  <si>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</si>
  <si>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</si>
  <si>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</si>
  <si>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</si>
  <si>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</si>
  <si>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</si>
  <si>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</si>
  <si>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</si>
  <si>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</si>
  <si>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</si>
  <si>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</si>
  <si>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</si>
  <si>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</si>
  <si>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</si>
  <si>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</si>
  <si>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</si>
  <si>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</si>
  <si>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</si>
  <si>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</si>
  <si>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</si>
  <si>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</si>
  <si>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</si>
  <si>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</si>
  <si>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</si>
  <si>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</si>
  <si>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</si>
  <si>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</si>
  <si>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</si>
  <si>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</si>
  <si>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</si>
  <si>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</si>
  <si>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</si>
  <si>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</si>
  <si>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</si>
  <si>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</si>
  <si>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</si>
  <si>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</si>
  <si>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</si>
  <si>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</si>
  <si>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</si>
  <si>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</si>
  <si>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</si>
  <si>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</si>
  <si>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</si>
  <si>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</si>
  <si>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</si>
  <si>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</si>
  <si>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</si>
  <si>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</si>
  <si>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</si>
  <si>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</si>
  <si>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</si>
  <si>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</si>
  <si>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</si>
  <si>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</si>
  <si>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</si>
  <si>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</si>
  <si>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</si>
  <si>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</si>
  <si>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</si>
  <si>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</si>
  <si>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</si>
  <si>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</si>
  <si>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</si>
  <si>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</si>
  <si>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</si>
  <si>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</si>
  <si>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</si>
  <si>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</si>
  <si>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</si>
  <si>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</si>
  <si>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</si>
  <si>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</si>
  <si>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</si>
  <si>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</si>
  <si>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</si>
  <si>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</si>
  <si>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</si>
  <si>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</si>
  <si>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</si>
  <si>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</si>
  <si>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</si>
  <si>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</si>
  <si>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</si>
  <si>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</si>
  <si>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</si>
  <si>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</si>
  <si>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</si>
  <si>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</si>
  <si>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</si>
  <si>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</si>
  <si>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</si>
  <si>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</si>
  <si>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</si>
  <si>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</si>
  <si>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</si>
  <si>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</si>
  <si>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</si>
  <si>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</si>
  <si>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</si>
  <si>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</si>
  <si>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</si>
  <si>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</si>
  <si>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</si>
  <si>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</si>
  <si>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</si>
  <si>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</si>
  <si>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</si>
  <si>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</si>
  <si>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</si>
  <si>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</si>
  <si>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</si>
  <si>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</si>
  <si>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</si>
  <si>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</si>
  <si>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</si>
  <si>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</si>
  <si>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</si>
  <si>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</si>
  <si>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</si>
  <si>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</si>
  <si>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</si>
  <si>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</si>
  <si>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</si>
  <si>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</si>
  <si>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</si>
  <si>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</si>
  <si>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</si>
  <si>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</si>
  <si>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</si>
  <si>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</si>
  <si>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</si>
  <si>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</si>
  <si>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</si>
  <si>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</si>
  <si>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</si>
  <si>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</si>
  <si>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</si>
  <si>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</si>
  <si>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</si>
  <si>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</si>
  <si>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</si>
  <si>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</si>
  <si>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</si>
  <si>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</si>
  <si>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</si>
  <si>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</si>
  <si>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</si>
  <si>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</si>
  <si>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</si>
  <si>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</si>
  <si>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</si>
  <si>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</si>
  <si>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</si>
  <si>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</si>
  <si>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</si>
  <si>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</si>
  <si>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</si>
  <si>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</si>
  <si>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</si>
  <si>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</si>
  <si>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</si>
  <si>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</si>
  <si>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</si>
  <si>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</si>
  <si>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</si>
  <si>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</si>
  <si>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</si>
  <si>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</si>
  <si>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</si>
  <si>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</si>
  <si>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</si>
  <si>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</si>
  <si>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</si>
  <si>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</si>
  <si>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</si>
  <si>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</si>
  <si>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</si>
  <si>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</si>
  <si>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</si>
  <si>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</si>
  <si>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</si>
  <si>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</si>
  <si>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</si>
  <si>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</si>
  <si>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</si>
  <si>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</si>
  <si>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</si>
  <si>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</si>
  <si>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</si>
  <si>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</si>
  <si>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</si>
  <si>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</si>
  <si>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</si>
  <si>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</si>
  <si>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</si>
  <si>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</si>
  <si>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</si>
  <si>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</si>
  <si>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</si>
  <si>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</si>
  <si>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</si>
  <si>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</si>
  <si>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</si>
  <si>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</si>
  <si>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</si>
  <si>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</si>
  <si>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</si>
  <si>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</si>
  <si>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</si>
  <si>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</si>
  <si>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</si>
  <si>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</si>
  <si>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</si>
  <si>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</si>
  <si>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</si>
  <si>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</si>
  <si>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</si>
  <si>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</si>
  <si>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</si>
  <si>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</si>
  <si>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</si>
  <si>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</si>
  <si>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</si>
  <si>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</si>
  <si>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</si>
  <si>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</si>
  <si>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</si>
  <si>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</si>
  <si>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</si>
  <si>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</si>
  <si>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</si>
  <si>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</si>
  <si>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</si>
  <si>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</si>
  <si>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</si>
  <si>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</si>
  <si>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</si>
  <si>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</si>
  <si>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</si>
  <si>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</si>
  <si>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</si>
  <si>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</si>
  <si>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</si>
  <si>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</si>
  <si>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</si>
  <si>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</si>
  <si>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</si>
  <si>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</si>
  <si>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</si>
  <si>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</si>
  <si>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</si>
  <si>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</si>
  <si>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</si>
  <si>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</si>
  <si>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</si>
  <si>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</si>
  <si>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</si>
  <si>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</si>
  <si>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</si>
  <si>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</si>
  <si>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</si>
  <si>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</si>
  <si>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</si>
  <si>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</si>
  <si>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</si>
  <si>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</si>
  <si>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</si>
  <si>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</si>
  <si>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</si>
  <si>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</si>
  <si>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</si>
  <si>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</si>
  <si>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</si>
  <si>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</si>
  <si>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</si>
  <si>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</si>
  <si>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</si>
  <si>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</si>
  <si>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</si>
  <si>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</si>
  <si>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</si>
  <si>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</si>
  <si>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</si>
  <si>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</si>
  <si>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</si>
  <si>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</si>
  <si>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</si>
  <si>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</si>
  <si>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</si>
  <si>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</si>
  <si>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</si>
  <si>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</si>
  <si>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</si>
  <si>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</si>
  <si>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</si>
  <si>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</si>
  <si>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</si>
  <si>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</si>
  <si>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</si>
  <si>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</si>
  <si>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</si>
  <si>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</si>
  <si>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</si>
  <si>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</si>
  <si>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</si>
  <si>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</si>
  <si>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</si>
  <si>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</si>
  <si>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</si>
  <si>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</si>
  <si>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</si>
  <si>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</si>
  <si>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</si>
  <si>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</si>
  <si>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</si>
  <si>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</si>
  <si>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</si>
  <si>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</si>
  <si>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</si>
  <si>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</si>
  <si>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</si>
  <si>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</si>
  <si>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</si>
  <si>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</si>
  <si>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</si>
  <si>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</si>
  <si>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</si>
  <si>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</si>
  <si>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</si>
  <si>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</si>
  <si>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</si>
  <si>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</si>
  <si>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</si>
  <si>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</si>
  <si>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</si>
  <si>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</si>
  <si>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</si>
  <si>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</si>
  <si>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</si>
  <si>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</si>
  <si>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</si>
  <si>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</si>
  <si>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</si>
  <si>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</si>
  <si>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</si>
  <si>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</si>
  <si>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</si>
  <si>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</si>
  <si>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</si>
  <si>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</si>
  <si>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</si>
  <si>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</si>
  <si>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</si>
  <si>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</si>
  <si>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</si>
  <si>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</si>
  <si>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</si>
  <si>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</si>
  <si>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</si>
  <si>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</si>
  <si>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</si>
  <si>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</si>
  <si>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</si>
  <si>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</si>
  <si>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</si>
  <si>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</si>
  <si>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</si>
  <si>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</si>
  <si>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</si>
  <si>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</si>
  <si>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</si>
  <si>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</si>
  <si>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</si>
  <si>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</si>
  <si>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</si>
  <si>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</si>
  <si>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</si>
  <si>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</si>
  <si>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</si>
  <si>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</si>
  <si>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</si>
  <si>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</si>
  <si>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</si>
  <si>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</si>
  <si>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</si>
  <si>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</si>
  <si>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</si>
  <si>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</si>
  <si>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</si>
  <si>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</si>
  <si>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</si>
  <si>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</si>
  <si>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</si>
  <si>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</si>
  <si>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</si>
  <si>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</si>
  <si>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</si>
  <si>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</si>
  <si>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</si>
  <si>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</si>
  <si>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</si>
  <si>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</si>
  <si>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</si>
  <si>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</si>
  <si>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</si>
  <si>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</si>
  <si>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</si>
  <si>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</si>
  <si>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</si>
  <si>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</si>
  <si>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</si>
  <si>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</si>
  <si>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</si>
  <si>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</si>
  <si>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</si>
  <si>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</si>
  <si>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</si>
  <si>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</si>
  <si>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</si>
  <si>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</si>
  <si>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</si>
  <si>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</si>
  <si>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</si>
  <si>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</si>
  <si>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</si>
  <si>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</si>
  <si>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</si>
  <si>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</si>
  <si>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</si>
  <si>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</si>
  <si>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</si>
  <si>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</si>
  <si>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</si>
  <si>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</si>
  <si>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</si>
  <si>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</si>
  <si>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</si>
  <si>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</si>
  <si>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</si>
  <si>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</si>
  <si>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</si>
  <si>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</si>
  <si>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</si>
  <si>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</si>
  <si>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</si>
  <si>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</si>
  <si>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</si>
  <si>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</si>
  <si>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</si>
  <si>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</si>
  <si>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</si>
  <si>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</si>
  <si>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</si>
  <si>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</si>
  <si>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</si>
  <si>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</si>
  <si>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</si>
  <si>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</si>
  <si>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</si>
  <si>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</si>
  <si>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</si>
  <si>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</si>
  <si>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</si>
  <si>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</si>
  <si>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</si>
  <si>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</si>
  <si>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</si>
  <si>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</si>
  <si>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</si>
  <si>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</si>
  <si>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</si>
  <si>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</si>
  <si>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</si>
  <si>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</si>
  <si>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</si>
  <si>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</si>
  <si>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</si>
  <si>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</si>
  <si>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</si>
  <si>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</si>
  <si>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</si>
  <si>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</si>
  <si>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</si>
  <si>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</si>
  <si>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</si>
  <si>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</si>
  <si>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</si>
  <si>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</si>
  <si>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</si>
  <si>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</si>
  <si>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</si>
  <si>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</si>
  <si>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</si>
  <si>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</si>
  <si>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</si>
  <si>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</si>
  <si>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</si>
  <si>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</si>
  <si>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</si>
  <si>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</si>
  <si>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</si>
  <si>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</si>
  <si>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</si>
  <si>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</si>
  <si>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</si>
  <si>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</si>
  <si>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</si>
  <si>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</si>
  <si>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</si>
  <si>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</si>
  <si>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</si>
  <si>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</si>
  <si>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</si>
  <si>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</si>
  <si>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</si>
  <si>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</si>
  <si>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</si>
  <si>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</si>
  <si>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</si>
  <si>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</si>
  <si>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</si>
  <si>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</si>
  <si>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</si>
  <si>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</si>
  <si>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</si>
  <si>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</si>
  <si>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</si>
  <si>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</si>
  <si>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</si>
  <si>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</si>
  <si>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</si>
  <si>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</si>
  <si>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</si>
  <si>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</si>
  <si>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</si>
  <si>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</si>
  <si>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</si>
  <si>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</si>
  <si>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</si>
  <si>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</si>
  <si>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</si>
  <si>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</si>
  <si>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</si>
  <si>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</si>
  <si>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</si>
  <si>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</si>
  <si>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</si>
  <si>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</si>
  <si>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</si>
  <si>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</si>
  <si>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</si>
  <si>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</si>
  <si>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</si>
  <si>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</si>
  <si>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</si>
  <si>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</si>
  <si>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</si>
  <si>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</si>
  <si>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</si>
  <si>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</si>
  <si>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</si>
  <si>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</si>
  <si>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</si>
  <si>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</si>
  <si>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</si>
  <si>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</si>
  <si>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</si>
  <si>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</si>
  <si>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</si>
  <si>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</si>
  <si>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</si>
  <si>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</si>
  <si>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</si>
  <si>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</si>
  <si>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</si>
  <si>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</si>
  <si>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</si>
  <si>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</si>
  <si>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</si>
  <si>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</si>
  <si>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</si>
  <si>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</si>
  <si>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</si>
  <si>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</si>
  <si>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</si>
  <si>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</si>
  <si>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</si>
  <si>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</si>
  <si>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</si>
  <si>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</si>
  <si>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</si>
  <si>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</si>
  <si>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</si>
  <si>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</si>
  <si>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</si>
  <si>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</si>
  <si>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</si>
  <si>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</si>
  <si>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</si>
  <si>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</si>
  <si>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</si>
  <si>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</si>
  <si>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</si>
  <si>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</si>
  <si>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</si>
  <si>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</si>
  <si>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</si>
  <si>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</si>
  <si>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</si>
  <si>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</si>
  <si>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</si>
  <si>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</si>
  <si>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</si>
  <si>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</si>
  <si>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</si>
  <si>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</si>
  <si>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</si>
  <si>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</si>
  <si>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</si>
  <si>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</si>
  <si>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</si>
  <si>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</si>
  <si>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</si>
  <si>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</si>
  <si>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</si>
  <si>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</si>
  <si>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</si>
  <si>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</si>
  <si>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</si>
  <si>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</si>
  <si>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</si>
  <si>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</si>
  <si>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</si>
  <si>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</si>
  <si>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</si>
  <si>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</si>
  <si>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</si>
  <si>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</si>
  <si>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</si>
  <si>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</si>
  <si>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</si>
  <si>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</si>
  <si>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</si>
  <si>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</si>
  <si>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</si>
  <si>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</si>
  <si>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</si>
  <si>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</si>
  <si>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</si>
  <si>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</si>
  <si>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</si>
  <si>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</si>
  <si>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</si>
  <si>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</si>
  <si>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</si>
  <si>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</si>
  <si>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</si>
  <si>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</si>
  <si>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</si>
  <si>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</si>
  <si>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</si>
  <si>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</si>
  <si>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</si>
  <si>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</si>
  <si>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</si>
  <si>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</si>
  <si>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</si>
  <si>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</si>
  <si>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</si>
  <si>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</si>
  <si>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</si>
  <si>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</si>
  <si>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</si>
  <si>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</si>
  <si>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</si>
  <si>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</si>
  <si>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</si>
  <si>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</si>
  <si>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</si>
  <si>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</si>
  <si>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</si>
  <si>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</si>
  <si>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</si>
  <si>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</si>
  <si>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</si>
  <si>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</si>
  <si>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</si>
  <si>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</si>
  <si>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</si>
  <si>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</si>
  <si>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</si>
  <si>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</si>
  <si>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</si>
  <si>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</si>
  <si>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</si>
  <si>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</si>
  <si>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</si>
  <si>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</si>
  <si>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</si>
  <si>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</si>
  <si>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</si>
  <si>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</si>
  <si>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</si>
  <si>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</si>
  <si>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</si>
  <si>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</si>
  <si>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</si>
  <si>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</si>
  <si>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</si>
  <si>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</si>
  <si>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</si>
  <si>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</si>
  <si>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</si>
  <si>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</si>
  <si>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</si>
  <si>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</si>
  <si>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</si>
  <si>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</si>
  <si>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</si>
  <si>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</si>
  <si>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</si>
  <si>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</si>
  <si>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</si>
  <si>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</si>
  <si>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</si>
  <si>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</si>
  <si>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</si>
  <si>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</si>
  <si>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</si>
  <si>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</si>
  <si>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</si>
  <si>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</si>
  <si>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</si>
  <si>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</si>
  <si>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</si>
  <si>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</si>
  <si>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</si>
  <si>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</si>
  <si>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</si>
  <si>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</si>
  <si>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</si>
  <si>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</si>
  <si>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</si>
  <si>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</si>
  <si>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</si>
  <si>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</si>
  <si>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</si>
  <si>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</si>
  <si>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</si>
  <si>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</si>
  <si>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</si>
  <si>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</si>
  <si>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</si>
  <si>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</si>
  <si>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</si>
  <si>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</si>
  <si>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</si>
  <si>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</si>
  <si>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</si>
  <si>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</si>
  <si>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</si>
  <si>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</si>
  <si>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</si>
  <si>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</si>
  <si>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</si>
  <si>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</si>
  <si>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</si>
  <si>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</si>
  <si>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</si>
  <si>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</si>
  <si>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</si>
  <si>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</si>
  <si>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</si>
  <si>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</si>
  <si>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</si>
  <si>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</si>
  <si>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</si>
  <si>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</si>
  <si>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</si>
  <si>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</si>
  <si>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</si>
  <si>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</si>
  <si>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</si>
  <si>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</si>
  <si>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</si>
  <si>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</si>
  <si>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</si>
  <si>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</si>
  <si>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</si>
  <si>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</si>
  <si>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</si>
  <si>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</si>
  <si>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</si>
  <si>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</si>
  <si>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</si>
  <si>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</si>
  <si>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</si>
  <si>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</si>
  <si>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</si>
  <si>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</si>
  <si>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</si>
  <si>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</si>
  <si>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</si>
  <si>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</si>
  <si>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</si>
  <si>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</si>
  <si>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</si>
  <si>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</si>
  <si>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</si>
  <si>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</si>
  <si>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</si>
  <si>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</si>
  <si>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</si>
  <si>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</si>
  <si>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</si>
  <si>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</si>
  <si>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</si>
  <si>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</si>
  <si>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</si>
  <si>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</si>
  <si>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</si>
  <si>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</si>
  <si>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</si>
  <si>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</si>
  <si>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</si>
  <si>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</si>
  <si>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</si>
  <si>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</si>
  <si>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</si>
  <si>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</si>
  <si>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</si>
  <si>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</si>
  <si>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</si>
  <si>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</si>
  <si>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</si>
  <si>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</si>
  <si>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</si>
  <si>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</si>
  <si>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</si>
  <si>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</si>
  <si>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</si>
  <si>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</si>
  <si>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</si>
  <si>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</si>
  <si>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</si>
  <si>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</si>
  <si>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</si>
  <si>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</si>
  <si>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</si>
  <si>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</si>
  <si>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</si>
  <si>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</si>
  <si>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</si>
  <si>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</si>
  <si>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</si>
  <si>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</si>
  <si>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</si>
  <si>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</si>
  <si>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</si>
  <si>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</si>
  <si>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</si>
  <si>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</si>
  <si>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</si>
  <si>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</si>
  <si>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</si>
  <si>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</si>
  <si>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</si>
  <si>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</si>
  <si>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</si>
  <si>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</si>
  <si>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</si>
  <si>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</si>
  <si>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</si>
  <si>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</si>
  <si>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</si>
  <si>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</si>
  <si>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</si>
  <si>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</si>
  <si>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</si>
  <si>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</si>
  <si>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</si>
  <si>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</si>
  <si>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</si>
  <si>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</si>
  <si>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</si>
  <si>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</si>
  <si>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</si>
  <si>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</si>
  <si>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</si>
  <si>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</si>
  <si>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</si>
  <si>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</si>
  <si>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</si>
  <si>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</si>
  <si>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</si>
  <si>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</si>
  <si>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</si>
  <si>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</si>
  <si>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</si>
  <si>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</si>
  <si>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</si>
  <si>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</si>
  <si>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</si>
  <si>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</si>
  <si>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</si>
  <si>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</si>
  <si>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</si>
  <si>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</si>
  <si>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</si>
  <si>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</si>
  <si>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</si>
  <si>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</si>
  <si>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</si>
  <si>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</si>
  <si>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</si>
  <si>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</si>
  <si>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</si>
  <si>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</si>
  <si>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</si>
  <si>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</si>
  <si>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</si>
  <si>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</si>
  <si>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</si>
  <si>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</si>
  <si>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</si>
  <si>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</si>
  <si>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</si>
  <si>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</si>
  <si>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</si>
  <si>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</si>
  <si>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</si>
  <si>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</si>
  <si>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</si>
  <si>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</si>
  <si>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</si>
  <si>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</si>
  <si>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</si>
  <si>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</si>
  <si>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</si>
  <si>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</si>
  <si>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</si>
  <si>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</si>
  <si>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</si>
  <si>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</si>
  <si>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</si>
  <si>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</si>
  <si>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</si>
  <si>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</si>
  <si>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</si>
  <si>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</si>
  <si>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</si>
  <si>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</si>
  <si>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</si>
  <si>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</si>
  <si>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</si>
  <si>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</si>
  <si>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</si>
  <si>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</si>
  <si>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</si>
  <si>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</si>
  <si>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</si>
  <si>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</si>
  <si>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</si>
  <si>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</si>
  <si>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</si>
  <si>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</si>
  <si>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</si>
  <si>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</si>
  <si>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</si>
  <si>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</si>
  <si>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</si>
  <si>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</si>
  <si>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</si>
  <si>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</si>
  <si>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</si>
  <si>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</si>
  <si>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</si>
  <si>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</si>
  <si>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</si>
  <si>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</si>
  <si>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</si>
  <si>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</si>
  <si>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</si>
  <si>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</si>
  <si>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</si>
  <si>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</si>
  <si>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</si>
  <si>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</si>
  <si>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</si>
  <si>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</si>
  <si>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</si>
  <si>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</si>
  <si>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</si>
  <si>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</si>
  <si>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</si>
  <si>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</si>
  <si>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</si>
  <si>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</si>
  <si>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</si>
  <si>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</si>
  <si>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</si>
  <si>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</si>
  <si>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</si>
  <si>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</si>
  <si>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</si>
  <si>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</si>
  <si>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</si>
  <si>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</si>
  <si>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</si>
  <si>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</si>
  <si>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</si>
  <si>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</si>
  <si>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</si>
  <si>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</si>
  <si>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</si>
  <si>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</si>
  <si>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</si>
  <si>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</si>
  <si>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</si>
  <si>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</si>
  <si>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</si>
  <si>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</si>
  <si>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</si>
  <si>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</si>
  <si>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</si>
  <si>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</si>
  <si>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</si>
  <si>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</si>
  <si>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</si>
  <si>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</si>
  <si>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</si>
  <si>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</si>
  <si>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</si>
  <si>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</si>
  <si>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</si>
  <si>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</si>
  <si>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</si>
  <si>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</si>
  <si>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</si>
  <si>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</si>
  <si>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</si>
  <si>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</si>
  <si>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</si>
  <si>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</si>
  <si>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</si>
  <si>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</si>
  <si>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</si>
  <si>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</si>
  <si>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</si>
  <si>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</si>
  <si>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</si>
  <si>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</si>
  <si>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</si>
  <si>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</si>
  <si>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</si>
  <si>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</si>
  <si>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</si>
  <si>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</si>
  <si>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</si>
  <si>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</si>
  <si>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</si>
  <si>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</si>
  <si>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</si>
  <si>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</si>
  <si>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</si>
  <si>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</si>
  <si>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</si>
  <si>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</si>
  <si>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</si>
  <si>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</si>
  <si>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</si>
  <si>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</si>
  <si>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</si>
  <si>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</si>
  <si>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</si>
  <si>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</si>
  <si>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</si>
  <si>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</si>
  <si>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</si>
  <si>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</si>
  <si>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</si>
  <si>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</si>
  <si>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</si>
  <si>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</si>
  <si>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r>
      <t>万科大都会N</t>
    </r>
    <r>
      <rPr>
        <sz val="11"/>
        <color theme="1"/>
        <rFont val="宋体"/>
        <family val="3"/>
        <charset val="134"/>
        <scheme val="minor"/>
      </rPr>
      <t>2</t>
    </r>
    <phoneticPr fontId="134" type="noConversion"/>
  </si>
  <si>
    <t>抵押</t>
  </si>
  <si>
    <t>房地产抵押价值</t>
  </si>
  <si>
    <t>北京市</t>
  </si>
  <si>
    <t>企业</t>
  </si>
  <si>
    <t>Ⅳ-通1</t>
  </si>
  <si>
    <t>是</t>
  </si>
  <si>
    <t>地上</t>
  </si>
  <si>
    <t>N2</t>
  </si>
  <si>
    <t>N2</t>
    <phoneticPr fontId="7" type="noConversion"/>
  </si>
  <si>
    <t>成新度</t>
  </si>
  <si>
    <t>收益法 (元)</t>
  </si>
  <si>
    <t>利息：取LPR加浮动点数</t>
  </si>
  <si>
    <t>单套模式</t>
  </si>
  <si>
    <t>售价</t>
  </si>
  <si>
    <t>正常</t>
    <phoneticPr fontId="24" type="noConversion"/>
  </si>
  <si>
    <t>正常</t>
    <phoneticPr fontId="24" type="noConversion"/>
  </si>
  <si>
    <t>正常</t>
    <phoneticPr fontId="24" type="noConversion"/>
  </si>
  <si>
    <t>中区</t>
    <phoneticPr fontId="24" type="noConversion"/>
  </si>
  <si>
    <t>低区</t>
    <phoneticPr fontId="24" type="noConversion"/>
  </si>
  <si>
    <t>高区</t>
    <phoneticPr fontId="24" type="noConversion"/>
  </si>
  <si>
    <t>商务金融用地</t>
  </si>
  <si>
    <t>自定义容积率</t>
  </si>
  <si>
    <t>通路</t>
  </si>
  <si>
    <t>通电</t>
  </si>
  <si>
    <t>通讯</t>
  </si>
  <si>
    <t>通上水</t>
  </si>
  <si>
    <t>通下水</t>
  </si>
  <si>
    <t>燃气</t>
  </si>
  <si>
    <t>平整</t>
  </si>
  <si>
    <t>与级别开发程度不一致</t>
  </si>
  <si>
    <t>中心城区以外</t>
  </si>
  <si>
    <t>较好</t>
  </si>
  <si>
    <t>一般</t>
  </si>
  <si>
    <t>好</t>
  </si>
  <si>
    <t>押一</t>
  </si>
  <si>
    <t>钢混</t>
  </si>
  <si>
    <t>非生产用房</t>
  </si>
  <si>
    <t>否</t>
  </si>
  <si>
    <t>比较法-住宅</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</si>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</sst>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655858</xdr:colOff>
      <xdr:row>28</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42858" cy="4809524"/>
        </a:xfrm>
        <a:prstGeom prst="rect">
          <a:avLst/>
        </a:prstGeom>
      </xdr:spPr>
    </xdr:pic>
    <xdr:clientData/>
  </xdr:twoCellAnchor>
  <xdr:twoCellAnchor editAs="oneCell">
    <xdr:from>
      <xdr:col>0</xdr:col>
      <xdr:colOff>0</xdr:colOff>
      <xdr:row>29</xdr:row>
      <xdr:rowOff>0</xdr:rowOff>
    </xdr:from>
    <xdr:to>
      <xdr:col>15</xdr:col>
      <xdr:colOff>617763</xdr:colOff>
      <xdr:row>57</xdr:row>
      <xdr:rowOff>47019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904763" cy="4847619"/>
        </a:xfrm>
        <a:prstGeom prst="rect">
          <a:avLst/>
        </a:prstGeom>
      </xdr:spPr>
    </xdr:pic>
    <xdr:clientData/>
  </xdr:twoCellAnchor>
  <xdr:twoCellAnchor editAs="oneCell">
    <xdr:from>
      <xdr:col>0</xdr:col>
      <xdr:colOff>0</xdr:colOff>
      <xdr:row>58</xdr:row>
      <xdr:rowOff>0</xdr:rowOff>
    </xdr:from>
    <xdr:to>
      <xdr:col>15</xdr:col>
      <xdr:colOff>655858</xdr:colOff>
      <xdr:row>83</xdr:row>
      <xdr:rowOff>47084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10942858" cy="4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估价对象为北京市房地产，为所有。根据《国有土地使用证》[]，估价对象（分摊）出让国有建设用地使用权面积为0平方米，建筑面积为129.01平方米。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估价对象为北京市房地产,属开发建设的，该项目尚在开发建设中。根据《国有土地使用证》[]，估价对象（分摊）出让国有建设用地使用权面积为0平方米，规划建筑面积为129.01平方米。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2023年3月2日</v>
      </c>
    </row>
    <row r="13" spans="1:2" s="1203" customFormat="1">
      <c r="A13" s="1201" t="s">
        <v>529</v>
      </c>
      <c r="B13" s="1202" t="str">
        <f>'预评函-1'!A18</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129.01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0" t="s">
        <v>2583</v>
      </c>
      <c r="J2" s="3490"/>
      <c r="K2" s="3490"/>
      <c r="L2" s="3490"/>
      <c r="M2" s="3490"/>
      <c r="N2" s="3490"/>
      <c r="O2" s="3490"/>
      <c r="P2" s="3490"/>
      <c r="Q2" s="3490"/>
      <c r="R2" s="3490"/>
    </row>
    <row r="3" spans="1:18">
      <c r="A3" s="3019" t="s">
        <v>2504</v>
      </c>
      <c r="B3" s="3020">
        <f>项目基本情况!D3</f>
        <v>44987</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3.8</v>
      </c>
      <c r="D5" s="3024">
        <f>IF(ISERROR(ROUND(POWER(1+E5,A5-C5)*(POWER(1+E5,C5)-1)/(POWER(1+E5,A5)-1),3)),0,ROUND(POWER(1+E5,A5-C5)*(POWER(1+E5,C5)-1)/(POWER(1+E5,A5)-1),4))</f>
        <v>0.1749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13.81</v>
      </c>
      <c r="D6" s="3024">
        <f>IF(ISERROR(ROUND(POWER(1+E6,A6-C6)*(POWER(1+E6,C6)-1)/(POWER(1+E6,A6)-1),3)),0,ROUND(POWER(1+E6,A6-C6)*(POWER(1+E6,C6)-1)/(POWER(1+E6,A6)-1),4))</f>
        <v>0.48670000000000002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33.82</v>
      </c>
      <c r="D7" s="3024">
        <f>IF(ISERROR(ROUND(POWER(1+E7,A7-C7)*(POWER(1+E7,C7)-1)/(POWER(1+E7,A7)-1),3)),0,ROUND(POWER(1+E7,A7-C7)*(POWER(1+E7,C7)-1)/(POWER(1+E7,A7)-1),4))</f>
        <v>0.78500000000000003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29" sqref="K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44987</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494" t="s">
        <v>2177</v>
      </c>
      <c r="E8" s="2390" t="s">
        <v>3380</v>
      </c>
      <c r="F8" s="2391"/>
      <c r="G8" s="2662"/>
      <c r="H8" s="2662"/>
      <c r="I8" s="2662"/>
      <c r="J8" s="2438"/>
      <c r="K8" s="2613"/>
      <c r="L8" s="2612"/>
      <c r="M8" s="2612"/>
      <c r="N8" s="2438"/>
      <c r="O8" s="2449"/>
      <c r="P8" s="2438"/>
      <c r="Q8" s="2438"/>
      <c r="R8" s="2438"/>
    </row>
    <row r="9" spans="1:30" ht="13.5" thickBot="1">
      <c r="A9" s="2392" t="s">
        <v>2178</v>
      </c>
      <c r="B9" s="2393" t="s">
        <v>3380</v>
      </c>
      <c r="C9" s="2394"/>
      <c r="D9" s="3495"/>
      <c r="E9" s="2393"/>
      <c r="F9" s="2395"/>
      <c r="G9" s="2664"/>
      <c r="H9" s="2664"/>
      <c r="I9" s="2664"/>
      <c r="J9" s="2438"/>
      <c r="K9" s="2615"/>
      <c r="L9" s="2612"/>
      <c r="M9" s="2612"/>
      <c r="N9" s="2438"/>
      <c r="O9" s="2449"/>
      <c r="P9" s="2438"/>
      <c r="Q9" s="2438"/>
      <c r="R9" s="2438"/>
    </row>
    <row r="10" spans="1:30" ht="13.5" thickTop="1">
      <c r="A10" s="2396" t="s">
        <v>2179</v>
      </c>
      <c r="B10" s="2397" t="s">
        <v>3381</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3382</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3338</v>
      </c>
      <c r="B13" s="2406" t="s">
        <v>2190</v>
      </c>
      <c r="C13" s="856"/>
      <c r="D13" s="856"/>
      <c r="E13" s="856">
        <v>60156</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41.55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01"/>
      <c r="C16" s="3502"/>
      <c r="D16" s="3503"/>
      <c r="E16" s="2412" t="s">
        <v>2194</v>
      </c>
      <c r="F16" s="3504"/>
      <c r="G16" s="3505"/>
      <c r="H16" s="3505"/>
      <c r="I16" s="3506"/>
      <c r="J16" s="2438"/>
      <c r="K16" s="2616"/>
      <c r="L16" s="2450"/>
      <c r="M16" s="2450"/>
      <c r="N16" s="2508"/>
      <c r="O16" s="2450"/>
      <c r="P16" s="2508"/>
      <c r="Q16" s="2438"/>
      <c r="R16" s="2438"/>
    </row>
    <row r="17" spans="1:28">
      <c r="A17" s="313" t="s">
        <v>2195</v>
      </c>
      <c r="B17" s="302" t="s">
        <v>2196</v>
      </c>
      <c r="C17" s="8">
        <f>'数据-汇总表'!E3</f>
        <v>129.01</v>
      </c>
      <c r="D17" s="2321" t="s">
        <v>2197</v>
      </c>
      <c r="E17" s="3507" t="s">
        <v>2198</v>
      </c>
      <c r="F17" s="3508"/>
      <c r="G17" s="3508"/>
      <c r="H17" s="3508"/>
      <c r="I17" s="350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10" t="s">
        <v>2202</v>
      </c>
      <c r="F18" s="3511"/>
      <c r="G18" s="3511"/>
      <c r="H18" s="3511"/>
      <c r="I18" s="3512"/>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497" t="s">
        <v>2206</v>
      </c>
      <c r="C20" s="3498"/>
      <c r="D20" s="3499" t="s">
        <v>2207</v>
      </c>
      <c r="E20" s="3500"/>
      <c r="F20" s="2646" t="s">
        <v>1056</v>
      </c>
      <c r="G20" s="2663"/>
      <c r="H20" s="2663"/>
      <c r="I20" s="2663"/>
      <c r="J20" s="2438"/>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5"/>
      <c r="B30" s="302" t="s">
        <v>2218</v>
      </c>
      <c r="C30" s="3516"/>
      <c r="D30" s="3517"/>
      <c r="E30" s="2663"/>
      <c r="F30" s="2663"/>
      <c r="G30" s="2663"/>
      <c r="H30" s="2663"/>
      <c r="I30" s="2663"/>
      <c r="J30" s="2438"/>
      <c r="K30" s="2615"/>
      <c r="L30" s="2612"/>
      <c r="M30" s="2612"/>
      <c r="N30" s="2438"/>
      <c r="O30" s="2449"/>
      <c r="P30" s="2438"/>
      <c r="Q30" s="2438"/>
      <c r="R30" s="2438"/>
      <c r="S30" s="2438"/>
      <c r="T30" s="2438"/>
      <c r="U30" s="2438"/>
      <c r="V30" s="2438"/>
    </row>
    <row r="31" spans="1:28">
      <c r="A31" s="3518"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9"/>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3" t="s">
        <v>2228</v>
      </c>
      <c r="T34" s="2427" t="str">
        <f>NUMBERSTRING(7-K34,1)&amp;"通"</f>
        <v>七通</v>
      </c>
      <c r="U34" s="2438"/>
      <c r="V34" s="2438"/>
    </row>
    <row r="35" spans="1:30">
      <c r="A35" s="2428"/>
      <c r="B35" s="3520" t="s">
        <v>2229</v>
      </c>
      <c r="C35" s="3520"/>
      <c r="D35" s="3520"/>
      <c r="E35" s="352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110</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t="s">
        <v>3383</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129.01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129.01</v>
      </c>
      <c r="H5" s="13">
        <f t="shared" ref="H5:AT5" si="0">SUM(H13:H656)</f>
        <v>129.01</v>
      </c>
      <c r="I5" s="13">
        <f t="shared" si="0"/>
        <v>129.01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129.01</v>
      </c>
      <c r="BA5" s="15">
        <f t="shared" si="1"/>
        <v>129.01</v>
      </c>
      <c r="BB5" s="15">
        <f t="shared" si="1"/>
        <v>129.01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129.01</v>
      </c>
      <c r="H13" s="17">
        <f>SUMIF(I$12:AB$12,"总值",I13:AB13)</f>
        <v>129.01</v>
      </c>
      <c r="I13" s="1626">
        <v>129.01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129.01</v>
      </c>
      <c r="BA13" s="13">
        <f>SUM(BB13:BK13)</f>
        <v>129.01</v>
      </c>
      <c r="BB13" s="13">
        <f>IF($D13="是",I13-J13,0)</f>
        <v>129.01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8"/>
      <c r="G2" s="2649"/>
      <c r="H2" s="2650"/>
      <c r="I2" s="2324" t="s">
        <v>1132</v>
      </c>
      <c r="J2" s="2658"/>
      <c r="K2" s="2658"/>
      <c r="L2" s="2658"/>
      <c r="M2" s="2658"/>
      <c r="N2" s="2660"/>
      <c r="O2" s="2658"/>
      <c r="P2" s="2658"/>
    </row>
    <row r="3" spans="1:16" ht="15.75" thickBot="1">
      <c r="A3" s="3531" t="s">
        <v>1105</v>
      </c>
      <c r="B3" s="3531"/>
      <c r="C3" s="3531"/>
      <c r="D3" s="43">
        <f>'数据-基础表'!AY6</f>
        <v>0</v>
      </c>
      <c r="E3" s="43">
        <f>'数据-基础表'!AZ5</f>
        <v>129.01</v>
      </c>
      <c r="F3" s="2658"/>
      <c r="G3" s="1145"/>
      <c r="H3" s="1026" t="s">
        <v>1106</v>
      </c>
      <c r="I3" s="855" t="e">
        <f>ROUND('数据-基础表'!B3/'数据-基础表'!A3,2)</f>
        <v>#DIV/0!</v>
      </c>
      <c r="J3" s="2658"/>
      <c r="K3" s="2658"/>
      <c r="L3" s="2658"/>
      <c r="M3" s="2658"/>
      <c r="N3" s="2660"/>
      <c r="O3" s="2658"/>
      <c r="P3" s="2658"/>
    </row>
    <row r="4" spans="1:16" ht="15">
      <c r="A4" s="3532"/>
      <c r="B4" s="3533"/>
      <c r="C4" s="353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35" t="s">
        <v>1110</v>
      </c>
      <c r="C5" s="353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5" t="s">
        <v>1111</v>
      </c>
      <c r="C6" s="3535"/>
      <c r="D6" s="45">
        <f>ROUND($D$3*E6/$E$3,2)</f>
        <v>0</v>
      </c>
      <c r="E6" s="46">
        <f>E3-E5</f>
        <v>129.01</v>
      </c>
      <c r="F6" s="2658"/>
      <c r="G6" s="2652" t="s">
        <v>1112</v>
      </c>
      <c r="H6" s="1146" t="s">
        <v>1113</v>
      </c>
      <c r="I6" s="2653" t="e">
        <f>ROUND(F31/D31,2)</f>
        <v>#DIV/0!</v>
      </c>
      <c r="J6" s="2658"/>
      <c r="K6" s="2658"/>
      <c r="L6" s="2658"/>
      <c r="M6" s="2658"/>
      <c r="N6" s="2658"/>
      <c r="O6" s="2658"/>
      <c r="P6" s="2658"/>
    </row>
    <row r="7" spans="1:16" ht="15.75" thickBot="1">
      <c r="A7" s="3527"/>
      <c r="B7" s="3528"/>
      <c r="C7" s="3529"/>
      <c r="D7" s="1641" t="s">
        <v>1107</v>
      </c>
      <c r="E7" s="1645" t="s">
        <v>1114</v>
      </c>
      <c r="F7" s="2658"/>
      <c r="G7" s="2654" t="s">
        <v>1115</v>
      </c>
      <c r="H7" s="2655"/>
      <c r="I7" s="2656">
        <v>8.6999999999999993</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129.01</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129.01</v>
      </c>
      <c r="F16" s="2658"/>
      <c r="G16" s="2659"/>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0</v>
      </c>
      <c r="E19" s="53">
        <f t="shared" ref="E19:E26" si="1">SUM(F19:G19)</f>
        <v>129.01</v>
      </c>
      <c r="F19" s="2794">
        <f>'数据-基础表'!I13</f>
        <v>129.01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129.01</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129.01</v>
      </c>
      <c r="F27" s="1140">
        <f>IF(SUM(F19:F26)=E8,SUM(F19:F26),"地上面积有误")</f>
        <v>129.01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129.01</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129.01</v>
      </c>
      <c r="F31" s="677">
        <f>F27+F30</f>
        <v>129.01</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P6" activePane="bottomRight" state="frozen"/>
      <selection activeCell="C50" sqref="C50"/>
      <selection pane="topRight" activeCell="C50" sqref="C50"/>
      <selection pane="bottomLeft" activeCell="C50" sqref="C50"/>
      <selection pane="bottomRight" activeCell="AB50" sqref="AB5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44987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N2</v>
      </c>
      <c r="B6" s="1713" t="str">
        <f>IF(A6=0,"","经营性")</f>
        <v>经营性</v>
      </c>
      <c r="C6" s="1714" t="s">
        <v>21</v>
      </c>
      <c r="D6" s="858">
        <f>SUMIF(项目基本情况!C$12:I$12,C6,项目基本情况!C$14:I$14)</f>
        <v>50</v>
      </c>
      <c r="E6" s="857">
        <f>IF(B6="","",SUMIF(项目基本情况!C$12:I$12,C6,项目基本情况!C$13:I$13))</f>
        <v>60156</v>
      </c>
      <c r="F6" s="64">
        <f>SUMIF(项目基本情况!C$12:I$12,C6,项目基本情况!C$15:I$15)</f>
        <v>41.55</v>
      </c>
      <c r="G6" s="65">
        <f>IF(ISERROR(ROUND(POWER(1+H6,D6-F6)*(POWER(1+H6,F6)-1)/(POWER(1+H6,D6)-1),3)),0,ROUND(POWER(1+H6,D6-F6)*(POWER(1+H6,F6)-1)/(POWER(1+H6,D6)-1),3))</f>
        <v>0.95099999999999996</v>
      </c>
      <c r="H6" s="732">
        <v>0.05</v>
      </c>
      <c r="I6" s="732">
        <v>5.5E-2</v>
      </c>
      <c r="J6" s="66">
        <v>7.0000000000000007E-2</v>
      </c>
      <c r="K6" s="1030">
        <f>SUMIF('数据-汇总表'!C$19:C$33,A6,'数据-汇总表'!E$19:E$33)</f>
        <v>129.01</v>
      </c>
      <c r="L6" s="733">
        <v>5000</v>
      </c>
      <c r="M6" s="67">
        <f t="shared" ref="M6:M14" si="0">ROUND(K6*L6/10000,0)</f>
        <v>65</v>
      </c>
      <c r="N6" s="731">
        <f>ROUND(1-(2023-2021)/60,2)</f>
        <v>0.97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5</v>
      </c>
      <c r="V6" s="70">
        <v>2.5000000000000001E-2</v>
      </c>
      <c r="W6" s="70">
        <v>0.1</v>
      </c>
      <c r="X6" s="1040"/>
      <c r="Y6" s="71">
        <f>N6</f>
        <v>0.97</v>
      </c>
      <c r="Z6" s="72"/>
      <c r="AA6" s="66"/>
      <c r="AB6" s="66"/>
      <c r="AC6" s="1040"/>
      <c r="AD6" s="73"/>
      <c r="AE6" s="1041">
        <f ca="1">IF(AN6="",0,SUMIF(INDIRECT("'"&amp;AN6&amp;"'"&amp;"!E:E"),$AE$5,INDIRECT("'"&amp;AN6&amp;"'"&amp;"!F:F")))</f>
        <v>41.55</v>
      </c>
      <c r="AF6" s="1348"/>
      <c r="AG6" s="138">
        <f>IF(AF6="",0,AE6-AF6)</f>
        <v>0</v>
      </c>
      <c r="AH6" s="74"/>
      <c r="AI6" s="76">
        <v>365</v>
      </c>
      <c r="AJ6" s="77"/>
      <c r="AK6" s="78">
        <v>0.01</v>
      </c>
      <c r="AL6" s="79">
        <v>1E-3</v>
      </c>
      <c r="AM6" s="80">
        <v>0.01</v>
      </c>
      <c r="AN6" s="1715" t="s">
        <v>3389</v>
      </c>
      <c r="AO6" s="52">
        <f ca="1">SUMIF(INDIRECT("'"&amp;AN6&amp;"'"&amp;"!A:A"),"总价",INDIRECT("'"&amp;AN6&amp;"'"&amp;"!B:B"))</f>
        <v>385.0718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0.95099999999999996</v>
      </c>
      <c r="H16" s="90">
        <f>ROUND(SUMPRODUCT(H6:H13,K6:K13)/SUMPRODUCT((H6:H13&gt;0)*(K6:K13)),3)</f>
        <v>0.05</v>
      </c>
      <c r="I16" s="91"/>
      <c r="J16" s="91"/>
      <c r="K16" s="92">
        <f>SUM(K6:K15)</f>
        <v>129.01</v>
      </c>
      <c r="L16" s="93">
        <f>ROUND(M16*10000/SUM(K6:K14),0)</f>
        <v>5038</v>
      </c>
      <c r="M16" s="93">
        <f>SUM(M6:M14)</f>
        <v>65</v>
      </c>
      <c r="N16" s="94">
        <f>ROUND(SUMPRODUCT(M6:M14,N6:N14)/M16,3)</f>
        <v>0.97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25802</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3390</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36" t="s">
        <v>2286</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44987</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5" sqref="L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3417</v>
      </c>
      <c r="D4" s="1756" t="s">
        <v>3418</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7</v>
      </c>
      <c r="D14" s="3599">
        <v>3</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0" t="s">
        <v>2131</v>
      </c>
      <c r="F18" s="3631"/>
      <c r="G18" s="3631"/>
      <c r="H18" s="3631"/>
      <c r="I18" s="3631"/>
      <c r="K18" s="302" t="s">
        <v>1289</v>
      </c>
      <c r="L18" s="302">
        <f>IF(C1="",'数据-汇总表'!E3,SUMIF(项目类型,C1,'数据-汇总表'!E17:E26)+SUMIF(项目类型,C1,'数据-汇总表'!I17:I26))</f>
        <v>129.01</v>
      </c>
      <c r="M18" s="302">
        <f>IF(C1="",'数据-汇总表'!E3,SUMIF(项目类型,C1,'数据-汇总表'!E17:E26))</f>
        <v>129.01</v>
      </c>
    </row>
    <row r="19" spans="1:36" ht="15">
      <c r="A19" s="1761" t="s">
        <v>1290</v>
      </c>
      <c r="B19" s="1762" t="s">
        <v>1291</v>
      </c>
      <c r="C19" s="134">
        <f ca="1">SUMIF(INDIRECT("'"&amp;C4&amp;"'"&amp;"!A:A"),结果表!B19,INDIRECT("'"&amp;C4&amp;"'"&amp;"!B:B"))</f>
        <v>654.91930000000002</v>
      </c>
      <c r="D19" s="135">
        <f ca="1">SUMIF(INDIRECT("'"&amp;D4&amp;"'"&amp;"!A:A"),结果表!B19,INDIRECT("'"&amp;D4&amp;"'"&amp;"!B:B"))</f>
        <v>359.74450000000002</v>
      </c>
      <c r="E19" s="1761" t="s">
        <v>1292</v>
      </c>
      <c r="F19" s="1762" t="s">
        <v>1291</v>
      </c>
      <c r="G19" s="136">
        <f ca="1">ROUND(C19*$C$18+D19*$D$18,0)</f>
        <v>566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50765</v>
      </c>
      <c r="D20" s="138">
        <f ca="1">SUMIF(INDIRECT("'"&amp;D4&amp;"'"&amp;"!A:A"),结果表!B20,INDIRECT("'"&amp;D4&amp;"'"&amp;"!B:B"))</f>
        <v>27885</v>
      </c>
      <c r="E20" s="1764"/>
      <c r="F20" s="1026" t="s">
        <v>1295</v>
      </c>
      <c r="G20" s="139">
        <f ca="1">ROUND(C20*$C$18+D20*$D$18,0)</f>
        <v>43901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0.82051233583835192</v>
      </c>
      <c r="E22" s="129"/>
      <c r="F22" s="129"/>
      <c r="G22" s="129"/>
      <c r="H22" s="129"/>
      <c r="I22" s="129"/>
    </row>
    <row r="23" spans="1:36" ht="13.5" thickBot="1">
      <c r="A23" s="1747"/>
      <c r="B23" s="1747"/>
      <c r="C23" s="1747"/>
      <c r="D23" s="1747"/>
      <c r="E23" s="129"/>
      <c r="F23" s="129"/>
      <c r="G23" s="129"/>
      <c r="H23" s="129"/>
      <c r="I23" s="129"/>
      <c r="K23" s="725">
        <v>4.3</v>
      </c>
      <c r="L23" s="725">
        <f>K23*L18</f>
        <v>554.74299999999994</v>
      </c>
    </row>
    <row r="24" spans="1:36" ht="14.25">
      <c r="A24" s="3623" t="s">
        <v>1299</v>
      </c>
      <c r="B24" s="1762" t="s">
        <v>1291</v>
      </c>
      <c r="C24" s="136">
        <f>IF(B30=0,0,D30)</f>
        <v>0</v>
      </c>
      <c r="D24" s="1769"/>
      <c r="E24" s="129"/>
      <c r="F24" s="129"/>
      <c r="G24" s="129"/>
      <c r="H24" s="129"/>
      <c r="I24" s="129"/>
      <c r="K24" s="725">
        <v>4.5</v>
      </c>
      <c r="L24" s="725">
        <f>K24*L18</f>
        <v>580.54499999999996</v>
      </c>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43901</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2">
        <v>1</v>
      </c>
      <c r="K46" s="3541" t="s">
        <v>1331</v>
      </c>
      <c r="L46" s="3541"/>
      <c r="M46" s="3542"/>
      <c r="N46" s="3542"/>
      <c r="O46" s="3542"/>
    </row>
    <row r="47" spans="1:15" ht="12" customHeight="1">
      <c r="A47" s="160" t="s">
        <v>1332</v>
      </c>
      <c r="B47" s="161"/>
      <c r="C47" s="162"/>
      <c r="D47" s="1087" t="s">
        <v>1333</v>
      </c>
      <c r="E47" s="302" t="s">
        <v>1334</v>
      </c>
      <c r="F47" s="163" t="s">
        <v>1335</v>
      </c>
      <c r="G47" s="2545" t="s">
        <v>1336</v>
      </c>
      <c r="H47" s="2546"/>
      <c r="I47" s="159"/>
      <c r="J47" s="2522">
        <v>2</v>
      </c>
      <c r="K47" s="3541" t="s">
        <v>1337</v>
      </c>
      <c r="L47" s="3541"/>
      <c r="M47" s="3543">
        <f>'数据-取费表'!B2</f>
        <v>44987</v>
      </c>
      <c r="N47" s="3543"/>
      <c r="O47" s="3543"/>
    </row>
    <row r="48" spans="1:15" ht="25.5">
      <c r="A48" s="3603" t="s">
        <v>1338</v>
      </c>
      <c r="B48" s="3604"/>
      <c r="C48" s="360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6"/>
      <c r="J48" s="2522">
        <v>3</v>
      </c>
      <c r="K48" s="3541" t="s">
        <v>1340</v>
      </c>
      <c r="L48" s="3541"/>
      <c r="M48" s="3544" t="e">
        <f ca="1">H101</f>
        <v>#REF!</v>
      </c>
      <c r="N48" s="3544"/>
      <c r="O48" s="3544"/>
    </row>
    <row r="49" spans="1:35" ht="25.5" customHeight="1">
      <c r="A49" s="2332" t="s">
        <v>1341</v>
      </c>
      <c r="B49" s="3589" t="s">
        <v>1342</v>
      </c>
      <c r="C49" s="3589"/>
      <c r="D49" s="1590">
        <v>0</v>
      </c>
      <c r="E49" s="324" t="s">
        <v>1343</v>
      </c>
      <c r="F49" s="2423" t="s">
        <v>28</v>
      </c>
      <c r="G49" s="3572"/>
      <c r="H49" s="2309" t="s">
        <v>2134</v>
      </c>
      <c r="I49" s="2310"/>
      <c r="J49" s="2522">
        <v>4</v>
      </c>
      <c r="K49" s="3541" t="str">
        <f>IF(项目基本情况!E8="房地产抵押价值","房地产抵押价值","抵押担保权已注销时的房地产抵押价值")</f>
        <v>房地产抵押价值</v>
      </c>
      <c r="L49" s="3541"/>
      <c r="M49" s="3544" t="str">
        <f ca="1">IF(项目基本情况!E8="房地产抵押价值",H107,H109)</f>
        <v>——</v>
      </c>
      <c r="N49" s="3544"/>
      <c r="O49" s="3544"/>
    </row>
    <row r="50" spans="1:35" ht="25.5" customHeight="1">
      <c r="A50" s="2550"/>
      <c r="B50" s="3589" t="s">
        <v>1344</v>
      </c>
      <c r="C50" s="3589"/>
      <c r="D50" s="2551"/>
      <c r="E50" s="332"/>
      <c r="F50" s="2423"/>
      <c r="G50" s="3573"/>
      <c r="H50" s="2311" t="s">
        <v>2135</v>
      </c>
      <c r="I50" s="2310"/>
      <c r="J50" s="3540" t="s">
        <v>1345</v>
      </c>
      <c r="K50" s="3540"/>
      <c r="L50" s="3540"/>
      <c r="M50" s="3540"/>
      <c r="N50" s="3540"/>
      <c r="O50" s="3540"/>
    </row>
    <row r="51" spans="1:35" ht="20.45" customHeight="1">
      <c r="A51" s="2552"/>
      <c r="B51" s="3589" t="s">
        <v>1346</v>
      </c>
      <c r="C51" s="3589"/>
      <c r="D51" s="1087"/>
      <c r="E51" s="327"/>
      <c r="F51" s="2423"/>
      <c r="G51" s="3574"/>
      <c r="H51" s="2311" t="s">
        <v>2136</v>
      </c>
      <c r="I51" s="2310"/>
      <c r="J51" s="2523" t="s">
        <v>1347</v>
      </c>
      <c r="K51" s="3541" t="s">
        <v>1348</v>
      </c>
      <c r="L51" s="3541"/>
      <c r="M51" s="2523" t="s">
        <v>1349</v>
      </c>
      <c r="N51" s="2523" t="s">
        <v>1350</v>
      </c>
      <c r="O51" s="2523" t="s">
        <v>1351</v>
      </c>
    </row>
    <row r="52" spans="1:35" ht="24" customHeight="1">
      <c r="A52" s="2334" t="s">
        <v>1352</v>
      </c>
      <c r="B52" s="3589" t="s">
        <v>1353</v>
      </c>
      <c r="C52" s="3589"/>
      <c r="D52" s="1087" t="e">
        <f ca="1">ROUND(D45*'数据-取费表'!B41/(1+'数据-取费表'!C42),0)</f>
        <v>#REF!</v>
      </c>
      <c r="E52" s="2333" t="s">
        <v>1354</v>
      </c>
      <c r="F52" s="2553">
        <f>'数据-取费表'!B41</f>
        <v>5.5000000000000007E-2</v>
      </c>
      <c r="G52" s="2554"/>
      <c r="H52" s="2543"/>
      <c r="I52" s="1807"/>
      <c r="J52" s="2522">
        <v>1</v>
      </c>
      <c r="K52" s="3566" t="s">
        <v>1355</v>
      </c>
      <c r="L52" s="3566"/>
      <c r="M52" s="2524" t="b">
        <f>D48</f>
        <v>0</v>
      </c>
      <c r="N52" s="2522" t="str">
        <f>E48</f>
        <v>销售额×税（费）率</v>
      </c>
      <c r="O52" s="2525">
        <f>F48</f>
        <v>5.5000000000000007E-2</v>
      </c>
    </row>
    <row r="53" spans="1:35" ht="12" customHeight="1">
      <c r="A53" s="2334" t="s">
        <v>1356</v>
      </c>
      <c r="B53" s="3590" t="s">
        <v>2291</v>
      </c>
      <c r="C53" s="3591"/>
      <c r="D53" s="1087" t="e">
        <f ca="1">ROUND(D45*'数据-取费表'!B41/(1+'数据-取费表'!C42),0)</f>
        <v>#REF!</v>
      </c>
      <c r="E53" s="2333" t="s">
        <v>1354</v>
      </c>
      <c r="F53" s="2553">
        <f>'数据-取费表'!B41</f>
        <v>5.5000000000000007E-2</v>
      </c>
      <c r="G53" s="2554"/>
      <c r="H53" s="2543"/>
      <c r="I53" s="1807"/>
      <c r="J53" s="2522">
        <v>2</v>
      </c>
      <c r="K53" s="3566" t="s">
        <v>1357</v>
      </c>
      <c r="L53" s="3566"/>
      <c r="M53" s="2524" t="e">
        <f t="shared" ref="M53:O54" ca="1" si="0">D55</f>
        <v>#REF!</v>
      </c>
      <c r="N53" s="2522" t="str">
        <f t="shared" si="0"/>
        <v>销售额×税（费）率</v>
      </c>
      <c r="O53" s="2525" t="str">
        <f t="shared" si="0"/>
        <v>免征</v>
      </c>
    </row>
    <row r="54" spans="1:35" ht="12" customHeight="1">
      <c r="A54" s="2334" t="s">
        <v>1358</v>
      </c>
      <c r="B54" s="3590" t="s">
        <v>2292</v>
      </c>
      <c r="C54" s="3591"/>
      <c r="D54" s="1087" t="e">
        <f ca="1">C68</f>
        <v>#REF!</v>
      </c>
      <c r="E54" s="327" t="s">
        <v>1359</v>
      </c>
      <c r="F54" s="2553">
        <f>'数据-取费表'!B41</f>
        <v>5.5000000000000007E-2</v>
      </c>
      <c r="G54" s="2554"/>
      <c r="H54" s="2555"/>
      <c r="I54" s="1807"/>
      <c r="J54" s="2522">
        <v>3</v>
      </c>
      <c r="K54" s="3566" t="s">
        <v>1360</v>
      </c>
      <c r="L54" s="3566"/>
      <c r="M54" s="2524" t="e">
        <f t="shared" ca="1" si="0"/>
        <v>#REF!</v>
      </c>
      <c r="N54" s="2522" t="str">
        <f t="shared" si="0"/>
        <v>增值额×税（费）率</v>
      </c>
      <c r="O54" s="2526" t="str">
        <f t="shared" si="0"/>
        <v>免征</v>
      </c>
    </row>
    <row r="55" spans="1:35" ht="24" customHeight="1">
      <c r="A55" s="3626" t="s">
        <v>1361</v>
      </c>
      <c r="B55" s="3604"/>
      <c r="C55" s="3604"/>
      <c r="D55" s="2323" t="e">
        <f ca="1">IF(H55="个人住宅",0,ROUND(D45*I55,0))</f>
        <v>#REF!</v>
      </c>
      <c r="E55" s="2333" t="s">
        <v>1362</v>
      </c>
      <c r="F55" s="2553" t="str">
        <f>IF(H55="正常",I55,"免征")</f>
        <v>免征</v>
      </c>
      <c r="G55" s="2554"/>
      <c r="H55" s="2549"/>
      <c r="I55" s="165">
        <f>'数据-取费表'!B49</f>
        <v>5.0000000000000001E-4</v>
      </c>
      <c r="J55" s="2522">
        <f>IF(H59="非个人房产","",4)</f>
        <v>4</v>
      </c>
      <c r="K55" s="3566" t="str">
        <f>IF(H59="非个人房产","——","个人所得税")</f>
        <v>个人所得税</v>
      </c>
      <c r="L55" s="3566"/>
      <c r="M55" s="2527" t="e">
        <f ca="1">D59</f>
        <v>#REF!</v>
      </c>
      <c r="N55" s="2039" t="str">
        <f>E59</f>
        <v>差额计税</v>
      </c>
      <c r="O55" s="2528">
        <f>F59</f>
        <v>0.01</v>
      </c>
    </row>
    <row r="56" spans="1:35" ht="24.75">
      <c r="A56" s="3626" t="s">
        <v>1363</v>
      </c>
      <c r="B56" s="3604"/>
      <c r="C56" s="3604"/>
      <c r="D56" s="2323" t="e">
        <f ca="1">IF(H56="个人住宅",D57,D58)</f>
        <v>#REF!</v>
      </c>
      <c r="E56" s="2333" t="s">
        <v>1364</v>
      </c>
      <c r="F56" s="2553" t="str">
        <f>IF(H56="正常",F58,"免征")</f>
        <v>免征</v>
      </c>
      <c r="G56" s="2556" t="s">
        <v>1365</v>
      </c>
      <c r="H56" s="2557"/>
      <c r="I56" s="1808"/>
      <c r="J56" s="2522" t="str">
        <f>IF(项目基本情况!K6="上海银行",IF(J55="",4,J55+1),"")</f>
        <v/>
      </c>
      <c r="K56" s="3547" t="str">
        <f>IF(项目基本情况!K6="上海银行","其他处置费用","")</f>
        <v/>
      </c>
      <c r="L56" s="3548"/>
      <c r="M56" s="2524" t="str">
        <f>IF(项目基本情况!K6="上海银行",M69,"")</f>
        <v/>
      </c>
      <c r="N56" s="3547" t="str">
        <f>IF(项目基本情况!K6="上海银行","包含处置中涉及的律师、诉讼、拍卖、评估等费用","")</f>
        <v/>
      </c>
      <c r="O56" s="3550"/>
    </row>
    <row r="57" spans="1:35" ht="12.75">
      <c r="A57" s="2334" t="s">
        <v>1341</v>
      </c>
      <c r="B57" s="3590" t="s">
        <v>1366</v>
      </c>
      <c r="C57" s="3591"/>
      <c r="D57" s="1590">
        <v>0</v>
      </c>
      <c r="E57" s="324" t="s">
        <v>1343</v>
      </c>
      <c r="F57" s="302"/>
      <c r="G57" s="2554"/>
      <c r="H57" s="2558"/>
      <c r="I57" s="1808"/>
      <c r="J57" s="3566">
        <f>IF(AND(J55="",J56=""),4,IF(项目基本情况!K6="上海银行",结果表!J56+1,结果表!J55+1))</f>
        <v>5</v>
      </c>
      <c r="K57" s="3566" t="s">
        <v>1367</v>
      </c>
      <c r="L57" s="2529" t="s">
        <v>1368</v>
      </c>
      <c r="M57" s="2530"/>
      <c r="N57" s="2531">
        <f ca="1">SUMIF(M52:M56,"&lt;9e307")</f>
        <v>0</v>
      </c>
      <c r="O57" s="2532"/>
      <c r="P57" s="2689" t="e">
        <f ca="1">N57/M49</f>
        <v>#VALUE!</v>
      </c>
    </row>
    <row r="58" spans="1:35" ht="24.75">
      <c r="A58" s="2334" t="s">
        <v>1352</v>
      </c>
      <c r="B58" s="3590" t="s">
        <v>1369</v>
      </c>
      <c r="C58" s="3589"/>
      <c r="D58" s="2323" t="e">
        <f ca="1">IF(H58="转让取得",C81,C97)</f>
        <v>#REF!</v>
      </c>
      <c r="E58" s="2333" t="s">
        <v>1364</v>
      </c>
      <c r="F58" s="302" t="s">
        <v>28</v>
      </c>
      <c r="G58" s="2554"/>
      <c r="H58" s="2557"/>
      <c r="I58" s="1808"/>
      <c r="J58" s="3566"/>
      <c r="K58" s="3566"/>
      <c r="L58" s="2529" t="s">
        <v>1370</v>
      </c>
      <c r="M58" s="2533"/>
      <c r="N58" s="2534" t="str">
        <f ca="1">NUMBERSTRING(INT(N57*10000),2)&amp;"元整"</f>
        <v>零元整</v>
      </c>
      <c r="O58" s="2535"/>
    </row>
    <row r="59" spans="1:35" ht="24.75" thickBot="1">
      <c r="A59" s="3570" t="s">
        <v>1371</v>
      </c>
      <c r="B59" s="3571"/>
      <c r="C59" s="3571"/>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68">
        <f>J57+1</f>
        <v>6</v>
      </c>
      <c r="K59" s="3566" t="s">
        <v>1372</v>
      </c>
      <c r="L59" s="2522" t="s">
        <v>1368</v>
      </c>
      <c r="M59" s="2536"/>
      <c r="N59" s="2537" t="e">
        <f ca="1">M49-N57</f>
        <v>#VALUE!</v>
      </c>
      <c r="O59" s="2538"/>
    </row>
    <row r="60" spans="1:35" ht="12" customHeight="1">
      <c r="A60" s="1809"/>
      <c r="B60" s="1747"/>
      <c r="C60" s="1747"/>
      <c r="D60" s="1747"/>
      <c r="E60" s="1578"/>
      <c r="F60" s="1808"/>
      <c r="G60" s="1808"/>
      <c r="H60" s="1810"/>
      <c r="I60" s="129"/>
      <c r="J60" s="3569"/>
      <c r="K60" s="3566"/>
      <c r="L60" s="2529" t="s">
        <v>1370</v>
      </c>
      <c r="M60" s="2533"/>
      <c r="N60" s="2534" t="e">
        <f ca="1">NUMBERSTRING(INT(N59*10000),2)&amp;"元整"</f>
        <v>#VALUE!</v>
      </c>
      <c r="O60" s="2535"/>
    </row>
    <row r="61" spans="1:35" ht="13.5" thickBot="1">
      <c r="A61" s="3625" t="s">
        <v>1373</v>
      </c>
      <c r="B61" s="3625"/>
      <c r="C61" s="3625"/>
      <c r="D61" s="3625"/>
      <c r="E61" s="3625"/>
      <c r="F61" s="1808"/>
      <c r="G61" s="1808"/>
      <c r="H61" s="1810"/>
      <c r="I61" s="129"/>
      <c r="J61" s="2522">
        <f>J59+1</f>
        <v>7</v>
      </c>
      <c r="K61" s="3566" t="s">
        <v>1374</v>
      </c>
      <c r="L61" s="3566"/>
      <c r="M61" s="2539"/>
      <c r="N61" s="2540" t="e">
        <f ca="1">ROUND(N59*10000/'数据-汇总表'!E3,0)</f>
        <v>#VALUE!</v>
      </c>
      <c r="O61" s="2541"/>
    </row>
    <row r="62" spans="1:35" ht="12.75">
      <c r="A62" s="3585" t="s">
        <v>1375</v>
      </c>
      <c r="B62" s="3586"/>
      <c r="C62" s="2020"/>
      <c r="D62" s="2020"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549" t="s">
        <v>1379</v>
      </c>
      <c r="K63" s="1332" t="s">
        <v>1380</v>
      </c>
      <c r="L63" s="1332" t="e">
        <f ca="1">IF(M49&gt;10000,M49*0.5%,IF(AND(M49&gt;1000,M49&lt;=10000),M49*1%,IF(AND(M49&gt;100,M49&lt;=1000),M49*3%,IF(AND(M49&gt;10,M49&lt;=100),M49*5%,M49*8%))))</f>
        <v>#VALUE!</v>
      </c>
      <c r="M63" s="302" t="e">
        <f ca="1">ROUND(L63,1)</f>
        <v>#VALUE!</v>
      </c>
      <c r="N63" s="2542"/>
      <c r="Z63" s="1752"/>
      <c r="AI63" s="1753"/>
    </row>
    <row r="64" spans="1:35" ht="14.25" customHeight="1">
      <c r="A64" s="169" t="s">
        <v>325</v>
      </c>
      <c r="B64" s="170" t="s">
        <v>1381</v>
      </c>
      <c r="C64" s="2564" t="e">
        <f ca="1">D45</f>
        <v>#REF!</v>
      </c>
      <c r="D64" s="170" t="s">
        <v>26</v>
      </c>
      <c r="E64" s="172"/>
      <c r="F64" s="1808"/>
      <c r="G64" s="1808"/>
      <c r="H64" s="1810"/>
      <c r="I64" s="129"/>
      <c r="J64" s="354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2"/>
      <c r="AI64" s="1753"/>
    </row>
    <row r="65" spans="1:35" ht="14.25" customHeight="1">
      <c r="A65" s="169" t="s">
        <v>326</v>
      </c>
      <c r="B65" s="170" t="s">
        <v>1384</v>
      </c>
      <c r="C65" s="2565"/>
      <c r="D65" s="170"/>
      <c r="E65" s="172"/>
      <c r="F65" s="1808"/>
      <c r="G65" s="1808"/>
      <c r="H65" s="1810"/>
      <c r="I65" s="129"/>
      <c r="J65" s="3549"/>
      <c r="K65" s="1332" t="s">
        <v>1385</v>
      </c>
      <c r="L65" s="1332" t="e">
        <f ca="1">IF(M49&gt;1000,M49*0.1%,IF(AND(M49&gt;500,M49&lt;=1000),M49*0.5%,IF(AND(M49&gt;50,M49&lt;=500),M49*1%,IF(AND(M49&gt;1,M49&lt;=50),M49*1.5%))))</f>
        <v>#VALUE!</v>
      </c>
      <c r="M65" s="302" t="e">
        <f t="shared" ca="1" si="1"/>
        <v>#VALUE!</v>
      </c>
      <c r="N65" s="2543" t="s">
        <v>1383</v>
      </c>
      <c r="Z65" s="1752"/>
      <c r="AI65" s="1753"/>
    </row>
    <row r="66" spans="1:35" ht="14.25" customHeight="1">
      <c r="A66" s="173" t="s">
        <v>327</v>
      </c>
      <c r="B66" s="174" t="s">
        <v>1386</v>
      </c>
      <c r="C66" s="2566"/>
      <c r="D66" s="174" t="s">
        <v>26</v>
      </c>
      <c r="E66" s="1338" t="s">
        <v>671</v>
      </c>
      <c r="F66" s="1808"/>
      <c r="G66" s="1808"/>
      <c r="H66" s="1810"/>
      <c r="I66" s="129"/>
      <c r="J66" s="3549"/>
      <c r="K66" s="1332" t="s">
        <v>1387</v>
      </c>
      <c r="L66" s="1332" t="e">
        <f ca="1">M49*0.5%</f>
        <v>#VALUE!</v>
      </c>
      <c r="M66" s="302" t="e">
        <f ca="1">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4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2"/>
      <c r="AI67" s="1753"/>
    </row>
    <row r="68" spans="1:35" ht="14.25" customHeight="1" thickBot="1">
      <c r="A68" s="176" t="s">
        <v>329</v>
      </c>
      <c r="B68" s="177" t="s">
        <v>1391</v>
      </c>
      <c r="C68" s="2568" t="e">
        <f ca="1">IF(C67&lt;=0,0,ROUND(C67*D68,0))</f>
        <v>#REF!</v>
      </c>
      <c r="D68" s="2569">
        <f>'数据-取费表'!B41</f>
        <v>5.5000000000000007E-2</v>
      </c>
      <c r="E68" s="178"/>
      <c r="F68" s="1808"/>
      <c r="G68" s="1808"/>
      <c r="H68" s="1810"/>
      <c r="I68" s="129"/>
      <c r="J68" s="3549"/>
      <c r="K68" s="1332" t="s">
        <v>1392</v>
      </c>
      <c r="L68" s="1332" t="e">
        <f ca="1">IF(M49&gt;10000,M49*0.5%,IF(AND(M49&gt;5000,M49&lt;=10000),M49*1%,IF(AND(M49&gt;1000,M49&lt;=5000),M49*2%,IF(AND(M49&gt;200,M49&lt;=1000),M49*3%,M49*5%))))</f>
        <v>#VALUE!</v>
      </c>
      <c r="M68" s="302" t="e">
        <f ca="1">ROUND(L68,1)</f>
        <v>#VALUE!</v>
      </c>
      <c r="N68" s="2542"/>
      <c r="Z68" s="1752"/>
      <c r="AI68" s="1753"/>
    </row>
    <row r="69" spans="1:35" s="1772" customFormat="1" ht="16.5" customHeight="1">
      <c r="A69" s="1811"/>
      <c r="B69" s="1812"/>
      <c r="C69" s="1813"/>
      <c r="D69" s="1814"/>
      <c r="E69" s="1815"/>
      <c r="F69" s="1578"/>
      <c r="G69" s="1578"/>
      <c r="H69" s="1577"/>
      <c r="I69" s="1747"/>
      <c r="J69" s="3549"/>
      <c r="K69" s="1332" t="s">
        <v>1393</v>
      </c>
      <c r="L69" s="1332"/>
      <c r="M69" s="302" t="e">
        <f ca="1">ROUND(SUM(M63:M68),0)</f>
        <v>#VALUE!</v>
      </c>
      <c r="N69" s="2544"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51" t="s">
        <v>2129</v>
      </c>
      <c r="H90" s="3552"/>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2" t="s">
        <v>1422</v>
      </c>
      <c r="F92" s="3583"/>
      <c r="G92" s="3583"/>
      <c r="H92" s="358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4" t="str">
        <f>C4</f>
        <v>比较法-住宅</v>
      </c>
      <c r="D101" s="2585" t="str">
        <f>D4</f>
        <v>成本法 (元)</v>
      </c>
      <c r="E101" s="3545" t="s">
        <v>1431</v>
      </c>
      <c r="F101" s="3546"/>
      <c r="G101" s="1827" t="s">
        <v>1432</v>
      </c>
      <c r="H101" s="2594" t="e">
        <f ca="1">H118</f>
        <v>#REF!</v>
      </c>
      <c r="I101" s="129"/>
    </row>
    <row r="102" spans="1:35" ht="18.75" customHeight="1">
      <c r="A102" s="3577" t="s">
        <v>1433</v>
      </c>
      <c r="B102" s="2583" t="s">
        <v>1432</v>
      </c>
      <c r="C102" s="2584">
        <f ca="1">IF(D32="楼面单价",ROUND(C19,0),C19)</f>
        <v>654.91930000000002</v>
      </c>
      <c r="D102" s="2585">
        <f ca="1">IF(D32="楼面单价",ROUND(D19,0),D19)</f>
        <v>359.74450000000002</v>
      </c>
      <c r="E102" s="3545"/>
      <c r="F102" s="3546"/>
      <c r="G102" s="1827" t="s">
        <v>1434</v>
      </c>
      <c r="H102" s="2554" t="e">
        <f ca="1">I118</f>
        <v>#REF!</v>
      </c>
      <c r="I102" s="129"/>
    </row>
    <row r="103" spans="1:35" ht="42.75" customHeight="1">
      <c r="A103" s="3577"/>
      <c r="B103" s="2583" t="s">
        <v>1434</v>
      </c>
      <c r="C103" s="2586">
        <f ca="1">C20</f>
        <v>50765</v>
      </c>
      <c r="D103" s="2587">
        <f ca="1">D20</f>
        <v>27885</v>
      </c>
      <c r="E103" s="3538" t="s">
        <v>1435</v>
      </c>
      <c r="F103" s="3539"/>
      <c r="G103" s="1828" t="s">
        <v>1436</v>
      </c>
      <c r="H103" s="2594">
        <f>IF(D36="正常操作",H104+H105+H106,H105+H106)</f>
        <v>0</v>
      </c>
      <c r="I103" s="129"/>
    </row>
    <row r="104" spans="1:35" ht="18.75" customHeight="1">
      <c r="A104" s="3577"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87"/>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78" t="str">
        <f>IF(项目基本情况!E8="已注销","——","3.房地产抵押价值")</f>
        <v>3.房地产抵押价值</v>
      </c>
      <c r="F107" s="3546"/>
      <c r="G107" s="1827" t="s">
        <v>1432</v>
      </c>
      <c r="H107" s="2594" t="e">
        <f ca="1">IF(E107="——","——",H101-H103)</f>
        <v>#REF!</v>
      </c>
      <c r="I107" s="129"/>
    </row>
    <row r="108" spans="1:35" ht="18.75" customHeight="1">
      <c r="A108" s="129"/>
      <c r="B108" s="129"/>
      <c r="C108" s="129"/>
      <c r="D108" s="129"/>
      <c r="E108" s="3578"/>
      <c r="F108" s="3546"/>
      <c r="G108" s="1827" t="s">
        <v>1434</v>
      </c>
      <c r="H108" s="2554">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7" t="str">
        <f>IF(E109="——","——",H101-H105-H106)</f>
        <v>——</v>
      </c>
      <c r="I109" s="129"/>
    </row>
    <row r="110" spans="1:35" ht="18.75" customHeight="1">
      <c r="A110" s="129"/>
      <c r="B110" s="129"/>
      <c r="C110" s="129"/>
      <c r="D110" s="129"/>
      <c r="E110" s="3578"/>
      <c r="F110" s="3546"/>
      <c r="G110" s="1827" t="s">
        <v>1434</v>
      </c>
      <c r="H110" s="2554"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4" t="str">
        <f>IF(E111="——","——",N59)</f>
        <v>——</v>
      </c>
      <c r="I111" s="129"/>
    </row>
    <row r="112" spans="1:35" ht="18.75" customHeight="1" thickBot="1">
      <c r="A112" s="129"/>
      <c r="B112" s="129"/>
      <c r="C112" s="129"/>
      <c r="D112" s="129"/>
      <c r="E112" s="3580"/>
      <c r="F112" s="3581"/>
      <c r="G112" s="1830" t="s">
        <v>1434</v>
      </c>
      <c r="H112" s="2598"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129.01</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35245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2731959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25802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25802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129.01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129.01</v>
      </c>
      <c r="E19" s="211">
        <f>'数据-取费表'!B31</f>
        <v>200</v>
      </c>
      <c r="F19" s="231"/>
      <c r="G19" s="1856"/>
    </row>
    <row r="20" spans="1:7" s="214" customFormat="1" ht="13.5" customHeight="1">
      <c r="A20" s="255" t="s">
        <v>1493</v>
      </c>
      <c r="B20" s="210" t="s">
        <v>1494</v>
      </c>
      <c r="C20" s="232">
        <f ca="1">ROUND((C5+C19)*F20,0)</f>
        <v>516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2207</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2186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21</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3948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3948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35155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65</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v>
      </c>
      <c r="D37" s="217">
        <f ca="1">D19</f>
        <v>129.01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8.0000000000000004E-4</v>
      </c>
      <c r="D44" s="238"/>
      <c r="E44" s="238"/>
      <c r="F44" s="239"/>
      <c r="G44" s="3634"/>
    </row>
    <row r="45" spans="1:7" s="214" customFormat="1" ht="13.5" customHeight="1">
      <c r="A45" s="255" t="s">
        <v>1547</v>
      </c>
      <c r="B45" s="244" t="s">
        <v>1513</v>
      </c>
      <c r="C45" s="245">
        <f ca="1">C46</f>
        <v>11</v>
      </c>
      <c r="D45" s="235">
        <f ca="1">C47</f>
        <v>3.0000000000000001E-3</v>
      </c>
      <c r="E45" s="236" t="s">
        <v>1539</v>
      </c>
      <c r="F45" s="246">
        <f ca="1">F27</f>
        <v>0.15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93</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35245</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70" zoomScaleNormal="60" zoomScaleSheetLayoutView="70" workbookViewId="0">
      <selection activeCell="N24" sqref="N2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3386</v>
      </c>
      <c r="E1" s="3425" t="s">
        <v>3391</v>
      </c>
      <c r="F1" s="1879" t="s">
        <v>3392</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654.91930000000002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50765</v>
      </c>
      <c r="C3" s="354" t="s">
        <v>1665</v>
      </c>
      <c r="D3" s="353">
        <f>IF(D1="",'数据-汇总表'!E3,SUMIF('数据-汇总表'!$C19:$C33,D1,'数据-汇总表'!$E19:$E33))</f>
        <v>129.01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4"/>
      <c r="M4" s="2715"/>
      <c r="N4" s="2715"/>
      <c r="O4" s="2715"/>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tr">
        <f>Sheet1!D87</f>
        <v>万科大都会N2</v>
      </c>
      <c r="F5" s="3671"/>
      <c r="G5" s="3672" t="str">
        <f>Sheet1!D88</f>
        <v>万科大都会N2</v>
      </c>
      <c r="H5" s="3673"/>
      <c r="I5" s="3672" t="str">
        <f>Sheet1!D89</f>
        <v>万科大都会N2</v>
      </c>
      <c r="J5" s="3673"/>
      <c r="K5" s="1890"/>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44987</v>
      </c>
      <c r="D7" s="365">
        <v>100</v>
      </c>
      <c r="E7" s="366">
        <f>C7</f>
        <v>44987</v>
      </c>
      <c r="F7" s="367">
        <f>SUMIF(58:58,YEAR(E7)&amp;"-"&amp;MONTH(E7),59:59)</f>
        <v>100</v>
      </c>
      <c r="G7" s="366">
        <f>C7</f>
        <v>44987</v>
      </c>
      <c r="H7" s="365">
        <f>SUMIF(58:58,YEAR(G7)&amp;"-"&amp;MONTH(G7),59:59)</f>
        <v>100</v>
      </c>
      <c r="I7" s="366">
        <f>C7</f>
        <v>44987</v>
      </c>
      <c r="J7" s="365">
        <f>SUMIF(58:58,YEAR(I7)&amp;"-"&amp;MONTH(I7),59:59)</f>
        <v>100</v>
      </c>
      <c r="K7" s="1891"/>
      <c r="L7" s="2716"/>
      <c r="M7" s="2717"/>
      <c r="N7" s="2717"/>
      <c r="O7" s="2717"/>
      <c r="P7" s="3664" t="s">
        <v>1680</v>
      </c>
      <c r="Q7" s="3692"/>
      <c r="R7" s="701" t="s">
        <v>20</v>
      </c>
      <c r="S7" s="702">
        <f t="shared" ref="S7:S15" si="0">F7</f>
        <v>100</v>
      </c>
      <c r="T7" s="701" t="s">
        <v>20</v>
      </c>
      <c r="U7" s="702">
        <f t="shared" ref="U7:U15" si="1">H7</f>
        <v>100</v>
      </c>
      <c r="V7" s="701" t="s">
        <v>20</v>
      </c>
      <c r="W7" s="702">
        <f t="shared" ref="W7:W15" si="2">J7</f>
        <v>100</v>
      </c>
      <c r="X7" s="703"/>
      <c r="Y7" s="3664" t="s">
        <v>1680</v>
      </c>
      <c r="Z7" s="3665"/>
      <c r="AA7" s="704">
        <f>D7/F7</f>
        <v>1</v>
      </c>
      <c r="AB7" s="704">
        <f>D7/H7</f>
        <v>1</v>
      </c>
      <c r="AC7" s="704">
        <f>D7/J7</f>
        <v>1</v>
      </c>
    </row>
    <row r="8" spans="1:29" s="108" customFormat="1" ht="15.75" thickBot="1">
      <c r="A8" s="362" t="s">
        <v>1681</v>
      </c>
      <c r="B8" s="363"/>
      <c r="C8" s="3789" t="s">
        <v>3393</v>
      </c>
      <c r="D8" s="365">
        <v>100</v>
      </c>
      <c r="E8" s="3790" t="s">
        <v>3394</v>
      </c>
      <c r="F8" s="367">
        <f>SUMIF(61:61,E8,62:62)-SUMIF(61:61,C8,62:62)+100</f>
        <v>100</v>
      </c>
      <c r="G8" s="3789" t="s">
        <v>3395</v>
      </c>
      <c r="H8" s="365">
        <f>SUMIF(61:61,G8,62:62)-SUMIF(61:61,C8,62:62)+100</f>
        <v>100</v>
      </c>
      <c r="I8" s="3790" t="s">
        <v>3395</v>
      </c>
      <c r="J8" s="365">
        <f>SUMIF(61:61,I8,62:62)-SUMIF(61:61,C8,62:62)+100</f>
        <v>100</v>
      </c>
      <c r="K8" s="1891"/>
      <c r="L8" s="2716"/>
      <c r="M8" s="2717"/>
      <c r="N8" s="2717"/>
      <c r="O8" s="2717"/>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20"/>
      <c r="M11" s="2715"/>
      <c r="N11" s="2715"/>
      <c r="O11" s="2715"/>
      <c r="P11" s="3678"/>
      <c r="Q11" s="1343" t="str">
        <f t="shared" si="6"/>
        <v>容积率</v>
      </c>
      <c r="R11" s="701" t="s">
        <v>18</v>
      </c>
      <c r="S11" s="702">
        <f t="shared" si="0"/>
        <v>100</v>
      </c>
      <c r="T11" s="701" t="s">
        <v>18</v>
      </c>
      <c r="U11" s="702">
        <f t="shared" si="1"/>
        <v>100</v>
      </c>
      <c r="V11" s="701" t="s">
        <v>18</v>
      </c>
      <c r="W11" s="702">
        <f t="shared" si="2"/>
        <v>100</v>
      </c>
      <c r="X11" s="703"/>
      <c r="Y11" s="3608"/>
      <c r="Z11" s="52" t="str">
        <f t="shared" si="7"/>
        <v>容积率</v>
      </c>
      <c r="AA11" s="704">
        <f t="shared" si="3"/>
        <v>1</v>
      </c>
      <c r="AB11" s="704">
        <f t="shared" si="4"/>
        <v>1</v>
      </c>
      <c r="AC11" s="704">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1"/>
      <c r="M16" s="2715"/>
      <c r="N16" s="2715"/>
      <c r="O16" s="2715"/>
      <c r="P16" s="3706"/>
      <c r="Q16" s="1352"/>
      <c r="R16" s="705"/>
      <c r="S16" s="706"/>
      <c r="T16" s="705"/>
      <c r="U16" s="706"/>
      <c r="V16" s="705"/>
      <c r="W16" s="706"/>
      <c r="X16" s="1355"/>
      <c r="Y16" s="3699"/>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1"/>
      <c r="M22" s="2715"/>
      <c r="N22" s="2715"/>
      <c r="O22" s="2715"/>
      <c r="P22" s="3706"/>
      <c r="Q22" s="1352"/>
      <c r="R22" s="705"/>
      <c r="S22" s="706"/>
      <c r="T22" s="705"/>
      <c r="U22" s="706"/>
      <c r="V22" s="705"/>
      <c r="W22" s="706"/>
      <c r="X22" s="1355"/>
      <c r="Y22" s="3699"/>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792" t="s">
        <v>3397</v>
      </c>
      <c r="D27" s="413">
        <v>100</v>
      </c>
      <c r="E27" s="3793" t="s">
        <v>3397</v>
      </c>
      <c r="F27" s="413">
        <f>SUMIF(90:90,E27,91:91)-SUMIF(90:90,C27,91:91)+100</f>
        <v>100</v>
      </c>
      <c r="G27" s="3794" t="s">
        <v>3397</v>
      </c>
      <c r="H27" s="413">
        <f>SUMIF(90:90,G27,91:91)-SUMIF(90:90,C27,91:91)+100</f>
        <v>100</v>
      </c>
      <c r="I27" s="3794" t="s">
        <v>3397</v>
      </c>
      <c r="J27" s="413">
        <f>SUMIF(90:90,I27,91:91)-SUMIF(90:90,C27,91:91)+100</f>
        <v>100</v>
      </c>
      <c r="K27" s="1893"/>
      <c r="L27" s="2716"/>
      <c r="M27" s="2717"/>
      <c r="N27" s="2717"/>
      <c r="O27" s="2717"/>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f>D3</f>
        <v>129.01</v>
      </c>
      <c r="D33" s="127">
        <v>100</v>
      </c>
      <c r="E33" s="381">
        <f>Sheet1!E87</f>
        <v>128.35</v>
      </c>
      <c r="F33" s="376">
        <f>LOOKUP(E33,103:103,104:104)-LOOKUP(C33,103:103,104:104)+100</f>
        <v>100</v>
      </c>
      <c r="G33" s="380">
        <f>Sheet1!E88</f>
        <v>132.85</v>
      </c>
      <c r="H33" s="127">
        <f>LOOKUP(G33,103:103,104:104)-LOOKUP(C33,103:103,104:104)+100</f>
        <v>100</v>
      </c>
      <c r="I33" s="381">
        <f>Sheet1!E89</f>
        <v>148.62</v>
      </c>
      <c r="J33" s="127">
        <f>LOOKUP(I33,103:103,104:104)-LOOKUP(C33,103:103,104:104)+100</f>
        <v>100</v>
      </c>
      <c r="K33" s="1893"/>
      <c r="L33" s="2720"/>
      <c r="M33" s="2722"/>
      <c r="N33" s="2722"/>
      <c r="O33" s="2722"/>
      <c r="P33" s="3701"/>
      <c r="Q33" s="707" t="str">
        <f t="shared" si="11"/>
        <v>项目建筑规模</v>
      </c>
      <c r="R33" s="708" t="s">
        <v>18</v>
      </c>
      <c r="S33" s="709">
        <f t="shared" si="12"/>
        <v>100</v>
      </c>
      <c r="T33" s="708" t="s">
        <v>18</v>
      </c>
      <c r="U33" s="709">
        <f t="shared" si="13"/>
        <v>100</v>
      </c>
      <c r="V33" s="708" t="s">
        <v>18</v>
      </c>
      <c r="W33" s="709">
        <f t="shared" si="14"/>
        <v>100</v>
      </c>
      <c r="X33" s="710"/>
      <c r="Y33" s="3703"/>
      <c r="Z33" s="711" t="str">
        <f t="shared" si="18"/>
        <v>项目建筑规模</v>
      </c>
      <c r="AA33" s="1353">
        <f t="shared" si="15"/>
        <v>1</v>
      </c>
      <c r="AB33" s="1353">
        <f t="shared" si="16"/>
        <v>1</v>
      </c>
      <c r="AC33" s="1353">
        <f t="shared" si="17"/>
        <v>1</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v>0.97</v>
      </c>
      <c r="D37" s="127">
        <v>100</v>
      </c>
      <c r="E37" s="425">
        <v>0.97</v>
      </c>
      <c r="F37" s="376">
        <f>LOOKUP(E37,112:112,113:113)-LOOKUP(C37,112:112,113:113)+100</f>
        <v>100</v>
      </c>
      <c r="G37" s="427">
        <v>0.97</v>
      </c>
      <c r="H37" s="127">
        <f>LOOKUP(G37,112:112,113:113)-LOOKUP(C37,112:112,113:113)+100</f>
        <v>100</v>
      </c>
      <c r="I37" s="426">
        <v>0.97</v>
      </c>
      <c r="J37" s="127">
        <f>LOOKUP(I37,112:112,113:113)-LOOKUP(C37,112:112,113:113)+100</f>
        <v>100</v>
      </c>
      <c r="K37" s="377"/>
      <c r="L37" s="2716"/>
      <c r="M37" s="2717"/>
      <c r="N37" s="2717"/>
      <c r="O37" s="2717"/>
      <c r="P37" s="3701"/>
      <c r="Q37" s="1343" t="str">
        <f t="shared" si="11"/>
        <v>成新度</v>
      </c>
      <c r="R37" s="701" t="s">
        <v>18</v>
      </c>
      <c r="S37" s="702">
        <f t="shared" si="12"/>
        <v>100</v>
      </c>
      <c r="T37" s="701" t="s">
        <v>18</v>
      </c>
      <c r="U37" s="702">
        <f t="shared" si="13"/>
        <v>100</v>
      </c>
      <c r="V37" s="701" t="s">
        <v>18</v>
      </c>
      <c r="W37" s="702">
        <f t="shared" si="14"/>
        <v>100</v>
      </c>
      <c r="X37" s="703"/>
      <c r="Y37" s="3703"/>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f>Sheet1!F87</f>
        <v>50643</v>
      </c>
      <c r="F47" s="1157"/>
      <c r="G47" s="1158">
        <f>Sheet1!F88</f>
        <v>51186</v>
      </c>
      <c r="H47" s="1159"/>
      <c r="I47" s="1156">
        <f>Sheet1!F89</f>
        <v>50465</v>
      </c>
      <c r="J47" s="1159"/>
      <c r="K47" s="1913"/>
      <c r="L47" s="2723"/>
      <c r="M47" s="2724"/>
      <c r="N47" s="2715"/>
      <c r="O47" s="2724"/>
      <c r="P47" s="3696" t="str">
        <f>A47</f>
        <v>成交单价（元/平方米）</v>
      </c>
      <c r="Q47" s="3696"/>
      <c r="R47" s="3697">
        <f>E47</f>
        <v>50643</v>
      </c>
      <c r="S47" s="3697"/>
      <c r="T47" s="3697">
        <f>G47</f>
        <v>51186</v>
      </c>
      <c r="U47" s="3697"/>
      <c r="V47" s="3697">
        <f>I47</f>
        <v>50465</v>
      </c>
      <c r="W47" s="3697"/>
      <c r="X47" s="690"/>
      <c r="Y47" s="712"/>
      <c r="Z47" s="690"/>
      <c r="AA47" s="690"/>
      <c r="AB47" s="690"/>
      <c r="AC47" s="690"/>
    </row>
    <row r="48" spans="1:29" ht="15.75" thickBot="1">
      <c r="A48" s="437" t="s">
        <v>1709</v>
      </c>
      <c r="B48" s="438"/>
      <c r="C48" s="1160">
        <f>R49</f>
        <v>50765</v>
      </c>
      <c r="D48" s="2316" t="s">
        <v>2138</v>
      </c>
      <c r="E48" s="1161">
        <f>R48</f>
        <v>50643</v>
      </c>
      <c r="F48" s="2317"/>
      <c r="G48" s="1160">
        <f>T48</f>
        <v>51186</v>
      </c>
      <c r="H48" s="2317"/>
      <c r="I48" s="1161">
        <f>V48</f>
        <v>50465</v>
      </c>
      <c r="J48" s="2317"/>
      <c r="K48" s="2318">
        <f>F48+H48+J48</f>
        <v>0</v>
      </c>
      <c r="L48" s="2723"/>
      <c r="M48" s="2724"/>
      <c r="N48" s="2724"/>
      <c r="O48" s="2724"/>
      <c r="P48" s="3696" t="str">
        <f>A48</f>
        <v>比较价值（元/平方米）</v>
      </c>
      <c r="Q48" s="3696"/>
      <c r="R48" s="3697">
        <f>IF(F1="售价",ROUND(PRODUCT(R47,AA7:AA46),0),ROUND(PRODUCT(R47,AA7:AA46),1))</f>
        <v>50643</v>
      </c>
      <c r="S48" s="3697"/>
      <c r="T48" s="3697">
        <f>IF(F1="售价",ROUND(PRODUCT(T47,AB7:AB46),0),ROUND(PRODUCT(T47,AB7:AB46),1))</f>
        <v>51186</v>
      </c>
      <c r="U48" s="3697"/>
      <c r="V48" s="3697">
        <f>IF(F1="售价",ROUND(PRODUCT(V47,AC7:AC46),0),ROUND(PRODUCT(V47,AC7:AC46),1))</f>
        <v>50465</v>
      </c>
      <c r="W48" s="3697"/>
      <c r="X48" s="690"/>
      <c r="Y48" s="690"/>
      <c r="Z48" s="690"/>
      <c r="AA48" s="690"/>
      <c r="AB48" s="690"/>
      <c r="AC48" s="690"/>
    </row>
    <row r="49" spans="1:29" ht="15.75" thickBot="1">
      <c r="A49" s="441" t="s">
        <v>1710</v>
      </c>
      <c r="B49" s="442"/>
      <c r="C49" s="1162">
        <f>R49</f>
        <v>50765</v>
      </c>
      <c r="D49" s="1163"/>
      <c r="E49" s="1163"/>
      <c r="F49" s="1163"/>
      <c r="G49" s="1163"/>
      <c r="H49" s="1163"/>
      <c r="I49" s="1163"/>
      <c r="J49" s="1163"/>
      <c r="K49" s="1914"/>
      <c r="L49" s="2723"/>
      <c r="M49" s="2724"/>
      <c r="N49" s="2724"/>
      <c r="O49" s="2724"/>
      <c r="P49" s="3693" t="str">
        <f>A49</f>
        <v>估价对象XX用房的比较价值（楼面单价，元/平方米）</v>
      </c>
      <c r="Q49" s="3694"/>
      <c r="R49" s="3695">
        <f>IF(F1="售价",ROUND(IF(D48="简单平均",AVERAGE(R48:V48),R48*F48+T48*H48+V48*J48),0),ROUND(IF(D48="简单平均",AVERAGE(R48:V48),R48*F48+T48*H48+V48*J48),1))</f>
        <v>50765</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row>
    <row r="53" spans="1:29" ht="13.5" customHeight="1">
      <c r="A53" s="2724"/>
      <c r="B53" s="2724"/>
      <c r="C53" s="446" t="s">
        <v>1712</v>
      </c>
      <c r="D53" s="450"/>
      <c r="E53" s="448">
        <f>IF(E48&lt;G48,G48/E48-1,E48/G48-1)</f>
        <v>1.0722113618861551E-2</v>
      </c>
      <c r="F53" s="449" t="str">
        <f>IF(OR(E53&gt;=0.2,E53&lt;=-0.2),"超过20%","")</f>
        <v/>
      </c>
      <c r="G53" s="448">
        <f>IF(G48&lt;I48,I48/G48-1,G48/I48-1)</f>
        <v>1.4287129693847156E-2</v>
      </c>
      <c r="H53" s="449" t="str">
        <f>IF(OR(G53&gt;=0.2,G53&lt;=-0.2),"超过20%","")</f>
        <v/>
      </c>
      <c r="I53" s="448">
        <f>IF(I48&lt;E48,E48/I48-1,I48/E48-1)</f>
        <v>3.5271970672743347E-3</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1.0722113618861551E-2</v>
      </c>
      <c r="F54" s="449" t="str">
        <f>IF(OR(E54&gt;=0.3,E54&lt;=-0.3),"超过30%","")</f>
        <v/>
      </c>
      <c r="G54" s="448">
        <f>IF(G47&lt;I47,I47/G47-1,G47/I47-1)</f>
        <v>1.4287129693847156E-2</v>
      </c>
      <c r="H54" s="449" t="str">
        <f>IF(OR(G54&gt;=0.3,G54&lt;=-0.3),"超过30%","")</f>
        <v/>
      </c>
      <c r="I54" s="448">
        <f>IF(I47&lt;E47,E47/I47-1,I47/E47-1)</f>
        <v>3.5271970672743347E-3</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v>4</v>
      </c>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3791"/>
      <c r="D86" s="3791"/>
      <c r="E86" s="3791"/>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3791" t="s">
        <v>3398</v>
      </c>
      <c r="D90" s="3791" t="s">
        <v>3396</v>
      </c>
      <c r="E90" s="3791" t="s">
        <v>3397</v>
      </c>
      <c r="F90" s="503"/>
      <c r="G90" s="503"/>
      <c r="H90" s="504"/>
      <c r="I90" s="504"/>
      <c r="J90" s="504"/>
      <c r="K90" s="504"/>
      <c r="L90" s="505"/>
      <c r="M90" s="506"/>
      <c r="N90" s="935"/>
      <c r="O90" s="935"/>
      <c r="P90" s="1922"/>
      <c r="Q90" s="508"/>
    </row>
    <row r="91" spans="1:17" s="422" customFormat="1" ht="15.75" thickBot="1">
      <c r="A91" s="502"/>
      <c r="B91" s="492"/>
      <c r="C91" s="509">
        <v>100</v>
      </c>
      <c r="D91" s="509">
        <v>95</v>
      </c>
      <c r="E91" s="509">
        <v>90</v>
      </c>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0(含)-100</v>
      </c>
      <c r="D102" s="527" t="str">
        <f t="shared" ref="D102:L102" si="26">D103&amp;"(含)"&amp;"-"&amp;E103</f>
        <v>100(含)-200</v>
      </c>
      <c r="E102" s="527" t="str">
        <f t="shared" si="26"/>
        <v>200(含)-300</v>
      </c>
      <c r="F102" s="527" t="str">
        <f t="shared" si="26"/>
        <v>300(含)-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100</v>
      </c>
      <c r="E103" s="544">
        <v>200</v>
      </c>
      <c r="F103" s="544">
        <v>300</v>
      </c>
      <c r="G103" s="544"/>
      <c r="H103" s="544"/>
      <c r="I103" s="544"/>
      <c r="J103" s="545"/>
      <c r="K103" s="545"/>
      <c r="L103" s="546"/>
      <c r="M103" s="547"/>
      <c r="N103" s="935"/>
      <c r="O103" s="935"/>
      <c r="P103" s="1922"/>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28" sqref="K2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359.74450000000002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27885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1959218</v>
      </c>
      <c r="D5" s="211" t="s">
        <v>1469</v>
      </c>
      <c r="E5" s="212" t="s">
        <v>1470</v>
      </c>
      <c r="F5" s="212" t="s">
        <v>1471</v>
      </c>
      <c r="G5" s="213"/>
    </row>
    <row r="6" spans="1:8" s="214" customFormat="1" ht="13.5" customHeight="1">
      <c r="A6" s="778" t="s">
        <v>1472</v>
      </c>
      <c r="B6" s="215" t="s">
        <v>1473</v>
      </c>
      <c r="C6" s="216">
        <f>ROUND(基准地价修正!C33*基准地价修正!D33,0)</f>
        <v>1876192</v>
      </c>
      <c r="D6" s="217"/>
      <c r="E6" s="218"/>
      <c r="F6" s="218"/>
      <c r="G6" s="219"/>
    </row>
    <row r="7" spans="1:8" s="214" customFormat="1" ht="13.5" customHeight="1">
      <c r="A7" s="778" t="s">
        <v>1474</v>
      </c>
      <c r="B7" s="215" t="s">
        <v>1475</v>
      </c>
      <c r="C7" s="220">
        <f>ROUND(C6*F7,0)</f>
        <v>57224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25802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25802</v>
      </c>
      <c r="D10" s="845">
        <f ca="1">IF(B1="",'数据-汇总表'!E6,IF(INDIRECT("'数据-取费表'!c"&amp;$G$1)="住宅",INDIRECT("'数据-取费表'!s"&amp;$G$1),INDIRECT("'数据-取费表'!k"&amp;$G$1)+INDIRECT("'数据-取费表'!s"&amp;$G$1)))</f>
        <v>129.01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25802</v>
      </c>
      <c r="D19" s="849">
        <f ca="1">D9+D10</f>
        <v>129.01</v>
      </c>
      <c r="E19" s="211">
        <f>'数据-取费表'!B31</f>
        <v>200</v>
      </c>
      <c r="F19" s="231"/>
      <c r="G19" s="1856"/>
    </row>
    <row r="20" spans="1:7" s="214" customFormat="1" ht="13.5" customHeight="1">
      <c r="A20" s="255" t="s">
        <v>1574</v>
      </c>
      <c r="B20" s="210" t="s">
        <v>1575</v>
      </c>
      <c r="C20" s="232">
        <f ca="1">ROUND((C5+C19)*F20,0)</f>
        <v>39700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169823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165989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2186</v>
      </c>
      <c r="D24" s="238"/>
      <c r="E24" s="238"/>
      <c r="F24" s="239"/>
      <c r="G24" s="240" t="s">
        <v>1586</v>
      </c>
    </row>
    <row r="25" spans="1:7" s="214" customFormat="1" ht="24">
      <c r="A25" s="780" t="s">
        <v>1476</v>
      </c>
      <c r="B25" s="215" t="s">
        <v>1587</v>
      </c>
      <c r="C25" s="1128">
        <f ca="1">ROUND(IF('数据-取费表'!B22&lt;=1,C20*F22*'数据-取费表'!B22/2,C20*(POWER((1+F22),'数据-取费表'!B22/2)-1)),0)</f>
        <v>1648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303708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303708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2704320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699880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645050</v>
      </c>
      <c r="D34" s="217"/>
      <c r="E34" s="220"/>
      <c r="F34" s="257"/>
      <c r="G34" s="219"/>
    </row>
    <row r="35" spans="1:7" ht="13.5" customHeight="1">
      <c r="A35" s="780" t="s">
        <v>351</v>
      </c>
      <c r="B35" s="215" t="s">
        <v>1527</v>
      </c>
      <c r="C35" s="220">
        <f ca="1">ROUND(C34*F35,0)</f>
        <v>19352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25802</v>
      </c>
      <c r="D37" s="217">
        <f ca="1">D19</f>
        <v>129.01</v>
      </c>
      <c r="E37" s="249">
        <f>'数据-取费表'!B35</f>
        <v>200</v>
      </c>
      <c r="F37" s="259"/>
      <c r="G37" s="261"/>
    </row>
    <row r="38" spans="1:7" ht="13.5" customHeight="1">
      <c r="A38" s="780" t="s">
        <v>354</v>
      </c>
      <c r="B38" s="215" t="s">
        <v>1533</v>
      </c>
      <c r="C38" s="220">
        <f ca="1">ROUND(C34*F38,0)</f>
        <v>9676</v>
      </c>
      <c r="D38" s="220"/>
      <c r="E38" s="220"/>
      <c r="F38" s="259">
        <f>'数据-取费表'!B36</f>
        <v>1.4999999999999999E-2</v>
      </c>
      <c r="G38" s="219" t="s">
        <v>1528</v>
      </c>
    </row>
    <row r="39" spans="1:7" s="214" customFormat="1" ht="13.5" customHeight="1">
      <c r="A39" s="255" t="s">
        <v>1534</v>
      </c>
      <c r="B39" s="210" t="s">
        <v>1535</v>
      </c>
      <c r="C39" s="232">
        <f ca="1">ROUND(C33*F20,0)</f>
        <v>13998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29626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29045</v>
      </c>
      <c r="D42" s="238"/>
      <c r="E42" s="238"/>
      <c r="F42" s="239"/>
      <c r="G42" s="3632" t="s">
        <v>1591</v>
      </c>
    </row>
    <row r="43" spans="1:7" ht="13.5" customHeight="1">
      <c r="A43" s="780" t="s">
        <v>347</v>
      </c>
      <c r="B43" s="215" t="s">
        <v>1545</v>
      </c>
      <c r="C43" s="238">
        <f ca="1">ROUND(IF('数据-取费表'!B22&lt;=1,C39*F22*'数据-取费表'!B20/2,C39*(POWER((1+F22),'数据-取费表'!B20/2)-1)),0)</f>
        <v>581</v>
      </c>
      <c r="D43" s="238"/>
      <c r="E43" s="238"/>
      <c r="F43" s="239"/>
      <c r="G43" s="3633"/>
    </row>
    <row r="44" spans="1:7" ht="13.5" customHeight="1">
      <c r="A44" s="780" t="s">
        <v>348</v>
      </c>
      <c r="B44" s="215" t="s">
        <v>1546</v>
      </c>
      <c r="C44" s="238">
        <f ca="1">ROUND(IF('数据-取费表'!B22&lt;=1,C40*F22*'数据-取费表'!B20/2,C40*(POWER((1+F22),'数据-取费表'!B20/2)-1)),4)</f>
        <v>8.0000000000000004E-4</v>
      </c>
      <c r="D44" s="238"/>
      <c r="E44" s="238"/>
      <c r="F44" s="239"/>
      <c r="G44" s="3634"/>
    </row>
    <row r="45" spans="1:7" s="214" customFormat="1" ht="13.5" customHeight="1">
      <c r="A45" s="255" t="s">
        <v>1547</v>
      </c>
      <c r="B45" s="244" t="s">
        <v>1513</v>
      </c>
      <c r="C45" s="245">
        <f ca="1">C46</f>
        <v>107082</v>
      </c>
      <c r="D45" s="235">
        <f ca="1">C47</f>
        <v>3.0000000000000001E-3</v>
      </c>
      <c r="E45" s="236" t="s">
        <v>1539</v>
      </c>
      <c r="F45" s="246">
        <f ca="1">F27</f>
        <v>0.15</v>
      </c>
      <c r="G45" s="247" t="s">
        <v>1548</v>
      </c>
    </row>
    <row r="46" spans="1:7" s="214" customFormat="1" ht="13.5" customHeight="1">
      <c r="A46" s="780" t="s">
        <v>346</v>
      </c>
      <c r="B46" s="248" t="s">
        <v>1549</v>
      </c>
      <c r="C46" s="249">
        <f ca="1">ROUND((C33+C39)*F27,0)</f>
        <v>107082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920747</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893125</v>
      </c>
      <c r="D51" s="232"/>
      <c r="E51" s="232"/>
      <c r="F51" s="264"/>
      <c r="G51" s="234" t="s">
        <v>1560</v>
      </c>
    </row>
    <row r="52" spans="1:7" s="208" customFormat="1" ht="16.5" thickBot="1">
      <c r="A52" s="265" t="s">
        <v>1561</v>
      </c>
      <c r="B52" s="266"/>
      <c r="C52" s="267">
        <f ca="1">C31+C51</f>
        <v>3597445</v>
      </c>
      <c r="D52" s="266"/>
      <c r="E52" s="266"/>
      <c r="F52" s="266"/>
      <c r="G52" s="268"/>
    </row>
    <row r="55" spans="1:7" ht="15">
      <c r="B55" s="270" t="s">
        <v>1562</v>
      </c>
      <c r="C55" s="271"/>
    </row>
    <row r="56" spans="1:7">
      <c r="B56" s="273" t="s">
        <v>802</v>
      </c>
      <c r="C56" s="275">
        <f ca="1">1-C57</f>
        <v>0.752</v>
      </c>
    </row>
    <row r="57" spans="1:7">
      <c r="B57" s="273" t="s">
        <v>803</v>
      </c>
      <c r="C57" s="274">
        <f ca="1">ROUND(C51/C52,3)</f>
        <v>0.248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29409</v>
      </c>
      <c r="C2" s="276" t="s">
        <v>1595</v>
      </c>
      <c r="D2" s="276"/>
      <c r="E2" s="2805"/>
      <c r="F2" s="2805"/>
      <c r="G2" s="2805"/>
      <c r="H2" s="2805"/>
      <c r="I2" s="2805"/>
      <c r="J2" s="2805"/>
      <c r="K2" s="2805"/>
    </row>
    <row r="3" spans="1:33" ht="18" customHeight="1" thickBot="1">
      <c r="A3" s="203" t="s">
        <v>1464</v>
      </c>
      <c r="B3" s="204">
        <f ca="1">ROUND(B2*10000/IF(C1="",'数据-汇总表'!E3,INDIRECT("'数据-取费表'!K"&amp;$K$1)),0)</f>
        <v>2279591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129.01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129.01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-25799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129.01</v>
      </c>
      <c r="E20" s="21">
        <f>'数据-取费表'!B28</f>
        <v>200</v>
      </c>
      <c r="F20" s="804"/>
      <c r="G20" s="12"/>
      <c r="H20" s="809"/>
      <c r="I20" s="809"/>
      <c r="J20" s="809"/>
      <c r="K20" s="810"/>
    </row>
    <row r="21" spans="1:33" s="803" customFormat="1" ht="13.5" customHeight="1">
      <c r="A21" s="790" t="s">
        <v>357</v>
      </c>
      <c r="B21" s="813" t="s">
        <v>1628</v>
      </c>
      <c r="C21" s="814">
        <f ca="1">C16+C17+C18</f>
        <v>-25799</v>
      </c>
      <c r="D21" s="815"/>
      <c r="E21" s="281"/>
      <c r="F21" s="281"/>
      <c r="G21" s="131" t="s">
        <v>1629</v>
      </c>
      <c r="H21" s="807"/>
      <c r="I21" s="807"/>
      <c r="J21" s="807"/>
      <c r="K21" s="808"/>
    </row>
    <row r="22" spans="1:33" s="803" customFormat="1" ht="13.5" customHeight="1">
      <c r="A22" s="790" t="s">
        <v>1601</v>
      </c>
      <c r="B22" s="813" t="s">
        <v>1630</v>
      </c>
      <c r="C22" s="814">
        <f ca="1">ROUND(C21*F22,0)</f>
        <v>-516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-3947</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-3947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29409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G61" sqref="G61:G6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129.01</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188</v>
      </c>
      <c r="C2" s="1998" t="s">
        <v>1935</v>
      </c>
      <c r="D2" s="1999" t="s">
        <v>1936</v>
      </c>
      <c r="E2" s="3421" t="s">
        <v>21</v>
      </c>
      <c r="F2" s="1999" t="s">
        <v>1937</v>
      </c>
      <c r="G2" s="2000" t="str">
        <f>IF(E2="商业",项目基本情况!B37,IF(E2="办公",项目基本情况!C37,IF(E2="住宅",项目基本情况!D37,IF(E2="工业",项目基本情况!E37,项目基本情况!F37))))</f>
        <v>四级</v>
      </c>
      <c r="H2" s="1999" t="s">
        <v>1938</v>
      </c>
      <c r="I2" s="2000" t="str">
        <f>IF(E2="商业",项目基本情况!B38,IF(E2="办公",项目基本情况!C38,IF(E2="住宅",项目基本情况!D38,IF(E2="工业",项目基本情况!E38,项目基本情况!F38))))</f>
        <v>Ⅳ-通1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26647</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14573</v>
      </c>
      <c r="C3" s="1998" t="s">
        <v>1941</v>
      </c>
      <c r="D3" s="1999" t="s">
        <v>1942</v>
      </c>
      <c r="E3" s="3419" t="s">
        <v>3399</v>
      </c>
      <c r="F3" s="2003" t="s">
        <v>3400</v>
      </c>
      <c r="G3" s="752">
        <f>IF(F3="宗地容积率",'数据-汇总表'!I4,IF(F3="估价对象容积率",'数据-汇总表'!I6,'数据-汇总表'!I7))</f>
        <v>8.6999999999999993</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21003</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2" t="s">
        <v>1946</v>
      </c>
      <c r="M4" s="864">
        <f>SUMPRODUCT((区片价!B55:B86=I2)*(区片价!C3:G3=E2)*(区片价!C55:G86))</f>
        <v>16540</v>
      </c>
      <c r="N4" s="866">
        <f>SUMPRODUCT((因素修正幅度!B55:B86=I2)*(因素修正幅度!C3:G3=E2)*(因素修正幅度!C55:G86))</f>
        <v>9.8000000000000004E-2</v>
      </c>
      <c r="O4" s="1119"/>
      <c r="P4" s="1119"/>
      <c r="Q4" s="1119"/>
      <c r="R4" s="1212">
        <v>3</v>
      </c>
      <c r="S4" s="3360">
        <f>ROUND(SUMPRODUCT((B106:B110=R4)*(C105:N105=G2)*(C106:N110)),4)</f>
        <v>1.0004999999999999</v>
      </c>
      <c r="T4" s="3360">
        <f t="shared" si="0"/>
        <v>17751</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17347</v>
      </c>
      <c r="D5" s="1339">
        <f>ROUND(C6*C17+C20,0)</f>
        <v>16520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15655</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16540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15045</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3244</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四级</v>
      </c>
      <c r="Y7" s="1214" t="s">
        <v>1956</v>
      </c>
      <c r="Z7" s="1215">
        <f>G3</f>
        <v>8.6999999999999993</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43"/>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3245</v>
      </c>
      <c r="B12" s="3304" t="s">
        <v>3246</v>
      </c>
      <c r="C12" s="3305">
        <v>1.05</v>
      </c>
      <c r="D12" s="3306" t="s">
        <v>3247</v>
      </c>
      <c r="E12" s="3307" t="s">
        <v>3248</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3249</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3250</v>
      </c>
      <c r="G14" s="3311" t="s">
        <v>3250</v>
      </c>
      <c r="H14" s="3311" t="s">
        <v>3250</v>
      </c>
      <c r="I14" s="3311" t="s">
        <v>3250</v>
      </c>
      <c r="J14" s="3311" t="s">
        <v>3250</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3251</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3252</v>
      </c>
      <c r="B17" s="3320" t="s">
        <v>3253</v>
      </c>
      <c r="C17" s="3330">
        <f>ROUND(IF(OR(E2="工业",E2="公共服务"),1,IF(AND(E18=0,E19=0),1,IF(AND(E18=J24,E19=G19),0.8,IF(E19=0,1+E17*(-0.2),1+E17*G17*(-0.2))))),4)</f>
        <v>1</v>
      </c>
      <c r="D17" s="3321" t="s">
        <v>3254</v>
      </c>
      <c r="E17" s="3330">
        <f>ROUND(G18/I18,2)</f>
        <v>0</v>
      </c>
      <c r="F17" s="3321" t="s">
        <v>3257</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3255</v>
      </c>
      <c r="E18" s="3328"/>
      <c r="F18" s="3323" t="s">
        <v>3258</v>
      </c>
      <c r="G18" s="3327">
        <f>ROUND(1-(1/(POWER(1+G24,E18))),4)</f>
        <v>0</v>
      </c>
      <c r="H18" s="3323" t="s">
        <v>3260</v>
      </c>
      <c r="I18" s="3327">
        <f>ROUND(1-(1/(POWER(1+G24,J24))),4)</f>
        <v>0.93120000000000003</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3256</v>
      </c>
      <c r="E19" s="3337"/>
      <c r="F19" s="3338" t="s">
        <v>3259</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48" t="s">
        <v>3261</v>
      </c>
      <c r="B20" s="167" t="s">
        <v>1994</v>
      </c>
      <c r="C20" s="3324">
        <f>ROUND(IF(F21="与级别开发程度一致",0,(G21-E21)/C21),0)</f>
        <v>-20</v>
      </c>
      <c r="D20" s="3340" t="s">
        <v>1998</v>
      </c>
      <c r="E20" s="3341"/>
      <c r="F20" s="3754" t="s">
        <v>1995</v>
      </c>
      <c r="G20" s="3755"/>
      <c r="H20" s="3325" t="s">
        <v>3401</v>
      </c>
      <c r="I20" s="3325" t="s">
        <v>3402</v>
      </c>
      <c r="J20" s="3326" t="s">
        <v>3403</v>
      </c>
      <c r="K20" s="2046" t="s">
        <v>3404</v>
      </c>
      <c r="L20" s="2046" t="s">
        <v>3405</v>
      </c>
      <c r="M20" s="2046" t="s">
        <v>3406</v>
      </c>
      <c r="N20" s="2046" t="s">
        <v>3407</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49"/>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3408</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3" t="s">
        <v>2002</v>
      </c>
      <c r="E23" s="761">
        <v>44197</v>
      </c>
      <c r="F23" s="2053" t="s">
        <v>2003</v>
      </c>
      <c r="G23" s="762">
        <f>'数据-取费表'!B2</f>
        <v>44987</v>
      </c>
      <c r="H23" s="3342" t="s">
        <v>3262</v>
      </c>
      <c r="I23" s="3343" t="str">
        <f>IF(H23="季度增幅（自定义）",SUMIF(N25:N28,E2,O25:O28),"")</f>
        <v/>
      </c>
      <c r="J23" s="3445" t="s">
        <v>3409</v>
      </c>
      <c r="K23" s="1125"/>
      <c r="L23" s="2054" t="s">
        <v>2004</v>
      </c>
      <c r="M23" s="1328">
        <f>ROUND(SUMIF(地价!B2:G2,E2,地价!B16:G16),0)</f>
        <v>350</v>
      </c>
      <c r="N23" s="2055"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0.95779999999999998</v>
      </c>
      <c r="D24" s="2059" t="s">
        <v>2007</v>
      </c>
      <c r="E24" s="1335">
        <f>存贷款利率!E22/100</f>
        <v>4.3499999999999997E-2</v>
      </c>
      <c r="F24" s="2059" t="s">
        <v>1999</v>
      </c>
      <c r="G24" s="768">
        <f>SUMIF(M30:Q30,E2,M33:Q33)</f>
        <v>5.5E-2</v>
      </c>
      <c r="H24" s="2059" t="s">
        <v>2008</v>
      </c>
      <c r="I24" s="769">
        <f>SUMIF('数据-取费表'!C6:C15,E2,'数据-取费表'!F6:F15)/COUNTIF('数据-取费表'!C6:C15,E2)</f>
        <v>41.55</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3341</v>
      </c>
      <c r="C25" s="771">
        <f>IF(B25="容积率修正",IF(G3&lt;10,D26,J26),C27)</f>
        <v>0.81969999999999998</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3263</v>
      </c>
      <c r="D26" s="1352">
        <f>IF(E26=G26,F26,IF(G3&lt;10,ROUND(F26+(H26-F26)*(G3-E26)/(G26-E26),4),"——"))</f>
        <v>0.81969999999999998</v>
      </c>
      <c r="E26" s="752">
        <f>ROUNDDOWN(G3,1)</f>
        <v>8.6999999999999993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0.81969999999999998</v>
      </c>
      <c r="G26" s="752">
        <f>ROUNDUP(G3,1)</f>
        <v>8.6999999999999993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0.81969999999999998</v>
      </c>
      <c r="I26" s="3344" t="s">
        <v>3264</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1.0506</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188</v>
      </c>
      <c r="D30" s="2082"/>
      <c r="E30" s="2045"/>
      <c r="F30" s="2083"/>
      <c r="G30" s="2045"/>
      <c r="H30" s="2045"/>
      <c r="I30" s="2045"/>
      <c r="J30" s="2084"/>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14543</v>
      </c>
      <c r="D33" s="2097">
        <f>'数据-汇总表'!F19</f>
        <v>129.01</v>
      </c>
      <c r="E33" s="773">
        <f>ROUND(C33*D33/10000,0)</f>
        <v>188</v>
      </c>
      <c r="F33" s="3345" t="s">
        <v>3266</v>
      </c>
      <c r="G33" s="2098"/>
      <c r="H33" s="2098"/>
      <c r="I33" s="2098"/>
      <c r="J33" s="2099"/>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3636</v>
      </c>
      <c r="D34" s="2102"/>
      <c r="E34" s="773">
        <f>ROUND(IF(B25="楼层修正",SUM(V2:V16)*M40,C34*D34/10000),0)</f>
        <v>0</v>
      </c>
      <c r="F34" s="2103" t="s">
        <v>2032</v>
      </c>
      <c r="G34" s="2104"/>
      <c r="H34" s="2104"/>
      <c r="I34" s="2104"/>
      <c r="J34" s="2105"/>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3267</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2"/>
      <c r="B37" s="2112" t="s">
        <v>2036</v>
      </c>
      <c r="C37" s="175">
        <f>ROUND(D5*C22*C23*C24*C28*F37,0)</f>
        <v>10138</v>
      </c>
      <c r="D37" s="2097"/>
      <c r="E37" s="171">
        <f>ROUND(C37*D37/10000,0)</f>
        <v>0</v>
      </c>
      <c r="F37" s="171">
        <f>SUMIF(修正!A57:A68,G2,修正!B57:B68)</f>
        <v>0.6</v>
      </c>
      <c r="G37" s="171">
        <f>ROUND(IF(E2="工业",C37*$M$42,C37*$M$41),0)</f>
        <v>2535</v>
      </c>
      <c r="H37" s="171">
        <f>D37</f>
        <v>0</v>
      </c>
      <c r="I37" s="171">
        <f>ROUND(G37*H37/10000,0)</f>
        <v>0</v>
      </c>
      <c r="J37" s="3011"/>
      <c r="K37" s="3358" t="s">
        <v>3272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3"/>
      <c r="B38" s="2040" t="s">
        <v>2037</v>
      </c>
      <c r="C38" s="175">
        <f>ROUND(D5*C22*C23*C24*C28*F38,0)</f>
        <v>5069</v>
      </c>
      <c r="D38" s="2097"/>
      <c r="E38" s="171">
        <f t="shared" ref="E38:E42" si="4">ROUND(C38*D38/10000,0)</f>
        <v>0</v>
      </c>
      <c r="F38" s="171">
        <f>SUMIF(修正!A57:A68,G2,修正!C57:C68)</f>
        <v>0.3</v>
      </c>
      <c r="G38" s="171">
        <f>ROUND(IF(E2="工业",C38*$M$42,C38*$M$41),0)</f>
        <v>1267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3"/>
      <c r="B39" s="2040" t="s">
        <v>3265</v>
      </c>
      <c r="C39" s="175">
        <f>ROUND(D5*C22*C23*C24*C28*F39,0)</f>
        <v>4224</v>
      </c>
      <c r="D39" s="2097"/>
      <c r="E39" s="171">
        <f t="shared" si="4"/>
        <v>0</v>
      </c>
      <c r="F39" s="171">
        <f>SUMIF(修正!A57:A68,G2,修正!D57:D68)</f>
        <v>0.25</v>
      </c>
      <c r="G39" s="171">
        <f>ROUND(IF(E2="工业",C39*$M$42,C39*$M$41),0)</f>
        <v>1056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4224</v>
      </c>
      <c r="D40" s="2097"/>
      <c r="E40" s="171">
        <f t="shared" si="4"/>
        <v>0</v>
      </c>
      <c r="F40" s="175">
        <f>SUMIF(修正!A57:A68,G2,修正!E57:E68)</f>
        <v>0.25</v>
      </c>
      <c r="G40" s="171">
        <f>ROUND(IF(E2="工业",C40*$M$42,C40*$M$41),0)</f>
        <v>1056</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3273</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3275</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1.0506</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t="s">
        <v>3410</v>
      </c>
      <c r="D61" s="1065">
        <f t="shared" ref="D61:D69" si="12">SUMIF($J$60:$N$60,C61,J61:N61)</f>
        <v>1.2200000000000001E-2</v>
      </c>
      <c r="E61" s="744">
        <f>ROUND(SUM(D61:D69),4)</f>
        <v>5.0599999999999999E-2</v>
      </c>
      <c r="F61" s="1814">
        <f>IF(E2="办公",SUMIF(L1:L12,G2,N1:N12),"——")</f>
        <v>9.8000000000000004E-2</v>
      </c>
      <c r="G61" s="1063">
        <f>H61</f>
        <v>1.2200000000000001E-2</v>
      </c>
      <c r="H61" s="1066">
        <f t="shared" ref="H61:H69" si="13">IFERROR(ROUNDDOWN($F$61*I61/2,4),"——")</f>
        <v>1.2200000000000001E-2</v>
      </c>
      <c r="I61" s="3366">
        <v>0.25</v>
      </c>
      <c r="J61" s="1064">
        <f t="shared" ref="J61:J69" si="14">K61+$G61</f>
        <v>2.4400000000000002E-2</v>
      </c>
      <c r="K61" s="1064">
        <f t="shared" ref="K61:K69" si="15">$L61+$G61</f>
        <v>1.2200000000000001E-2</v>
      </c>
      <c r="L61" s="1064">
        <v>0</v>
      </c>
      <c r="M61" s="1064">
        <f t="shared" ref="M61:N69" si="16">L61-$G61</f>
        <v>-1.2200000000000001E-2</v>
      </c>
      <c r="N61" s="1064">
        <f t="shared" si="16"/>
        <v>-2.4400000000000002E-2</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t="s">
        <v>3410</v>
      </c>
      <c r="D62" s="1065">
        <f t="shared" si="12"/>
        <v>1.2699999999999999E-2</v>
      </c>
      <c r="E62" s="745"/>
      <c r="F62" s="1814"/>
      <c r="G62" s="1063">
        <f t="shared" ref="G62:G69" si="17">H62</f>
        <v>1.2699999999999999E-2</v>
      </c>
      <c r="H62" s="1066">
        <f t="shared" si="13"/>
        <v>1.2699999999999999E-2</v>
      </c>
      <c r="I62" s="3366">
        <v>0.26</v>
      </c>
      <c r="J62" s="1064">
        <f t="shared" si="14"/>
        <v>2.5399999999999999E-2</v>
      </c>
      <c r="K62" s="1064">
        <f t="shared" si="15"/>
        <v>1.2699999999999999E-2</v>
      </c>
      <c r="L62" s="1064">
        <v>0</v>
      </c>
      <c r="M62" s="1064">
        <f t="shared" si="16"/>
        <v>-1.2699999999999999E-2</v>
      </c>
      <c r="N62" s="1064">
        <f t="shared" si="16"/>
        <v>-2.5399999999999999E-2</v>
      </c>
      <c r="AA62" s="1120"/>
      <c r="AB62" s="1120"/>
      <c r="AC62" s="1120"/>
      <c r="AD62" s="1120"/>
      <c r="AE62" s="1120"/>
      <c r="AF62" s="1120"/>
      <c r="AG62" s="1120"/>
      <c r="AH62" s="1120"/>
      <c r="AI62" s="1120"/>
      <c r="AJ62" s="1120"/>
      <c r="AK62" s="1120"/>
    </row>
    <row r="63" spans="1:37" s="1119" customFormat="1" ht="36">
      <c r="A63" s="3368" t="s">
        <v>3275</v>
      </c>
      <c r="B63" s="2133">
        <f>估价对象房地状况!C19</f>
        <v>0</v>
      </c>
      <c r="C63" s="2043" t="s">
        <v>3410</v>
      </c>
      <c r="D63" s="1065">
        <f t="shared" si="12"/>
        <v>5.3E-3</v>
      </c>
      <c r="E63" s="745"/>
      <c r="F63" s="1814"/>
      <c r="G63" s="1063">
        <f t="shared" si="17"/>
        <v>5.3E-3</v>
      </c>
      <c r="H63" s="1066">
        <f t="shared" si="13"/>
        <v>5.3E-3</v>
      </c>
      <c r="I63" s="3366">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29" t="s">
        <v>2054</v>
      </c>
      <c r="B64" s="2134" t="s">
        <v>2055</v>
      </c>
      <c r="C64" s="2043" t="s">
        <v>3410</v>
      </c>
      <c r="D64" s="1065">
        <f t="shared" si="12"/>
        <v>2.3999999999999998E-3</v>
      </c>
      <c r="E64" s="745"/>
      <c r="F64" s="1814"/>
      <c r="G64" s="1063">
        <f t="shared" si="17"/>
        <v>2.3999999999999998E-3</v>
      </c>
      <c r="H64" s="1066">
        <f t="shared" si="13"/>
        <v>2.3999999999999998E-3</v>
      </c>
      <c r="I64" s="3366">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t="s">
        <v>3411</v>
      </c>
      <c r="D65" s="1065">
        <f t="shared" si="12"/>
        <v>0</v>
      </c>
      <c r="E65" s="745"/>
      <c r="F65" s="1814"/>
      <c r="G65" s="1063">
        <f t="shared" si="17"/>
        <v>2.3999999999999998E-3</v>
      </c>
      <c r="H65" s="1066">
        <f t="shared" si="13"/>
        <v>2.3999999999999998E-3</v>
      </c>
      <c r="I65" s="3366">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29" t="s">
        <v>2057</v>
      </c>
      <c r="B66" s="2135" t="s">
        <v>2058</v>
      </c>
      <c r="C66" s="2043" t="s">
        <v>3410</v>
      </c>
      <c r="D66" s="1065">
        <f t="shared" si="12"/>
        <v>2.8999999999999998E-3</v>
      </c>
      <c r="E66" s="745"/>
      <c r="F66" s="1814"/>
      <c r="G66" s="1063">
        <f t="shared" si="17"/>
        <v>2.8999999999999998E-3</v>
      </c>
      <c r="H66" s="1066">
        <f t="shared" si="13"/>
        <v>2.8999999999999998E-3</v>
      </c>
      <c r="I66" s="3366">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t="s">
        <v>3410</v>
      </c>
      <c r="D67" s="1065">
        <f t="shared" si="12"/>
        <v>2.8999999999999998E-3</v>
      </c>
      <c r="E67" s="745"/>
      <c r="F67" s="1814"/>
      <c r="G67" s="1063">
        <f t="shared" si="17"/>
        <v>2.8999999999999998E-3</v>
      </c>
      <c r="H67" s="1066">
        <f t="shared" si="13"/>
        <v>2.8999999999999998E-3</v>
      </c>
      <c r="I67" s="3366">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t="s">
        <v>3412</v>
      </c>
      <c r="D68" s="1065">
        <f t="shared" si="12"/>
        <v>8.8000000000000005E-3</v>
      </c>
      <c r="E68" s="745"/>
      <c r="F68" s="1814"/>
      <c r="G68" s="1063">
        <f t="shared" si="17"/>
        <v>4.4000000000000003E-3</v>
      </c>
      <c r="H68" s="1066">
        <f t="shared" si="13"/>
        <v>4.4000000000000003E-3</v>
      </c>
      <c r="I68" s="3366">
        <v>0.09</v>
      </c>
      <c r="J68" s="1064">
        <f t="shared" si="14"/>
        <v>8.8000000000000005E-3</v>
      </c>
      <c r="K68" s="1064">
        <f t="shared" si="15"/>
        <v>4.4000000000000003E-3</v>
      </c>
      <c r="L68" s="1064">
        <v>0</v>
      </c>
      <c r="M68" s="1064">
        <f t="shared" si="16"/>
        <v>-4.4000000000000003E-3</v>
      </c>
      <c r="N68" s="1064">
        <f t="shared" si="16"/>
        <v>-8.8000000000000005E-3</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t="s">
        <v>3410</v>
      </c>
      <c r="D69" s="1065">
        <f t="shared" si="12"/>
        <v>3.3999999999999998E-3</v>
      </c>
      <c r="E69" s="746"/>
      <c r="F69" s="1814"/>
      <c r="G69" s="1063">
        <f t="shared" si="17"/>
        <v>3.3999999999999998E-3</v>
      </c>
      <c r="H69" s="1066">
        <f t="shared" si="13"/>
        <v>3.3999999999999998E-3</v>
      </c>
      <c r="I69" s="3367">
        <v>7.0000000000000007E-2</v>
      </c>
      <c r="J69" s="1064">
        <f t="shared" si="14"/>
        <v>6.7999999999999996E-3</v>
      </c>
      <c r="K69" s="1064">
        <f t="shared" si="15"/>
        <v>3.3999999999999998E-3</v>
      </c>
      <c r="L69" s="1064">
        <v>0</v>
      </c>
      <c r="M69" s="1064">
        <f t="shared" si="16"/>
        <v>-3.3999999999999998E-3</v>
      </c>
      <c r="N69" s="1064">
        <f t="shared" si="16"/>
        <v>-6.7999999999999996E-3</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6" customFormat="1" ht="36">
      <c r="A74" s="3368" t="s">
        <v>3275</v>
      </c>
      <c r="B74" s="2133">
        <f>估价对象房地状况!C19</f>
        <v>0</v>
      </c>
      <c r="C74" s="2043"/>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7"/>
      <c r="AA76" s="2052"/>
      <c r="AG76" s="1121"/>
      <c r="AK76" s="2052"/>
    </row>
    <row r="77" spans="1:37" ht="25.5">
      <c r="A77" s="2129" t="s">
        <v>2060</v>
      </c>
      <c r="B77" s="1326" t="str">
        <f>估价对象房地状况!C22</f>
        <v>估价对象所在区域基础设施水平</v>
      </c>
      <c r="C77" s="2043"/>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7"/>
      <c r="AA77" s="2052"/>
      <c r="AG77" s="1121"/>
      <c r="AK77" s="2052"/>
    </row>
    <row r="78" spans="1:37" ht="24">
      <c r="A78" s="2129" t="s">
        <v>2057</v>
      </c>
      <c r="B78" s="2135" t="s">
        <v>2058</v>
      </c>
      <c r="C78" s="2043"/>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7"/>
      <c r="AA79" s="2052"/>
      <c r="AG79" s="1121"/>
      <c r="AK79" s="2052"/>
    </row>
    <row r="80" spans="1:37" ht="24.75" thickBot="1">
      <c r="A80" s="2137" t="s">
        <v>2068</v>
      </c>
      <c r="B80" s="2141"/>
      <c r="C80" s="2043"/>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3276</v>
      </c>
      <c r="B85" s="2133">
        <f>估价对象房地状况!G17</f>
        <v>0</v>
      </c>
      <c r="C85" s="2043"/>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2067</v>
      </c>
      <c r="B86" s="2133">
        <f>估价对象房地状况!G22</f>
        <v>0</v>
      </c>
      <c r="C86" s="2043"/>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2059</v>
      </c>
      <c r="B87" s="1326" t="str">
        <f>估价对象房地状况!G19</f>
        <v>估价对象所在区域公共配套设施齐备情况</v>
      </c>
      <c r="C87" s="2043"/>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29" t="s">
        <v>2060</v>
      </c>
      <c r="B88" s="1326" t="str">
        <f>估价对象房地状况!G20</f>
        <v>估价对象所在区域基础设施水平</v>
      </c>
      <c r="C88" s="2043"/>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29" t="s">
        <v>2057</v>
      </c>
      <c r="B89" s="2135" t="s">
        <v>2071</v>
      </c>
      <c r="C89" s="2043"/>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2072</v>
      </c>
      <c r="B90" s="2142" t="str">
        <f>估价对象房地状况!G18</f>
        <v>该园区内是否有污染型企业，绿化情况，卫生条件，整体环境状况判断</v>
      </c>
      <c r="C90" s="2043"/>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3"/>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3"/>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3"/>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3"/>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3"/>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3"/>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3"/>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3"/>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0" t="s">
        <v>3300</v>
      </c>
      <c r="B103" s="3750"/>
      <c r="C103" s="3750"/>
      <c r="D103" s="3750"/>
      <c r="E103" s="3750"/>
      <c r="F103" s="3750"/>
      <c r="G103" s="3750"/>
      <c r="H103" s="3750"/>
      <c r="I103" s="3750"/>
      <c r="J103" s="3750"/>
      <c r="K103" s="3389"/>
      <c r="L103" s="3389"/>
      <c r="M103" s="3389"/>
      <c r="N103" s="3389"/>
    </row>
    <row r="104" spans="1:14">
      <c r="A104" s="3751" t="s">
        <v>3301</v>
      </c>
      <c r="B104" s="3751" t="s">
        <v>3302</v>
      </c>
      <c r="C104" s="3390" t="s">
        <v>3303</v>
      </c>
      <c r="D104" s="3391"/>
      <c r="E104" s="3391"/>
      <c r="F104" s="3391"/>
      <c r="G104" s="3391"/>
      <c r="H104" s="3391"/>
      <c r="I104" s="3391"/>
      <c r="J104" s="3392"/>
      <c r="K104" s="3393"/>
      <c r="L104" s="3393"/>
      <c r="M104" s="3393"/>
      <c r="N104" s="3393"/>
    </row>
    <row r="105" spans="1:14">
      <c r="A105" s="3751"/>
      <c r="B105" s="3751"/>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37"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0" t="s">
        <v>3317</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8.6999999999999993</v>
      </c>
      <c r="C116" s="3399" t="s">
        <v>3319</v>
      </c>
      <c r="D116" s="3400">
        <f>SUMPRODUCT((A118:A122=F116)*(B117:M117=H116)*B118:M122)</f>
        <v>0.81799999999999995</v>
      </c>
      <c r="E116" s="1999" t="s">
        <v>3320</v>
      </c>
      <c r="F116" s="3401" t="str">
        <f>E2</f>
        <v>办公</v>
      </c>
      <c r="G116" s="1999" t="s">
        <v>3321</v>
      </c>
      <c r="H116" s="3401" t="str">
        <f>G2</f>
        <v>四级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0.90110000000000001</v>
      </c>
      <c r="C118" s="3387">
        <f>B118</f>
        <v>0.90110000000000001</v>
      </c>
      <c r="D118" s="3387">
        <f>ROUND(0.949-0.014*B116,4)</f>
        <v>0.82720000000000005</v>
      </c>
      <c r="E118" s="3387">
        <f>D118</f>
        <v>0.82720000000000005</v>
      </c>
      <c r="F118" s="3387">
        <f>E118</f>
        <v>0.82720000000000005</v>
      </c>
      <c r="G118" s="3387">
        <f>F118</f>
        <v>0.82720000000000005</v>
      </c>
      <c r="H118" s="3387">
        <f>G118</f>
        <v>0.82720000000000005</v>
      </c>
      <c r="I118" s="3387">
        <f>ROUND(0.8486-0.018*B116,4)</f>
        <v>0.69199999999999995</v>
      </c>
      <c r="J118" s="3387">
        <f t="shared" ref="J118:M122" si="36">I118</f>
        <v>0.69199999999999995</v>
      </c>
      <c r="K118" s="3387">
        <f t="shared" si="36"/>
        <v>0.69199999999999995</v>
      </c>
      <c r="L118" s="3387">
        <f t="shared" si="36"/>
        <v>0.69199999999999995</v>
      </c>
      <c r="M118" s="3410">
        <f t="shared" si="36"/>
        <v>0.69199999999999995</v>
      </c>
      <c r="N118" s="3397"/>
    </row>
    <row r="119" spans="1:14">
      <c r="A119" s="3409" t="s">
        <v>3335</v>
      </c>
      <c r="B119" s="3387">
        <f>ROUND(0.993-0.0112*B116,4)</f>
        <v>0.89559999999999995</v>
      </c>
      <c r="C119" s="3387">
        <f>B119</f>
        <v>0.89559999999999995</v>
      </c>
      <c r="D119" s="3387">
        <f>ROUND(0.9415-0.0142*B116,4)</f>
        <v>0.81799999999999995</v>
      </c>
      <c r="E119" s="3387">
        <f t="shared" ref="E119:H120" si="37">D119</f>
        <v>0.81799999999999995</v>
      </c>
      <c r="F119" s="3387">
        <f t="shared" si="37"/>
        <v>0.81799999999999995</v>
      </c>
      <c r="G119" s="3387">
        <f t="shared" si="37"/>
        <v>0.81799999999999995</v>
      </c>
      <c r="H119" s="3387">
        <f t="shared" si="37"/>
        <v>0.81799999999999995</v>
      </c>
      <c r="I119" s="3387">
        <f>ROUND(0.838-0.0182*B116,4)</f>
        <v>0.67969999999999997</v>
      </c>
      <c r="J119" s="3387">
        <f t="shared" si="36"/>
        <v>0.67969999999999997</v>
      </c>
      <c r="K119" s="3387">
        <f t="shared" si="36"/>
        <v>0.67969999999999997</v>
      </c>
      <c r="L119" s="3387">
        <f t="shared" si="36"/>
        <v>0.67969999999999997</v>
      </c>
      <c r="M119" s="3410">
        <f t="shared" si="36"/>
        <v>0.67969999999999997</v>
      </c>
      <c r="N119" s="3397"/>
    </row>
    <row r="120" spans="1:14">
      <c r="A120" s="3409" t="s">
        <v>3336</v>
      </c>
      <c r="B120" s="3387">
        <f>ROUND(0.9448-0.0115*B116,4)</f>
        <v>0.8448</v>
      </c>
      <c r="C120" s="3387">
        <f>B120</f>
        <v>0.8448</v>
      </c>
      <c r="D120" s="3387">
        <f>ROUND(0.937-0.0145*B116,4)</f>
        <v>0.81089999999999995</v>
      </c>
      <c r="E120" s="3387">
        <f t="shared" si="37"/>
        <v>0.81089999999999995</v>
      </c>
      <c r="F120" s="3387">
        <f t="shared" si="37"/>
        <v>0.81089999999999995</v>
      </c>
      <c r="G120" s="3387">
        <f t="shared" si="37"/>
        <v>0.81089999999999995</v>
      </c>
      <c r="H120" s="3387">
        <f t="shared" si="37"/>
        <v>0.81089999999999995</v>
      </c>
      <c r="I120" s="3387">
        <f>ROUND(0.7965-0.0185*B116,4)</f>
        <v>0.63560000000000005</v>
      </c>
      <c r="J120" s="3387">
        <f t="shared" si="36"/>
        <v>0.63560000000000005</v>
      </c>
      <c r="K120" s="3387">
        <f t="shared" si="36"/>
        <v>0.63560000000000005</v>
      </c>
      <c r="L120" s="3387">
        <f t="shared" si="36"/>
        <v>0.63560000000000005</v>
      </c>
      <c r="M120" s="3410">
        <f t="shared" si="36"/>
        <v>0.63560000000000005</v>
      </c>
      <c r="N120" s="3397"/>
    </row>
    <row r="121" spans="1:14" ht="13.5" thickBot="1">
      <c r="A121" s="3411" t="s">
        <v>3337</v>
      </c>
      <c r="B121" s="3412">
        <f>ROUND(0.7836-0.012*B116,4)</f>
        <v>0.67920000000000003</v>
      </c>
      <c r="C121" s="3412">
        <f>B121</f>
        <v>0.67920000000000003</v>
      </c>
      <c r="D121" s="3412">
        <f>ROUND(0.753-0.015*B116,4)</f>
        <v>0.62250000000000005</v>
      </c>
      <c r="E121" s="3412">
        <f>D121</f>
        <v>0.62250000000000005</v>
      </c>
      <c r="F121" s="3412">
        <f>E121</f>
        <v>0.62250000000000005</v>
      </c>
      <c r="G121" s="3412">
        <f>ROUND(0.6612-0.018*B116,4)</f>
        <v>0.50460000000000005</v>
      </c>
      <c r="H121" s="3412">
        <f>G121</f>
        <v>0.50460000000000005</v>
      </c>
      <c r="I121" s="3412">
        <f>ROUND(0.5905-0.019*B116,4)</f>
        <v>0.42520000000000002</v>
      </c>
      <c r="J121" s="3412">
        <f t="shared" si="36"/>
        <v>0.42520000000000002</v>
      </c>
      <c r="K121" s="3412">
        <f t="shared" si="36"/>
        <v>0.42520000000000002</v>
      </c>
      <c r="L121" s="3412">
        <f t="shared" si="36"/>
        <v>0.42520000000000002</v>
      </c>
      <c r="M121" s="3413">
        <f t="shared" si="36"/>
        <v>0.42520000000000002</v>
      </c>
      <c r="N121" s="3397"/>
    </row>
    <row r="122" spans="1:14">
      <c r="A122" s="3414" t="s">
        <v>2615</v>
      </c>
      <c r="B122" s="3387">
        <f>ROUND(0.9404-0.0106*B116,4)</f>
        <v>0.84819999999999995</v>
      </c>
      <c r="C122" s="3387">
        <f>B122</f>
        <v>0.84819999999999995</v>
      </c>
      <c r="D122" s="3387">
        <f>ROUND(0.8955-0.0135*B116,4)</f>
        <v>0.77810000000000001</v>
      </c>
      <c r="E122" s="3387">
        <f t="shared" ref="E122:H122" si="38">D122</f>
        <v>0.77810000000000001</v>
      </c>
      <c r="F122" s="3387">
        <f t="shared" si="38"/>
        <v>0.77810000000000001</v>
      </c>
      <c r="G122" s="3387">
        <f t="shared" si="38"/>
        <v>0.77810000000000001</v>
      </c>
      <c r="H122" s="3387">
        <f t="shared" si="38"/>
        <v>0.77810000000000001</v>
      </c>
      <c r="I122" s="3387">
        <f>ROUND(0.7632-0.0166*B116,4)</f>
        <v>0.61880000000000002</v>
      </c>
      <c r="J122" s="3387">
        <f t="shared" si="36"/>
        <v>0.61880000000000002</v>
      </c>
      <c r="K122" s="3387">
        <f t="shared" si="36"/>
        <v>0.61880000000000002</v>
      </c>
      <c r="L122" s="3387">
        <f t="shared" si="36"/>
        <v>0.61880000000000002</v>
      </c>
      <c r="M122" s="3410">
        <f t="shared" si="36"/>
        <v>0.61880000000000002</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41.55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385.0718</v>
      </c>
      <c r="C2" s="1387" t="s">
        <v>879</v>
      </c>
      <c r="D2" s="1471">
        <f ca="1">C40+J29+L46</f>
        <v>3850718</v>
      </c>
      <c r="E2" s="1388" t="s">
        <v>880</v>
      </c>
      <c r="F2" s="1389"/>
      <c r="G2" s="2705"/>
      <c r="H2" s="2694"/>
      <c r="I2" s="2694"/>
      <c r="J2" s="2694"/>
      <c r="K2" s="2695"/>
      <c r="L2" s="2694"/>
      <c r="M2" s="2694"/>
    </row>
    <row r="3" spans="1:37" ht="18" customHeight="1" thickBot="1">
      <c r="A3" s="1390" t="s">
        <v>881</v>
      </c>
      <c r="B3" s="1391">
        <f ca="1">IF(ISERROR(D2/F43),0,ROUND(D2/F43,0))</f>
        <v>29848</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212164</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211899</v>
      </c>
      <c r="D6" s="155" t="s">
        <v>2106</v>
      </c>
      <c r="E6" s="302" t="s">
        <v>696</v>
      </c>
      <c r="F6" s="303">
        <f ca="1">INDIRECT("'数据-取费表'!u"&amp;$G$1)</f>
        <v>5</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129.01</v>
      </c>
      <c r="G7" s="1384"/>
      <c r="H7" s="304"/>
      <c r="I7" s="3638"/>
      <c r="J7" s="306"/>
      <c r="K7" s="307"/>
      <c r="L7" s="302" t="s">
        <v>697</v>
      </c>
      <c r="M7" s="303">
        <f ca="1">F7</f>
        <v>129.01</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265</v>
      </c>
      <c r="D10" s="1366" t="s">
        <v>2116</v>
      </c>
      <c r="E10" s="313" t="s">
        <v>701</v>
      </c>
      <c r="F10" s="1116" t="s">
        <v>3413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893125</v>
      </c>
      <c r="D13" s="1081" t="s">
        <v>705</v>
      </c>
      <c r="E13" s="108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645050</v>
      </c>
      <c r="D14" s="1345" t="s">
        <v>708</v>
      </c>
      <c r="E14" s="1342"/>
      <c r="F14" s="319"/>
      <c r="G14" s="1384"/>
      <c r="H14" s="982" t="s">
        <v>398</v>
      </c>
      <c r="I14" s="302" t="s">
        <v>709</v>
      </c>
      <c r="J14" s="21">
        <f ca="1">C29</f>
        <v>920747</v>
      </c>
      <c r="K14" s="12"/>
      <c r="L14" s="807"/>
      <c r="M14" s="808"/>
    </row>
    <row r="15" spans="1:37" s="1397" customFormat="1" ht="18" customHeight="1" thickBot="1">
      <c r="A15" s="982" t="s">
        <v>399</v>
      </c>
      <c r="B15" s="302" t="s">
        <v>710</v>
      </c>
      <c r="C15" s="21">
        <f ca="1">ROUND(C14*F15,0)</f>
        <v>19352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9207</v>
      </c>
      <c r="K16" s="1087" t="s">
        <v>715</v>
      </c>
      <c r="L16" s="1088"/>
      <c r="M16" s="1072"/>
    </row>
    <row r="17" spans="1:37" s="1397" customFormat="1" ht="18" customHeight="1">
      <c r="A17" s="982" t="s">
        <v>681</v>
      </c>
      <c r="B17" s="302" t="s">
        <v>716</v>
      </c>
      <c r="C17" s="21">
        <f ca="1">ROUND(F17*(F43+INDIRECT("'数据-取费表'!S"&amp;$G$1)),0)</f>
        <v>25802</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9676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699880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13998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9207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29626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-9207</v>
      </c>
      <c r="K25" s="1095" t="s">
        <v>753</v>
      </c>
      <c r="L25" s="1096"/>
      <c r="M25" s="1097"/>
    </row>
    <row r="26" spans="1:37" ht="18" customHeight="1">
      <c r="A26" s="982" t="s">
        <v>397</v>
      </c>
      <c r="B26" s="302" t="s">
        <v>754</v>
      </c>
      <c r="C26" s="21">
        <f ca="1">ROUND((C19+C20)*F26,0)</f>
        <v>107082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920747</v>
      </c>
      <c r="D29" s="1092"/>
      <c r="E29" s="1090"/>
      <c r="F29" s="1093"/>
      <c r="G29" s="1396"/>
      <c r="H29" s="334" t="s">
        <v>396</v>
      </c>
      <c r="I29" s="335" t="s">
        <v>768</v>
      </c>
      <c r="J29" s="336">
        <f ca="1">ROUND(J26/(1+F40)^F41,0)</f>
        <v>0</v>
      </c>
      <c r="K29" s="337" t="s">
        <v>769</v>
      </c>
      <c r="L29" s="338"/>
      <c r="M29" s="339">
        <f ca="1">INDIRECT("'数据-取费表'!k"&amp;$G$1)</f>
        <v>129.01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47538</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35316</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11099</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24217</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9207</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893</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2122</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164626</v>
      </c>
      <c r="D39" s="1095" t="s">
        <v>773</v>
      </c>
      <c r="E39" s="1096"/>
      <c r="F39" s="1097"/>
      <c r="G39" s="1384"/>
      <c r="H39" s="2699"/>
      <c r="I39" s="1398"/>
      <c r="J39" s="1399"/>
      <c r="K39" s="2703"/>
      <c r="L39" s="2699"/>
      <c r="M39" s="2699"/>
    </row>
    <row r="40" spans="1:18" ht="18" customHeight="1">
      <c r="A40" s="299" t="s">
        <v>395</v>
      </c>
      <c r="B40" s="300" t="s">
        <v>774</v>
      </c>
      <c r="C40" s="301">
        <f ca="1">ROUND(C39*(1-((1+F42)/(1+F40))^F41)/(F40-F42),0)</f>
        <v>3832472</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41.55</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29707</v>
      </c>
      <c r="D43" s="337" t="s">
        <v>777</v>
      </c>
      <c r="E43" s="338" t="s">
        <v>778</v>
      </c>
      <c r="F43" s="339">
        <f ca="1">INDIRECT("'数据-取费表'!k"&amp;$G$1)</f>
        <v>129.01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f ca="1">ROUND((C68-C40)/10000,4)</f>
        <v>-399.62560000000002</v>
      </c>
      <c r="D45" s="3431" t="s">
        <v>3359</v>
      </c>
      <c r="E45" s="1400"/>
      <c r="F45" s="1400"/>
      <c r="O45" s="1403" t="s">
        <v>808</v>
      </c>
      <c r="P45" s="1461"/>
      <c r="Q45" s="1461"/>
      <c r="R45" s="1461"/>
    </row>
    <row r="46" spans="1:18" s="1384" customFormat="1" ht="13.5" thickBot="1">
      <c r="A46" s="1404" t="s">
        <v>809</v>
      </c>
      <c r="C46" s="1405">
        <f ca="1">ROUND(C45,0)</f>
        <v>-400</v>
      </c>
      <c r="D46" s="1406" t="str">
        <f>C2</f>
        <v>万元</v>
      </c>
      <c r="I46" s="1407" t="s">
        <v>810</v>
      </c>
      <c r="J46" s="1408"/>
      <c r="K46" s="1409"/>
      <c r="L46" s="1410">
        <f ca="1">IF(M47="住宅",0,IF(L48&gt;J51,L60,J60))</f>
        <v>18246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3414</v>
      </c>
      <c r="K47" s="1416" t="s">
        <v>816</v>
      </c>
      <c r="L47" s="1417">
        <f ca="1">INDIRECT("'数据-取费表'!d"&amp;$G$1)</f>
        <v>50</v>
      </c>
      <c r="M47" s="1380" t="str">
        <f>IF(ISNUMBER(FIND("住宅",C1)),"住宅","非住宅")</f>
        <v>非住宅</v>
      </c>
      <c r="O47" s="1418" t="s">
        <v>403</v>
      </c>
      <c r="P47" s="1419" t="s">
        <v>817</v>
      </c>
      <c r="Q47" s="1420">
        <f ca="1">C40+J29</f>
        <v>3832472</v>
      </c>
      <c r="R47" s="1420" t="s">
        <v>818</v>
      </c>
    </row>
    <row r="48" spans="1:18" s="1384" customFormat="1" ht="28.5" thickBot="1">
      <c r="A48" s="1110" t="s">
        <v>438</v>
      </c>
      <c r="B48" s="300" t="s">
        <v>692</v>
      </c>
      <c r="C48" s="1359">
        <f ca="1">C49+C53+C55</f>
        <v>0</v>
      </c>
      <c r="D48" s="1112"/>
      <c r="E48" s="1113"/>
      <c r="F48" s="962"/>
      <c r="G48" s="722"/>
      <c r="H48" s="723"/>
      <c r="I48" s="1421" t="s">
        <v>819</v>
      </c>
      <c r="J48" s="1422" t="s">
        <v>3415</v>
      </c>
      <c r="K48" s="1423" t="s">
        <v>820</v>
      </c>
      <c r="L48" s="1424">
        <f ca="1">INDIRECT("'数据-取费表'!f"&amp;$G$1)</f>
        <v>41.55</v>
      </c>
      <c r="O48" s="1418" t="s">
        <v>404</v>
      </c>
      <c r="P48" s="1419" t="s">
        <v>821</v>
      </c>
      <c r="Q48" s="1420">
        <f ca="1">J60</f>
        <v>18246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920747</v>
      </c>
      <c r="R49" s="1420" t="s">
        <v>818</v>
      </c>
    </row>
    <row r="50" spans="1:18" s="1384" customFormat="1" ht="13.5" thickBot="1">
      <c r="A50" s="976"/>
      <c r="B50" s="979"/>
      <c r="C50" s="980"/>
      <c r="D50" s="953"/>
      <c r="E50" s="1056" t="s">
        <v>697</v>
      </c>
      <c r="F50" s="1057">
        <f ca="1">F7</f>
        <v>129.01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1921612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41.55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41.55</v>
      </c>
      <c r="K53" s="3635" t="s">
        <v>837</v>
      </c>
      <c r="L53" s="3636"/>
      <c r="O53" s="1418" t="s">
        <v>409</v>
      </c>
      <c r="P53" s="1419" t="s">
        <v>838</v>
      </c>
      <c r="Q53" s="1420">
        <f ca="1">Q47+Q48</f>
        <v>3850718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0.27400000000000002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893125</v>
      </c>
      <c r="D56" s="1447"/>
      <c r="E56" s="1448"/>
      <c r="F56" s="1440"/>
      <c r="I56" s="1449" t="s">
        <v>842</v>
      </c>
      <c r="J56" s="1450" t="s">
        <v>3416</v>
      </c>
      <c r="K56" s="1421" t="s">
        <v>843</v>
      </c>
      <c r="L56" s="1424" t="str">
        <f ca="1">IF(L48&lt;J51,"——",L48-J51)</f>
        <v>——</v>
      </c>
      <c r="O56" s="1418" t="s">
        <v>403</v>
      </c>
      <c r="P56" s="1419" t="s">
        <v>817</v>
      </c>
      <c r="Q56" s="1420">
        <f ca="1">C40+J29</f>
        <v>3832472</v>
      </c>
      <c r="R56" s="1420" t="s">
        <v>818</v>
      </c>
    </row>
    <row r="57" spans="1:18" s="1384" customFormat="1" ht="24.75" thickBot="1">
      <c r="A57" s="1451"/>
      <c r="B57" s="950" t="s">
        <v>767</v>
      </c>
      <c r="C57" s="238">
        <f ca="1">C29</f>
        <v>920747</v>
      </c>
      <c r="D57" s="1452"/>
      <c r="E57" s="1453"/>
      <c r="F57" s="1454"/>
      <c r="I57" s="1455" t="s">
        <v>844</v>
      </c>
      <c r="J57" s="1456">
        <f ca="1">IF(OR(M47="住宅",J51&lt;L48,J56="是"),"——",J51-L48)</f>
        <v>16.450000000000003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10100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368299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18246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3832472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9207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893</v>
      </c>
      <c r="D65" s="964" t="s">
        <v>743</v>
      </c>
      <c r="E65" s="950" t="s">
        <v>744</v>
      </c>
      <c r="F65" s="330">
        <f t="shared" ca="1" si="0"/>
        <v>1E-3</v>
      </c>
      <c r="I65" s="1462" t="s">
        <v>867</v>
      </c>
      <c r="J65" s="1463">
        <v>40</v>
      </c>
      <c r="K65" s="1463">
        <v>30</v>
      </c>
      <c r="L65" s="1463">
        <v>50</v>
      </c>
      <c r="M65" s="1465">
        <v>0.02</v>
      </c>
      <c r="O65" s="1418" t="s">
        <v>403</v>
      </c>
      <c r="P65" s="1419" t="s">
        <v>868</v>
      </c>
      <c r="Q65" s="1420">
        <f ca="1">C40+J29</f>
        <v>3832472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-10100</v>
      </c>
      <c r="D67" s="963" t="s">
        <v>753</v>
      </c>
      <c r="E67" s="968"/>
      <c r="F67" s="969"/>
      <c r="O67" s="1428" t="s">
        <v>405</v>
      </c>
      <c r="P67" s="1419" t="s">
        <v>850</v>
      </c>
      <c r="Q67" s="1466">
        <f ca="1">L51</f>
        <v>1921612</v>
      </c>
      <c r="R67" s="1420" t="s">
        <v>870</v>
      </c>
    </row>
    <row r="68" spans="1:18" s="1384" customFormat="1" ht="16.5" thickBot="1">
      <c r="A68" s="947" t="s">
        <v>395</v>
      </c>
      <c r="B68" s="948" t="s">
        <v>774</v>
      </c>
      <c r="C68" s="301">
        <f ca="1">ROUND(C67*(1-((1+F70)/(1+F68))^F69)/(F68-F70),0)</f>
        <v>-163784</v>
      </c>
      <c r="D68" s="965" t="s">
        <v>758</v>
      </c>
      <c r="E68" s="950" t="s">
        <v>759</v>
      </c>
      <c r="F68" s="312">
        <f ca="1">F40</f>
        <v>5.5E-2</v>
      </c>
      <c r="O68" s="1428" t="s">
        <v>406</v>
      </c>
      <c r="P68" s="1467" t="s">
        <v>871</v>
      </c>
      <c r="Q68" s="1420">
        <f ca="1">ROUND(Q69-Q70*Q71,0)</f>
        <v>102107</v>
      </c>
      <c r="R68" s="1420" t="s">
        <v>414</v>
      </c>
    </row>
    <row r="69" spans="1:18" s="1384" customFormat="1" ht="13.5" thickBot="1">
      <c r="A69" s="951"/>
      <c r="B69" s="952"/>
      <c r="C69" s="306"/>
      <c r="D69" s="970" t="s">
        <v>762</v>
      </c>
      <c r="E69" s="950" t="s">
        <v>763</v>
      </c>
      <c r="F69" s="333">
        <f ca="1">F41</f>
        <v>41.55</v>
      </c>
      <c r="O69" s="1428" t="s">
        <v>411</v>
      </c>
      <c r="P69" s="1467" t="s">
        <v>872</v>
      </c>
      <c r="Q69" s="1420">
        <f ca="1">C39</f>
        <v>164626</v>
      </c>
      <c r="R69" s="1420" t="s">
        <v>818</v>
      </c>
    </row>
    <row r="70" spans="1:18" s="1384" customFormat="1" ht="13.5" thickBot="1">
      <c r="A70" s="954"/>
      <c r="B70" s="955"/>
      <c r="C70" s="310"/>
      <c r="D70" s="966"/>
      <c r="E70" s="950" t="s">
        <v>766</v>
      </c>
      <c r="F70" s="1054"/>
      <c r="O70" s="1428" t="s">
        <v>412</v>
      </c>
      <c r="P70" s="1467" t="s">
        <v>873</v>
      </c>
      <c r="Q70" s="1420">
        <f ca="1">C13</f>
        <v>893125</v>
      </c>
      <c r="R70" s="1420" t="s">
        <v>818</v>
      </c>
    </row>
    <row r="71" spans="1:18" s="1384" customFormat="1" ht="13.5" thickBot="1">
      <c r="A71" s="971" t="s">
        <v>396</v>
      </c>
      <c r="B71" s="972" t="s">
        <v>776</v>
      </c>
      <c r="C71" s="336">
        <f ca="1">ROUND(C68/F71,0)</f>
        <v>-1270</v>
      </c>
      <c r="D71" s="973" t="s">
        <v>777</v>
      </c>
      <c r="E71" s="974" t="s">
        <v>778</v>
      </c>
      <c r="F71" s="339">
        <f ca="1">F43</f>
        <v>129.01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62519</v>
      </c>
      <c r="D75" s="1384"/>
      <c r="E75" s="1384"/>
      <c r="F75" s="1384"/>
      <c r="K75" s="1402"/>
      <c r="L75" s="1384"/>
      <c r="O75" s="1418" t="s">
        <v>409</v>
      </c>
      <c r="P75" s="1419" t="s">
        <v>838</v>
      </c>
      <c r="Q75" s="1420">
        <f ca="1">Q65+Q66</f>
        <v>3832472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v>
      </c>
    </row>
    <row r="80" spans="1:18">
      <c r="B80" s="340" t="s">
        <v>800</v>
      </c>
      <c r="C80" s="274">
        <f ca="1">ROUND(C75/C39,3)</f>
        <v>0.38</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3365</v>
      </c>
      <c r="E2" s="3443"/>
      <c r="F2" s="2845"/>
      <c r="G2" s="2846"/>
      <c r="H2" s="2847"/>
      <c r="I2" s="2848"/>
      <c r="J2" s="3640" t="s">
        <v>2320</v>
      </c>
      <c r="K2" s="3641"/>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2" t="s">
        <v>2330</v>
      </c>
      <c r="K3" s="3643"/>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2" t="s">
        <v>2332</v>
      </c>
      <c r="K4" s="3643"/>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44" t="s">
        <v>2336</v>
      </c>
      <c r="B6" s="3645"/>
      <c r="C6" s="3646"/>
      <c r="D6" s="2869"/>
      <c r="E6" s="2870"/>
      <c r="F6" s="2871"/>
      <c r="G6" s="2872"/>
      <c r="H6" s="2847"/>
      <c r="I6" s="2848"/>
      <c r="J6" s="3647">
        <v>1</v>
      </c>
      <c r="K6" s="3648"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7"/>
      <c r="K7" s="3649"/>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1" t="s">
        <v>2350</v>
      </c>
      <c r="C8" s="3652"/>
      <c r="D8" s="2888" t="s">
        <v>2351</v>
      </c>
      <c r="E8" s="2889" t="s">
        <v>2352</v>
      </c>
      <c r="F8" s="2890" t="s">
        <v>2353</v>
      </c>
      <c r="G8" s="2891"/>
      <c r="H8" s="2847"/>
      <c r="I8" s="2848"/>
      <c r="J8" s="3647"/>
      <c r="K8" s="3649"/>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1" t="s">
        <v>2356</v>
      </c>
      <c r="C9" s="3652"/>
      <c r="D9" s="2888">
        <f>ROUND(D6*E9,0)</f>
        <v>0</v>
      </c>
      <c r="E9" s="2892"/>
      <c r="F9" s="2893" t="s">
        <v>2357</v>
      </c>
      <c r="G9" s="2872"/>
      <c r="H9" s="2847"/>
      <c r="I9" s="2848"/>
      <c r="J9" s="3647"/>
      <c r="K9" s="3649"/>
      <c r="L9" s="2882" t="s">
        <v>2358</v>
      </c>
      <c r="M9" s="2883"/>
      <c r="N9" s="2859"/>
      <c r="O9" s="2884"/>
      <c r="P9" s="2884"/>
      <c r="Q9" s="2885">
        <v>365</v>
      </c>
      <c r="R9" s="2886">
        <f t="shared" si="0"/>
        <v>0</v>
      </c>
      <c r="S9" s="2840"/>
      <c r="T9" s="2840"/>
      <c r="U9" s="2840"/>
      <c r="V9" s="2848"/>
    </row>
    <row r="10" spans="1:22" s="2852" customFormat="1" ht="13.15" customHeight="1">
      <c r="A10" s="2887">
        <v>2</v>
      </c>
      <c r="B10" s="3651" t="s">
        <v>2359</v>
      </c>
      <c r="C10" s="3652"/>
      <c r="D10" s="2888">
        <f>ROUND(D6*E10,0)</f>
        <v>0</v>
      </c>
      <c r="E10" s="2892"/>
      <c r="F10" s="2893" t="s">
        <v>2360</v>
      </c>
      <c r="G10" s="2872"/>
      <c r="H10" s="2847"/>
      <c r="I10" s="2848"/>
      <c r="J10" s="3647"/>
      <c r="K10" s="3649"/>
      <c r="L10" s="2882" t="s">
        <v>2361</v>
      </c>
      <c r="M10" s="2883"/>
      <c r="N10" s="2859"/>
      <c r="O10" s="2884"/>
      <c r="P10" s="2884"/>
      <c r="Q10" s="2885">
        <v>365</v>
      </c>
      <c r="R10" s="2886">
        <f t="shared" si="0"/>
        <v>0</v>
      </c>
      <c r="S10" s="2840"/>
      <c r="T10" s="2840"/>
      <c r="U10" s="2840"/>
      <c r="V10" s="2848"/>
    </row>
    <row r="11" spans="1:22" s="2852" customFormat="1" ht="13.15" customHeight="1">
      <c r="A11" s="2887">
        <v>3</v>
      </c>
      <c r="B11" s="3651" t="s">
        <v>2362</v>
      </c>
      <c r="C11" s="3652"/>
      <c r="D11" s="2888">
        <f>D12+D14+D15+D16</f>
        <v>0</v>
      </c>
      <c r="E11" s="2894" t="e">
        <f>D11/D6</f>
        <v>#DIV/0!</v>
      </c>
      <c r="F11" s="2890"/>
      <c r="G11" s="2891"/>
      <c r="H11" s="2847"/>
      <c r="I11" s="2848"/>
      <c r="J11" s="3647"/>
      <c r="K11" s="3649"/>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3" t="s">
        <v>2365</v>
      </c>
      <c r="C12" s="3654"/>
      <c r="D12" s="2896">
        <f>ROUND(D13*1.2%*(1-30%),0)</f>
        <v>0</v>
      </c>
      <c r="E12" s="2897">
        <v>1.2E-2</v>
      </c>
      <c r="F12" s="2890" t="s">
        <v>2366</v>
      </c>
      <c r="G12" s="2891"/>
      <c r="H12" s="2847"/>
      <c r="I12" s="2848"/>
      <c r="J12" s="3647"/>
      <c r="K12" s="3649"/>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7"/>
      <c r="K13" s="3649"/>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3" t="s">
        <v>2371</v>
      </c>
      <c r="C14" s="3654"/>
      <c r="D14" s="2896">
        <f>ROUND(E14*B5/10000,0)</f>
        <v>0</v>
      </c>
      <c r="E14" s="2885"/>
      <c r="F14" s="2890" t="s">
        <v>2372</v>
      </c>
      <c r="G14" s="2891"/>
      <c r="H14" s="2847"/>
      <c r="I14" s="2848"/>
      <c r="J14" s="3647"/>
      <c r="K14" s="3650"/>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3" t="s">
        <v>2375</v>
      </c>
      <c r="C15" s="3654"/>
      <c r="D15" s="2896">
        <f>ROUND(D6*E15,0)</f>
        <v>0</v>
      </c>
      <c r="E15" s="2897">
        <v>5.5E-2</v>
      </c>
      <c r="F15" s="2890" t="s">
        <v>2376</v>
      </c>
      <c r="G15" s="2872"/>
      <c r="H15" s="2847"/>
      <c r="I15" s="2848"/>
      <c r="J15" s="3647">
        <v>2</v>
      </c>
      <c r="K15" s="3648"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3" t="s">
        <v>2384</v>
      </c>
      <c r="C16" s="3654"/>
      <c r="D16" s="2907">
        <f>D6*E16</f>
        <v>0</v>
      </c>
      <c r="E16" s="2908"/>
      <c r="F16" s="2893" t="s">
        <v>2385</v>
      </c>
      <c r="G16" s="2872"/>
      <c r="H16" s="2847"/>
      <c r="I16" s="2848"/>
      <c r="J16" s="3647"/>
      <c r="K16" s="3649"/>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5" t="s">
        <v>2387</v>
      </c>
      <c r="C17" s="3656"/>
      <c r="D17" s="2910">
        <f>ROUND(D6*E17,0)</f>
        <v>0</v>
      </c>
      <c r="E17" s="2911"/>
      <c r="F17" s="2912" t="s">
        <v>2388</v>
      </c>
      <c r="G17" s="2872"/>
      <c r="H17" s="2847"/>
      <c r="I17" s="2848"/>
      <c r="J17" s="3647"/>
      <c r="K17" s="3649"/>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7"/>
      <c r="K18" s="3649"/>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7"/>
      <c r="K19" s="3650"/>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7">
        <v>3</v>
      </c>
      <c r="K20" s="3648"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7"/>
      <c r="K21" s="3649"/>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7"/>
      <c r="K22" s="3649"/>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7"/>
      <c r="K23" s="3649"/>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7"/>
      <c r="K24" s="3650"/>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57">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5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0" t="s">
        <v>2320</v>
      </c>
      <c r="K32" s="3641"/>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2" t="s">
        <v>2330</v>
      </c>
      <c r="K33" s="3643"/>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2" t="s">
        <v>2332</v>
      </c>
      <c r="K34" s="364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7">
        <v>1</v>
      </c>
      <c r="K36" s="3648"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7"/>
      <c r="K40" s="3650"/>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7">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5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385.0718</v>
      </c>
      <c r="C2" s="1872" t="s">
        <v>1651</v>
      </c>
      <c r="D2" s="1873" t="s">
        <v>1652</v>
      </c>
      <c r="E2" s="2606">
        <f>SUM(E6:E13)</f>
        <v>129.01</v>
      </c>
      <c r="F2" s="2706"/>
      <c r="G2" s="1489"/>
      <c r="H2" s="1489"/>
      <c r="I2" s="1489"/>
      <c r="J2" s="1489"/>
      <c r="K2" s="1489"/>
      <c r="L2" s="1489"/>
      <c r="M2" s="1489"/>
      <c r="N2" s="1489"/>
      <c r="O2" s="1489"/>
      <c r="P2" s="1489"/>
      <c r="Q2" s="1489"/>
      <c r="R2" s="1489"/>
      <c r="S2" s="1489"/>
    </row>
    <row r="3" spans="1:22" ht="15.75">
      <c r="A3" s="1870" t="s">
        <v>686</v>
      </c>
      <c r="B3" s="2600">
        <f ca="1">ROUND(B2*10000/E2,0)</f>
        <v>29848</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59" t="s">
        <v>1654</v>
      </c>
      <c r="C5" s="3660"/>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385.0718</v>
      </c>
      <c r="C6" s="1872" t="s">
        <v>1651</v>
      </c>
      <c r="D6" s="2708"/>
      <c r="E6" s="2605">
        <f>IF(OR(A6=0,F6="否"),0,'数据-取费表'!K6+'数据-取费表'!S6)</f>
        <v>129.01</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129.01</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44987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129.01</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08" t="s">
        <v>1771</v>
      </c>
      <c r="S4" s="3709"/>
      <c r="T4" s="3708" t="s">
        <v>1772</v>
      </c>
      <c r="U4" s="3709"/>
      <c r="V4" s="3717" t="s">
        <v>1773</v>
      </c>
      <c r="W4" s="3717"/>
      <c r="X4" s="1957"/>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4"/>
      <c r="M5" s="2715"/>
      <c r="N5" s="2715"/>
      <c r="O5" s="2715"/>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44987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1"/>
      <c r="M18" s="2715"/>
      <c r="N18" s="2715"/>
      <c r="O18" s="2715"/>
      <c r="P18" s="3706"/>
      <c r="Q18" s="1352"/>
      <c r="R18" s="705"/>
      <c r="S18" s="706"/>
      <c r="T18" s="705"/>
      <c r="U18" s="706"/>
      <c r="V18" s="705"/>
      <c r="W18" s="706"/>
      <c r="X18" s="1355"/>
      <c r="Y18" s="3699"/>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1"/>
      <c r="M20" s="2715"/>
      <c r="N20" s="2715"/>
      <c r="O20" s="2715"/>
      <c r="P20" s="3706"/>
      <c r="Q20" s="1352"/>
      <c r="R20" s="705"/>
      <c r="S20" s="706"/>
      <c r="T20" s="705"/>
      <c r="U20" s="706"/>
      <c r="V20" s="705"/>
      <c r="W20" s="706"/>
      <c r="X20" s="1355"/>
      <c r="Y20" s="3699"/>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06"/>
      <c r="Q22" s="1352"/>
      <c r="R22" s="705"/>
      <c r="S22" s="706"/>
      <c r="T22" s="705"/>
      <c r="U22" s="706"/>
      <c r="V22" s="705"/>
      <c r="W22" s="706"/>
      <c r="X22" s="1355"/>
      <c r="Y22" s="3699"/>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1"/>
      <c r="M24" s="2715"/>
      <c r="N24" s="2715"/>
      <c r="O24" s="2715"/>
      <c r="P24" s="3706"/>
      <c r="Q24" s="1352"/>
      <c r="R24" s="705"/>
      <c r="S24" s="706"/>
      <c r="T24" s="705"/>
      <c r="U24" s="706"/>
      <c r="V24" s="705"/>
      <c r="W24" s="706"/>
      <c r="X24" s="1355"/>
      <c r="Y24" s="3699"/>
      <c r="Z24" s="1356"/>
      <c r="AA24" s="1353">
        <v>1</v>
      </c>
      <c r="AB24" s="1353">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706"/>
      <c r="Q26" s="1352"/>
      <c r="R26" s="705"/>
      <c r="S26" s="706"/>
      <c r="T26" s="705"/>
      <c r="U26" s="706"/>
      <c r="V26" s="705"/>
      <c r="W26" s="706"/>
      <c r="X26" s="1355"/>
      <c r="Y26" s="3699"/>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估价对象为北京市房地产，为所有。根据《国有土地使用证》[]，估价对象（分摊）出让国有建设用地使用权面积为0平方米，建筑面积为129.01平方米。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估价对象为北京市房地产,属开发建设的，该项目尚在开发建设中。根据《国有土地使用证》[]，估价对象（分摊）出让国有建设用地使用权面积为0平方米，规划建筑面积为129.01平方米。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129.01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44987</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44987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2" t="s">
        <v>3360</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44987</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44987</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8"/>
      <c r="M10" s="2719"/>
      <c r="N10" s="2719"/>
      <c r="O10" s="2772"/>
      <c r="P10" s="3696"/>
      <c r="Q10" s="1343" t="str">
        <f t="shared" si="6"/>
        <v>土地使用年限（年）</v>
      </c>
      <c r="R10" s="701" t="s">
        <v>14</v>
      </c>
      <c r="S10" s="702">
        <f t="shared" si="0"/>
        <v>105</v>
      </c>
      <c r="T10" s="701" t="s">
        <v>14</v>
      </c>
      <c r="U10" s="702">
        <f t="shared" si="1"/>
        <v>105</v>
      </c>
      <c r="V10" s="701" t="s">
        <v>14</v>
      </c>
      <c r="W10" s="702">
        <f t="shared" si="2"/>
        <v>105</v>
      </c>
      <c r="X10" s="703"/>
      <c r="Y10" s="3608"/>
      <c r="Z10" s="52" t="str">
        <f t="shared" si="7"/>
        <v>土地使用年限（年）</v>
      </c>
      <c r="AA10" s="704">
        <f t="shared" si="3"/>
        <v>0.95238095238095233</v>
      </c>
      <c r="AB10" s="704">
        <f t="shared" si="4"/>
        <v>0.95238095238095233</v>
      </c>
      <c r="AC10" s="704">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9" t="s">
        <v>1887</v>
      </c>
      <c r="H55" s="372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129.01</v>
      </c>
      <c r="F56" s="886" t="e">
        <f t="shared" ref="F56:F64" si="15">ROUND(B56*E56/10000,0)</f>
        <v>#DIV/0!</v>
      </c>
      <c r="G56" s="3678"/>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5">
        <v>0.25</v>
      </c>
      <c r="E60" s="217">
        <f>'数据-汇总表'!E11</f>
        <v>0</v>
      </c>
      <c r="F60" s="886" t="e">
        <f t="shared" si="15"/>
        <v>#DIV/0!</v>
      </c>
      <c r="G60" s="1986" t="s">
        <v>1896</v>
      </c>
      <c r="H60" s="887" t="str">
        <f>项目基本情况!C37</f>
        <v>四级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5">
        <v>0.25</v>
      </c>
      <c r="E64" s="217">
        <f>'数据-汇总表'!E15</f>
        <v>0</v>
      </c>
      <c r="F64" s="886" t="e">
        <f t="shared" si="15"/>
        <v>#DIV/0!</v>
      </c>
      <c r="G64" s="1987" t="s">
        <v>1896</v>
      </c>
      <c r="H64" s="897" t="str">
        <f>项目基本情况!C37</f>
        <v>四级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129.01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44987</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8"/>
      <c r="M10" s="2719"/>
      <c r="N10" s="2719"/>
      <c r="O10" s="2772"/>
      <c r="P10" s="3696"/>
      <c r="Q10" s="1343" t="str">
        <f t="shared" si="6"/>
        <v>土地使用年限（年）</v>
      </c>
      <c r="R10" s="701" t="s">
        <v>14</v>
      </c>
      <c r="S10" s="702">
        <f t="shared" si="0"/>
        <v>105</v>
      </c>
      <c r="T10" s="701" t="s">
        <v>14</v>
      </c>
      <c r="U10" s="702">
        <f t="shared" si="1"/>
        <v>105</v>
      </c>
      <c r="V10" s="701" t="s">
        <v>14</v>
      </c>
      <c r="W10" s="702">
        <f t="shared" si="2"/>
        <v>105</v>
      </c>
      <c r="X10" s="703"/>
      <c r="Y10" s="3608"/>
      <c r="Z10" s="52" t="str">
        <f t="shared" si="7"/>
        <v>土地使用年限（年）</v>
      </c>
      <c r="AA10" s="704">
        <f t="shared" si="3"/>
        <v>0.95238095238095233</v>
      </c>
      <c r="AB10" s="704">
        <f t="shared" si="4"/>
        <v>0.95238095238095233</v>
      </c>
      <c r="AC10" s="704">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1"/>
      <c r="M20" s="2715"/>
      <c r="N20" s="2715"/>
      <c r="O20" s="2773"/>
      <c r="P20" s="3699"/>
      <c r="Q20" s="1352"/>
      <c r="R20" s="705"/>
      <c r="S20" s="706"/>
      <c r="T20" s="705"/>
      <c r="U20" s="706"/>
      <c r="V20" s="705"/>
      <c r="W20" s="706"/>
      <c r="X20" s="1355"/>
      <c r="Y20" s="3699"/>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9" t="s">
        <v>1887</v>
      </c>
      <c r="H50" s="3726"/>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129.01</v>
      </c>
      <c r="F51" s="639" t="e">
        <f t="shared" ref="F51:F60" si="15">ROUND(B51*E51/10000,0)</f>
        <v>#DIV/0!</v>
      </c>
      <c r="G51" s="3678"/>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0</v>
      </c>
      <c r="F56" s="639" t="e">
        <f t="shared" si="15"/>
        <v>#DIV/0!</v>
      </c>
      <c r="G56" s="1986" t="s">
        <v>1896</v>
      </c>
      <c r="H56" s="887" t="str">
        <f>项目基本情况!C37</f>
        <v>四级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四级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188</v>
      </c>
      <c r="C2" s="2144" t="s">
        <v>2074</v>
      </c>
      <c r="D2" s="2144" t="s">
        <v>2075</v>
      </c>
      <c r="E2" s="2611">
        <f ca="1">SUMIF(E6:E13,"&lt;&gt;#ref!",E6:E13)</f>
        <v>129.01</v>
      </c>
      <c r="F2" s="2792"/>
      <c r="G2" s="2792"/>
      <c r="H2" s="2792"/>
      <c r="I2" s="2792"/>
      <c r="J2" s="2792"/>
      <c r="K2" s="2792"/>
      <c r="L2" s="2792"/>
      <c r="M2" s="2792"/>
      <c r="N2" s="2792"/>
      <c r="O2" s="2792"/>
      <c r="P2" s="2792"/>
    </row>
    <row r="3" spans="1:16" ht="15.75">
      <c r="A3" s="2144" t="s">
        <v>2076</v>
      </c>
      <c r="B3" s="2601">
        <f ca="1">ROUND(B2*10000/E2,0)</f>
        <v>14573</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188</v>
      </c>
      <c r="C6" s="2144" t="s">
        <v>2074</v>
      </c>
      <c r="D6" s="2792"/>
      <c r="E6" s="2611">
        <f ca="1">SUMIF(INDIRECT("'"&amp;A6&amp;"'"&amp;"!C:C"),"建筑面积",INDIRECT("'"&amp;A6&amp;"'"&amp;"!D:D"))</f>
        <v>129.01</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3" t="s">
        <v>2610</v>
      </c>
      <c r="B20" s="3756" t="s">
        <v>2631</v>
      </c>
      <c r="C20" s="3102" t="s">
        <v>2442</v>
      </c>
      <c r="D20" s="3103"/>
      <c r="E20" s="3104">
        <v>1</v>
      </c>
      <c r="F20" s="3105" t="s">
        <v>2443</v>
      </c>
      <c r="G20" s="3105"/>
    </row>
    <row r="21" spans="1:13" ht="19.5" customHeight="1">
      <c r="A21" s="3764"/>
      <c r="B21" s="3757"/>
      <c r="C21" s="3106" t="s">
        <v>2444</v>
      </c>
      <c r="D21" s="3107"/>
      <c r="E21" s="3108">
        <v>1</v>
      </c>
      <c r="F21" s="3105" t="s">
        <v>2445</v>
      </c>
      <c r="G21" s="3105"/>
    </row>
    <row r="22" spans="1:13" ht="19.5" customHeight="1">
      <c r="A22" s="3764"/>
      <c r="B22" s="3757"/>
      <c r="C22" s="3106" t="s">
        <v>2446</v>
      </c>
      <c r="D22" s="3107"/>
      <c r="E22" s="3108">
        <v>0.9</v>
      </c>
      <c r="F22" s="3105" t="s">
        <v>2447</v>
      </c>
      <c r="G22" s="3105"/>
    </row>
    <row r="23" spans="1:13" ht="19.5" customHeight="1">
      <c r="A23" s="3764"/>
      <c r="B23" s="3757"/>
      <c r="C23" s="3106" t="s">
        <v>2448</v>
      </c>
      <c r="D23" s="3107"/>
      <c r="E23" s="3108">
        <v>0.9</v>
      </c>
      <c r="F23" s="3105" t="s">
        <v>2449</v>
      </c>
      <c r="G23" s="3105"/>
    </row>
    <row r="24" spans="1:13" ht="19.5" customHeight="1">
      <c r="A24" s="3764"/>
      <c r="B24" s="3757"/>
      <c r="C24" s="3106" t="s">
        <v>2450</v>
      </c>
      <c r="D24" s="3107"/>
      <c r="E24" s="3108">
        <v>0.8</v>
      </c>
      <c r="F24" s="3105" t="s">
        <v>2451</v>
      </c>
      <c r="G24" s="3105"/>
    </row>
    <row r="25" spans="1:13" ht="19.5" customHeight="1" thickBot="1">
      <c r="A25" s="3765"/>
      <c r="B25" s="3758"/>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59" t="s">
        <v>2634</v>
      </c>
      <c r="B27" s="3756" t="s">
        <v>2615</v>
      </c>
      <c r="C27" s="3102" t="s">
        <v>2455</v>
      </c>
      <c r="D27" s="3103"/>
      <c r="E27" s="3104">
        <v>1</v>
      </c>
      <c r="F27" s="3105" t="s">
        <v>2456</v>
      </c>
      <c r="G27" s="3105"/>
    </row>
    <row r="28" spans="1:13" ht="19.5" customHeight="1">
      <c r="A28" s="3760"/>
      <c r="B28" s="3757"/>
      <c r="C28" s="3106" t="s">
        <v>2457</v>
      </c>
      <c r="D28" s="3107"/>
      <c r="E28" s="3108">
        <v>1</v>
      </c>
      <c r="F28" s="3105" t="s">
        <v>2458</v>
      </c>
      <c r="G28" s="3105"/>
    </row>
    <row r="29" spans="1:13" ht="19.5" customHeight="1">
      <c r="A29" s="3760"/>
      <c r="B29" s="3757"/>
      <c r="C29" s="3106" t="s">
        <v>2459</v>
      </c>
      <c r="D29" s="3107"/>
      <c r="E29" s="3108">
        <v>0.8</v>
      </c>
      <c r="F29" s="3105" t="s">
        <v>2460</v>
      </c>
      <c r="G29" s="3105"/>
    </row>
    <row r="30" spans="1:13" ht="19.5" customHeight="1">
      <c r="A30" s="3760"/>
      <c r="B30" s="3757"/>
      <c r="C30" s="3106" t="s">
        <v>2461</v>
      </c>
      <c r="D30" s="3107"/>
      <c r="E30" s="3108">
        <v>0.8</v>
      </c>
      <c r="F30" s="3105" t="s">
        <v>2462</v>
      </c>
      <c r="G30" s="3105"/>
    </row>
    <row r="31" spans="1:13" ht="19.5" customHeight="1">
      <c r="A31" s="3760"/>
      <c r="B31" s="3757"/>
      <c r="C31" s="3106" t="s">
        <v>2463</v>
      </c>
      <c r="D31" s="3107"/>
      <c r="E31" s="3108">
        <v>0.8</v>
      </c>
      <c r="F31" s="3105" t="s">
        <v>2464</v>
      </c>
      <c r="G31" s="3105"/>
    </row>
    <row r="32" spans="1:13" ht="19.5" customHeight="1">
      <c r="A32" s="3760"/>
      <c r="B32" s="3757"/>
      <c r="C32" s="3106" t="s">
        <v>2465</v>
      </c>
      <c r="D32" s="3107"/>
      <c r="E32" s="3108">
        <v>0.7</v>
      </c>
      <c r="F32" s="3105" t="s">
        <v>2466</v>
      </c>
      <c r="G32" s="3105"/>
    </row>
    <row r="33" spans="1:7" ht="19.5" customHeight="1">
      <c r="A33" s="3760"/>
      <c r="B33" s="3757"/>
      <c r="C33" s="3106" t="s">
        <v>2467</v>
      </c>
      <c r="D33" s="3107"/>
      <c r="E33" s="3108">
        <v>0.8</v>
      </c>
      <c r="F33" s="3105" t="s">
        <v>2468</v>
      </c>
      <c r="G33" s="3105"/>
    </row>
    <row r="34" spans="1:7" ht="19.5" customHeight="1">
      <c r="A34" s="3760"/>
      <c r="B34" s="3757"/>
      <c r="C34" s="3106" t="s">
        <v>2469</v>
      </c>
      <c r="D34" s="3107"/>
      <c r="E34" s="3108">
        <v>0.6</v>
      </c>
      <c r="F34" s="3105" t="s">
        <v>2470</v>
      </c>
      <c r="G34" s="3105"/>
    </row>
    <row r="35" spans="1:7" ht="19.5" customHeight="1">
      <c r="A35" s="3760"/>
      <c r="B35" s="3757"/>
      <c r="C35" s="3106" t="s">
        <v>2471</v>
      </c>
      <c r="D35" s="3107"/>
      <c r="E35" s="3108">
        <v>0.2</v>
      </c>
      <c r="F35" s="3105" t="s">
        <v>2472</v>
      </c>
      <c r="G35" s="3105"/>
    </row>
    <row r="36" spans="1:7" ht="19.5" customHeight="1">
      <c r="A36" s="3760"/>
      <c r="B36" s="3757"/>
      <c r="C36" s="3106" t="s">
        <v>2473</v>
      </c>
      <c r="D36" s="3107"/>
      <c r="E36" s="3108">
        <v>0.2</v>
      </c>
      <c r="F36" s="3105" t="s">
        <v>2474</v>
      </c>
      <c r="G36" s="3105"/>
    </row>
    <row r="37" spans="1:7" ht="19.5" customHeight="1">
      <c r="A37" s="3760"/>
      <c r="B37" s="3762" t="s">
        <v>2635</v>
      </c>
      <c r="C37" s="3106" t="s">
        <v>2475</v>
      </c>
      <c r="D37" s="3107"/>
      <c r="E37" s="3108">
        <v>0.6</v>
      </c>
      <c r="F37" s="3105" t="s">
        <v>2476</v>
      </c>
      <c r="G37" s="3105"/>
    </row>
    <row r="38" spans="1:7" ht="19.5" customHeight="1">
      <c r="A38" s="3760"/>
      <c r="B38" s="3757"/>
      <c r="C38" s="3106" t="s">
        <v>2477</v>
      </c>
      <c r="D38" s="3107"/>
      <c r="E38" s="3108">
        <v>0.6</v>
      </c>
      <c r="F38" s="3105" t="s">
        <v>2478</v>
      </c>
      <c r="G38" s="3105"/>
    </row>
    <row r="39" spans="1:7" ht="19.5" customHeight="1" thickBot="1">
      <c r="A39" s="3761"/>
      <c r="B39" s="3758"/>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3" t="s">
        <v>2613</v>
      </c>
      <c r="B41" s="3756" t="s">
        <v>2637</v>
      </c>
      <c r="C41" s="3102" t="s">
        <v>2482</v>
      </c>
      <c r="D41" s="3103"/>
      <c r="E41" s="3104">
        <v>1</v>
      </c>
      <c r="F41" s="3105" t="s">
        <v>2483</v>
      </c>
      <c r="G41" s="3105"/>
    </row>
    <row r="42" spans="1:7" ht="19.5" customHeight="1">
      <c r="A42" s="3764"/>
      <c r="B42" s="3757"/>
      <c r="C42" s="3106" t="s">
        <v>2484</v>
      </c>
      <c r="D42" s="3107"/>
      <c r="E42" s="3108">
        <v>1</v>
      </c>
      <c r="F42" s="3105" t="s">
        <v>2485</v>
      </c>
      <c r="G42" s="3105"/>
    </row>
    <row r="43" spans="1:7" ht="19.5" customHeight="1">
      <c r="A43" s="3764"/>
      <c r="B43" s="3766"/>
      <c r="C43" s="3106" t="s">
        <v>2486</v>
      </c>
      <c r="D43" s="3107"/>
      <c r="E43" s="3108">
        <v>1.5</v>
      </c>
      <c r="F43" s="3105" t="s">
        <v>2487</v>
      </c>
      <c r="G43" s="3105"/>
    </row>
    <row r="44" spans="1:7" ht="19.5" customHeight="1">
      <c r="A44" s="3764"/>
      <c r="B44" s="3117" t="s">
        <v>2638</v>
      </c>
      <c r="C44" s="3106" t="s">
        <v>2639</v>
      </c>
      <c r="D44" s="3107"/>
      <c r="E44" s="3108">
        <v>2</v>
      </c>
      <c r="F44" s="3105" t="s">
        <v>2488</v>
      </c>
      <c r="G44" s="3105"/>
    </row>
    <row r="45" spans="1:7" ht="19.5" customHeight="1">
      <c r="A45" s="3764"/>
      <c r="B45" s="3762" t="s">
        <v>2640</v>
      </c>
      <c r="C45" s="3106" t="s">
        <v>2489</v>
      </c>
      <c r="D45" s="3107"/>
      <c r="E45" s="3108">
        <v>1</v>
      </c>
      <c r="F45" s="3105" t="s">
        <v>2490</v>
      </c>
      <c r="G45" s="3105"/>
    </row>
    <row r="46" spans="1:7" ht="19.5" customHeight="1">
      <c r="A46" s="3764"/>
      <c r="B46" s="3757"/>
      <c r="C46" s="3106" t="s">
        <v>2491</v>
      </c>
      <c r="D46" s="3107"/>
      <c r="E46" s="3108">
        <v>1</v>
      </c>
      <c r="F46" s="3105" t="s">
        <v>2492</v>
      </c>
      <c r="G46" s="3105"/>
    </row>
    <row r="47" spans="1:7" ht="19.5" customHeight="1">
      <c r="A47" s="3764"/>
      <c r="B47" s="3757"/>
      <c r="C47" s="3106" t="s">
        <v>2493</v>
      </c>
      <c r="D47" s="3107"/>
      <c r="E47" s="3108">
        <v>1</v>
      </c>
      <c r="F47" s="3105" t="s">
        <v>2494</v>
      </c>
      <c r="G47" s="3105"/>
    </row>
    <row r="48" spans="1:7" ht="19.5" customHeight="1">
      <c r="A48" s="3764"/>
      <c r="B48" s="3757"/>
      <c r="C48" s="3106" t="s">
        <v>2495</v>
      </c>
      <c r="D48" s="3107"/>
      <c r="E48" s="3108">
        <v>1</v>
      </c>
      <c r="F48" s="3105" t="s">
        <v>2496</v>
      </c>
      <c r="G48" s="3105"/>
    </row>
    <row r="49" spans="1:7" ht="19.5" customHeight="1">
      <c r="A49" s="3764"/>
      <c r="B49" s="3757"/>
      <c r="C49" s="3106" t="s">
        <v>2497</v>
      </c>
      <c r="D49" s="3107"/>
      <c r="E49" s="3108">
        <v>1</v>
      </c>
      <c r="F49" s="3105" t="s">
        <v>2498</v>
      </c>
      <c r="G49" s="3105"/>
    </row>
    <row r="50" spans="1:7" ht="19.5" customHeight="1">
      <c r="A50" s="3764"/>
      <c r="B50" s="3757"/>
      <c r="C50" s="3106" t="s">
        <v>2499</v>
      </c>
      <c r="D50" s="3107"/>
      <c r="E50" s="3108">
        <v>1</v>
      </c>
      <c r="F50" s="3105" t="s">
        <v>2500</v>
      </c>
      <c r="G50" s="3105"/>
    </row>
    <row r="51" spans="1:7" ht="19.5" customHeight="1" thickBot="1">
      <c r="A51" s="3765"/>
      <c r="B51" s="3758"/>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2" t="s">
        <v>2654</v>
      </c>
      <c r="C73" s="3091" t="s">
        <v>2655</v>
      </c>
      <c r="D73" s="3091" t="s">
        <v>2656</v>
      </c>
      <c r="E73" s="3117">
        <v>0.2</v>
      </c>
      <c r="F73" s="3117">
        <v>25</v>
      </c>
    </row>
    <row r="74" spans="1:7" ht="24">
      <c r="A74" s="3117">
        <v>2</v>
      </c>
      <c r="B74" s="3757"/>
      <c r="C74" s="3091" t="s">
        <v>2657</v>
      </c>
      <c r="D74" s="3091" t="s">
        <v>2658</v>
      </c>
      <c r="E74" s="3117">
        <v>0.2</v>
      </c>
      <c r="F74" s="3117">
        <v>25</v>
      </c>
    </row>
    <row r="75" spans="1:7" ht="24">
      <c r="A75" s="3117">
        <v>3</v>
      </c>
      <c r="B75" s="3757"/>
      <c r="C75" s="3091" t="s">
        <v>2659</v>
      </c>
      <c r="D75" s="3091" t="s">
        <v>2660</v>
      </c>
      <c r="E75" s="3117">
        <v>0.2</v>
      </c>
      <c r="F75" s="3117">
        <v>25</v>
      </c>
    </row>
    <row r="76" spans="1:7" ht="13.5">
      <c r="A76" s="3117">
        <v>4</v>
      </c>
      <c r="B76" s="3757"/>
      <c r="C76" s="3091" t="s">
        <v>2661</v>
      </c>
      <c r="D76" s="3091" t="s">
        <v>2662</v>
      </c>
      <c r="E76" s="3117">
        <v>0.15</v>
      </c>
      <c r="F76" s="3117">
        <v>20</v>
      </c>
    </row>
    <row r="77" spans="1:7" ht="24">
      <c r="A77" s="3117">
        <v>5</v>
      </c>
      <c r="B77" s="3757"/>
      <c r="C77" s="3091" t="s">
        <v>2663</v>
      </c>
      <c r="D77" s="3091" t="s">
        <v>2664</v>
      </c>
      <c r="E77" s="3117">
        <v>0.15</v>
      </c>
      <c r="F77" s="3117">
        <v>20</v>
      </c>
    </row>
    <row r="78" spans="1:7" ht="24">
      <c r="A78" s="3117">
        <v>6</v>
      </c>
      <c r="B78" s="3757"/>
      <c r="C78" s="3091" t="s">
        <v>2665</v>
      </c>
      <c r="D78" s="3091" t="s">
        <v>2666</v>
      </c>
      <c r="E78" s="3117">
        <v>0.15</v>
      </c>
      <c r="F78" s="3117">
        <v>20</v>
      </c>
    </row>
    <row r="79" spans="1:7" ht="24">
      <c r="A79" s="3117">
        <v>7</v>
      </c>
      <c r="B79" s="3757"/>
      <c r="C79" s="3091" t="s">
        <v>2667</v>
      </c>
      <c r="D79" s="3091" t="s">
        <v>2668</v>
      </c>
      <c r="E79" s="3117">
        <v>0.15</v>
      </c>
      <c r="F79" s="3117">
        <v>20</v>
      </c>
    </row>
    <row r="80" spans="1:7" ht="24">
      <c r="A80" s="3117">
        <v>8</v>
      </c>
      <c r="B80" s="3757"/>
      <c r="C80" s="3091" t="s">
        <v>2669</v>
      </c>
      <c r="D80" s="3091" t="s">
        <v>2670</v>
      </c>
      <c r="E80" s="3117">
        <v>0.1</v>
      </c>
      <c r="F80" s="3117">
        <v>15</v>
      </c>
    </row>
    <row r="81" spans="1:6" ht="24">
      <c r="A81" s="3117">
        <v>9</v>
      </c>
      <c r="B81" s="3757"/>
      <c r="C81" s="3091" t="s">
        <v>2671</v>
      </c>
      <c r="D81" s="3091" t="s">
        <v>2672</v>
      </c>
      <c r="E81" s="3117">
        <v>0.1</v>
      </c>
      <c r="F81" s="3117">
        <v>15</v>
      </c>
    </row>
    <row r="82" spans="1:6" ht="24">
      <c r="A82" s="3117">
        <v>10</v>
      </c>
      <c r="B82" s="3757"/>
      <c r="C82" s="3091" t="s">
        <v>2673</v>
      </c>
      <c r="D82" s="3091" t="s">
        <v>2674</v>
      </c>
      <c r="E82" s="3117">
        <v>0.1</v>
      </c>
      <c r="F82" s="3117">
        <v>15</v>
      </c>
    </row>
    <row r="83" spans="1:6" ht="24">
      <c r="A83" s="3117">
        <v>11</v>
      </c>
      <c r="B83" s="3757"/>
      <c r="C83" s="3091" t="s">
        <v>2675</v>
      </c>
      <c r="D83" s="3091" t="s">
        <v>2676</v>
      </c>
      <c r="E83" s="3117">
        <v>0.1</v>
      </c>
      <c r="F83" s="3117">
        <v>15</v>
      </c>
    </row>
    <row r="84" spans="1:6" ht="24">
      <c r="A84" s="3117">
        <v>12</v>
      </c>
      <c r="B84" s="3757"/>
      <c r="C84" s="3091" t="s">
        <v>2677</v>
      </c>
      <c r="D84" s="3091" t="s">
        <v>2678</v>
      </c>
      <c r="E84" s="3117">
        <v>0.1</v>
      </c>
      <c r="F84" s="3117">
        <v>15</v>
      </c>
    </row>
    <row r="85" spans="1:6" ht="13.5">
      <c r="A85" s="3117">
        <v>13</v>
      </c>
      <c r="B85" s="3757"/>
      <c r="C85" s="3091" t="s">
        <v>2679</v>
      </c>
      <c r="D85" s="3091" t="s">
        <v>2680</v>
      </c>
      <c r="E85" s="3117">
        <v>0.1</v>
      </c>
      <c r="F85" s="3117">
        <v>15</v>
      </c>
    </row>
    <row r="86" spans="1:6" ht="13.5">
      <c r="A86" s="3117">
        <v>14</v>
      </c>
      <c r="B86" s="3757"/>
      <c r="C86" s="3091" t="s">
        <v>2681</v>
      </c>
      <c r="D86" s="3091" t="s">
        <v>2682</v>
      </c>
      <c r="E86" s="3117">
        <v>0.1</v>
      </c>
      <c r="F86" s="3117">
        <v>15</v>
      </c>
    </row>
    <row r="87" spans="1:6" ht="13.5">
      <c r="A87" s="3117">
        <v>15</v>
      </c>
      <c r="B87" s="3757"/>
      <c r="C87" s="3091" t="s">
        <v>2683</v>
      </c>
      <c r="D87" s="3091" t="s">
        <v>2684</v>
      </c>
      <c r="E87" s="3117">
        <v>0.1</v>
      </c>
      <c r="F87" s="3117">
        <v>15</v>
      </c>
    </row>
    <row r="88" spans="1:6" ht="24">
      <c r="A88" s="3117">
        <v>16</v>
      </c>
      <c r="B88" s="3757"/>
      <c r="C88" s="3091" t="s">
        <v>2685</v>
      </c>
      <c r="D88" s="3091" t="s">
        <v>2686</v>
      </c>
      <c r="E88" s="3117">
        <v>0.1</v>
      </c>
      <c r="F88" s="3117">
        <v>15</v>
      </c>
    </row>
    <row r="89" spans="1:6" ht="24">
      <c r="A89" s="3117">
        <v>17</v>
      </c>
      <c r="B89" s="3766"/>
      <c r="C89" s="3091" t="s">
        <v>2687</v>
      </c>
      <c r="D89" s="3091" t="s">
        <v>2688</v>
      </c>
      <c r="E89" s="3117">
        <v>0.1</v>
      </c>
      <c r="F89" s="3117">
        <v>15</v>
      </c>
    </row>
    <row r="90" spans="1:6" ht="13.5">
      <c r="A90" s="3117">
        <v>18</v>
      </c>
      <c r="B90" s="3762" t="s">
        <v>2689</v>
      </c>
      <c r="C90" s="3091" t="s">
        <v>2690</v>
      </c>
      <c r="D90" s="3091" t="s">
        <v>2691</v>
      </c>
      <c r="E90" s="3117">
        <v>0.2</v>
      </c>
      <c r="F90" s="3117">
        <v>25</v>
      </c>
    </row>
    <row r="91" spans="1:6" ht="24">
      <c r="A91" s="3117">
        <v>19</v>
      </c>
      <c r="B91" s="3757"/>
      <c r="C91" s="3091" t="s">
        <v>2692</v>
      </c>
      <c r="D91" s="3091" t="s">
        <v>2693</v>
      </c>
      <c r="E91" s="3117">
        <v>0.2</v>
      </c>
      <c r="F91" s="3117">
        <v>25</v>
      </c>
    </row>
    <row r="92" spans="1:6" ht="13.5">
      <c r="A92" s="3117">
        <v>20</v>
      </c>
      <c r="B92" s="3757"/>
      <c r="C92" s="3091" t="s">
        <v>2694</v>
      </c>
      <c r="D92" s="3091" t="s">
        <v>2695</v>
      </c>
      <c r="E92" s="3117">
        <v>0.15</v>
      </c>
      <c r="F92" s="3117">
        <v>20</v>
      </c>
    </row>
    <row r="93" spans="1:6" ht="13.5">
      <c r="A93" s="3117">
        <v>21</v>
      </c>
      <c r="B93" s="3757"/>
      <c r="C93" s="3091" t="s">
        <v>2696</v>
      </c>
      <c r="D93" s="3091" t="s">
        <v>2697</v>
      </c>
      <c r="E93" s="3117">
        <v>0.15</v>
      </c>
      <c r="F93" s="3117">
        <v>20</v>
      </c>
    </row>
    <row r="94" spans="1:6" ht="13.5">
      <c r="A94" s="3117">
        <v>22</v>
      </c>
      <c r="B94" s="3757"/>
      <c r="C94" s="3091" t="s">
        <v>2698</v>
      </c>
      <c r="D94" s="3091" t="s">
        <v>2699</v>
      </c>
      <c r="E94" s="3117">
        <v>0.15</v>
      </c>
      <c r="F94" s="3117">
        <v>20</v>
      </c>
    </row>
    <row r="95" spans="1:6" ht="36">
      <c r="A95" s="3117">
        <v>23</v>
      </c>
      <c r="B95" s="3757"/>
      <c r="C95" s="3091" t="s">
        <v>2700</v>
      </c>
      <c r="D95" s="3091" t="s">
        <v>2701</v>
      </c>
      <c r="E95" s="3117">
        <v>0.15</v>
      </c>
      <c r="F95" s="3117">
        <v>20</v>
      </c>
    </row>
    <row r="96" spans="1:6" ht="13.5">
      <c r="A96" s="3117">
        <v>24</v>
      </c>
      <c r="B96" s="3757"/>
      <c r="C96" s="3091" t="s">
        <v>2702</v>
      </c>
      <c r="D96" s="3091" t="s">
        <v>2703</v>
      </c>
      <c r="E96" s="3117">
        <v>0.1</v>
      </c>
      <c r="F96" s="3117">
        <v>15</v>
      </c>
    </row>
    <row r="97" spans="1:6" ht="13.5">
      <c r="A97" s="3117">
        <v>25</v>
      </c>
      <c r="B97" s="3757"/>
      <c r="C97" s="3091" t="s">
        <v>2704</v>
      </c>
      <c r="D97" s="3091" t="s">
        <v>2705</v>
      </c>
      <c r="E97" s="3117">
        <v>0.1</v>
      </c>
      <c r="F97" s="3117">
        <v>15</v>
      </c>
    </row>
    <row r="98" spans="1:6" ht="24">
      <c r="A98" s="3117">
        <v>26</v>
      </c>
      <c r="B98" s="3757"/>
      <c r="C98" s="3091" t="s">
        <v>2706</v>
      </c>
      <c r="D98" s="3091" t="s">
        <v>2707</v>
      </c>
      <c r="E98" s="3117">
        <v>0.1</v>
      </c>
      <c r="F98" s="3117">
        <v>15</v>
      </c>
    </row>
    <row r="99" spans="1:6" ht="24">
      <c r="A99" s="3117">
        <v>27</v>
      </c>
      <c r="B99" s="3757"/>
      <c r="C99" s="3091" t="s">
        <v>2708</v>
      </c>
      <c r="D99" s="3091" t="s">
        <v>2709</v>
      </c>
      <c r="E99" s="3117">
        <v>0.1</v>
      </c>
      <c r="F99" s="3117">
        <v>15</v>
      </c>
    </row>
    <row r="100" spans="1:6" ht="13.5">
      <c r="A100" s="3117">
        <v>28</v>
      </c>
      <c r="B100" s="3757"/>
      <c r="C100" s="3091" t="s">
        <v>2710</v>
      </c>
      <c r="D100" s="3091" t="s">
        <v>2711</v>
      </c>
      <c r="E100" s="3117">
        <v>0.1</v>
      </c>
      <c r="F100" s="3117">
        <v>15</v>
      </c>
    </row>
    <row r="101" spans="1:6" ht="13.5">
      <c r="A101" s="3117">
        <v>29</v>
      </c>
      <c r="B101" s="3757"/>
      <c r="C101" s="3091" t="s">
        <v>2712</v>
      </c>
      <c r="D101" s="3091" t="s">
        <v>2713</v>
      </c>
      <c r="E101" s="3117">
        <v>0.1</v>
      </c>
      <c r="F101" s="3117">
        <v>15</v>
      </c>
    </row>
    <row r="102" spans="1:6" ht="13.5">
      <c r="A102" s="3117">
        <v>30</v>
      </c>
      <c r="B102" s="3757"/>
      <c r="C102" s="3091" t="s">
        <v>2714</v>
      </c>
      <c r="D102" s="3091" t="s">
        <v>2715</v>
      </c>
      <c r="E102" s="3117">
        <v>0.1</v>
      </c>
      <c r="F102" s="3117">
        <v>15</v>
      </c>
    </row>
    <row r="103" spans="1:6" ht="24">
      <c r="A103" s="3117">
        <v>31</v>
      </c>
      <c r="B103" s="3757"/>
      <c r="C103" s="3091" t="s">
        <v>2716</v>
      </c>
      <c r="D103" s="3091" t="s">
        <v>2717</v>
      </c>
      <c r="E103" s="3117">
        <v>0.1</v>
      </c>
      <c r="F103" s="3117">
        <v>15</v>
      </c>
    </row>
    <row r="104" spans="1:6" ht="24">
      <c r="A104" s="3117">
        <v>32</v>
      </c>
      <c r="B104" s="3757"/>
      <c r="C104" s="3091" t="s">
        <v>2718</v>
      </c>
      <c r="D104" s="3091" t="s">
        <v>2719</v>
      </c>
      <c r="E104" s="3117">
        <v>0.1</v>
      </c>
      <c r="F104" s="3117">
        <v>15</v>
      </c>
    </row>
    <row r="105" spans="1:6" ht="24">
      <c r="A105" s="3117">
        <v>33</v>
      </c>
      <c r="B105" s="3757"/>
      <c r="C105" s="3091" t="s">
        <v>2720</v>
      </c>
      <c r="D105" s="3091" t="s">
        <v>2721</v>
      </c>
      <c r="E105" s="3117">
        <v>0.1</v>
      </c>
      <c r="F105" s="3117">
        <v>15</v>
      </c>
    </row>
    <row r="106" spans="1:6" ht="24">
      <c r="A106" s="3117">
        <v>34</v>
      </c>
      <c r="B106" s="3766"/>
      <c r="C106" s="3091" t="s">
        <v>2722</v>
      </c>
      <c r="D106" s="3091" t="s">
        <v>2723</v>
      </c>
      <c r="E106" s="3117">
        <v>0.1</v>
      </c>
      <c r="F106" s="3117">
        <v>15</v>
      </c>
    </row>
    <row r="107" spans="1:6" ht="24">
      <c r="A107" s="3117">
        <v>35</v>
      </c>
      <c r="B107" s="3762" t="s">
        <v>2724</v>
      </c>
      <c r="C107" s="3117" t="s">
        <v>2725</v>
      </c>
      <c r="D107" s="3091" t="s">
        <v>2726</v>
      </c>
      <c r="E107" s="3117">
        <v>0.15</v>
      </c>
      <c r="F107" s="3117">
        <v>20</v>
      </c>
    </row>
    <row r="108" spans="1:6" ht="13.5">
      <c r="A108" s="3117">
        <v>36</v>
      </c>
      <c r="B108" s="3757"/>
      <c r="C108" s="3117" t="s">
        <v>2727</v>
      </c>
      <c r="D108" s="3091" t="s">
        <v>2728</v>
      </c>
      <c r="E108" s="3117">
        <v>0.15</v>
      </c>
      <c r="F108" s="3117">
        <v>20</v>
      </c>
    </row>
    <row r="109" spans="1:6" ht="13.5">
      <c r="A109" s="3117">
        <v>37</v>
      </c>
      <c r="B109" s="3757"/>
      <c r="C109" s="3117" t="s">
        <v>2729</v>
      </c>
      <c r="D109" s="3091" t="s">
        <v>2730</v>
      </c>
      <c r="E109" s="3117">
        <v>0.15</v>
      </c>
      <c r="F109" s="3117">
        <v>20</v>
      </c>
    </row>
    <row r="110" spans="1:6" ht="13.5">
      <c r="A110" s="3117">
        <v>38</v>
      </c>
      <c r="B110" s="3757"/>
      <c r="C110" s="3117" t="s">
        <v>2731</v>
      </c>
      <c r="D110" s="3091" t="s">
        <v>2732</v>
      </c>
      <c r="E110" s="3117">
        <v>0.1</v>
      </c>
      <c r="F110" s="3117">
        <v>15</v>
      </c>
    </row>
    <row r="111" spans="1:6" ht="24">
      <c r="A111" s="3117">
        <v>39</v>
      </c>
      <c r="B111" s="3757"/>
      <c r="C111" s="3117" t="s">
        <v>2733</v>
      </c>
      <c r="D111" s="3091" t="s">
        <v>2734</v>
      </c>
      <c r="E111" s="3117">
        <v>0.1</v>
      </c>
      <c r="F111" s="3117">
        <v>15</v>
      </c>
    </row>
    <row r="112" spans="1:6" ht="24">
      <c r="A112" s="3117">
        <v>40</v>
      </c>
      <c r="B112" s="3766"/>
      <c r="C112" s="3117" t="s">
        <v>2735</v>
      </c>
      <c r="D112" s="3091" t="s">
        <v>2736</v>
      </c>
      <c r="E112" s="3117">
        <v>0.1</v>
      </c>
      <c r="F112" s="3117">
        <v>15</v>
      </c>
    </row>
    <row r="113" spans="1:6" ht="13.5">
      <c r="A113" s="3117">
        <v>41</v>
      </c>
      <c r="B113" s="3767" t="s">
        <v>2737</v>
      </c>
      <c r="C113" s="3117" t="s">
        <v>2738</v>
      </c>
      <c r="D113" s="3091" t="s">
        <v>2739</v>
      </c>
      <c r="E113" s="3117">
        <v>0.1</v>
      </c>
      <c r="F113" s="3117">
        <v>15</v>
      </c>
    </row>
    <row r="114" spans="1:6" ht="13.5">
      <c r="A114" s="3117">
        <v>42</v>
      </c>
      <c r="B114" s="3767"/>
      <c r="C114" s="3117" t="s">
        <v>2740</v>
      </c>
      <c r="D114" s="3091" t="s">
        <v>2741</v>
      </c>
      <c r="E114" s="3117">
        <v>0.1</v>
      </c>
      <c r="F114" s="3117">
        <v>15</v>
      </c>
    </row>
    <row r="115" spans="1:6" ht="24">
      <c r="A115" s="3117">
        <v>43</v>
      </c>
      <c r="B115" s="3767"/>
      <c r="C115" s="3117" t="s">
        <v>2742</v>
      </c>
      <c r="D115" s="3091" t="s">
        <v>2743</v>
      </c>
      <c r="E115" s="3117">
        <v>0.1</v>
      </c>
      <c r="F115" s="3117">
        <v>15</v>
      </c>
    </row>
    <row r="116" spans="1:6" ht="13.5">
      <c r="A116" s="3117">
        <v>44</v>
      </c>
      <c r="B116" s="3762" t="s">
        <v>2744</v>
      </c>
      <c r="C116" s="3117" t="s">
        <v>2745</v>
      </c>
      <c r="D116" s="3091" t="s">
        <v>2746</v>
      </c>
      <c r="E116" s="3117">
        <v>0.1</v>
      </c>
      <c r="F116" s="3117">
        <v>15</v>
      </c>
    </row>
    <row r="117" spans="1:6" ht="24">
      <c r="A117" s="3117">
        <v>45</v>
      </c>
      <c r="B117" s="3766"/>
      <c r="C117" s="3091" t="s">
        <v>2747</v>
      </c>
      <c r="D117" s="3091" t="s">
        <v>2748</v>
      </c>
      <c r="E117" s="3117">
        <v>0.1</v>
      </c>
      <c r="F117" s="3117">
        <v>15</v>
      </c>
    </row>
    <row r="118" spans="1:6" ht="24">
      <c r="A118" s="3117">
        <v>46</v>
      </c>
      <c r="B118" s="3762" t="s">
        <v>2749</v>
      </c>
      <c r="C118" s="3117" t="s">
        <v>2750</v>
      </c>
      <c r="D118" s="3091" t="s">
        <v>2751</v>
      </c>
      <c r="E118" s="3117">
        <v>0.1</v>
      </c>
      <c r="F118" s="3117">
        <v>15</v>
      </c>
    </row>
    <row r="119" spans="1:6" ht="24">
      <c r="A119" s="3117">
        <v>47</v>
      </c>
      <c r="B119" s="3766"/>
      <c r="C119" s="3117" t="s">
        <v>2752</v>
      </c>
      <c r="D119" s="3091" t="s">
        <v>2753</v>
      </c>
      <c r="E119" s="3117">
        <v>0.1</v>
      </c>
      <c r="F119" s="3117">
        <v>15</v>
      </c>
    </row>
    <row r="120" spans="1:6" ht="13.5">
      <c r="A120" s="3117">
        <v>48</v>
      </c>
      <c r="B120" s="3762" t="s">
        <v>2754</v>
      </c>
      <c r="C120" s="3117" t="s">
        <v>2755</v>
      </c>
      <c r="D120" s="3091" t="s">
        <v>2756</v>
      </c>
      <c r="E120" s="3117">
        <v>0.1</v>
      </c>
      <c r="F120" s="3117">
        <v>15</v>
      </c>
    </row>
    <row r="121" spans="1:6" ht="13.5">
      <c r="A121" s="3117">
        <v>49</v>
      </c>
      <c r="B121" s="3766"/>
      <c r="C121" s="3117" t="s">
        <v>2757</v>
      </c>
      <c r="D121" s="3091" t="s">
        <v>2758</v>
      </c>
      <c r="E121" s="3117">
        <v>0.1</v>
      </c>
      <c r="F121" s="3117">
        <v>15</v>
      </c>
    </row>
    <row r="122" spans="1:6" ht="24">
      <c r="A122" s="3117">
        <v>50</v>
      </c>
      <c r="B122" s="3767" t="s">
        <v>2759</v>
      </c>
      <c r="C122" s="3117" t="s">
        <v>2760</v>
      </c>
      <c r="D122" s="3091" t="s">
        <v>2761</v>
      </c>
      <c r="E122" s="3117">
        <v>0.1</v>
      </c>
      <c r="F122" s="3117">
        <v>15</v>
      </c>
    </row>
    <row r="123" spans="1:6" ht="24">
      <c r="A123" s="3117">
        <v>51</v>
      </c>
      <c r="B123" s="3767"/>
      <c r="C123" s="3117" t="s">
        <v>2762</v>
      </c>
      <c r="D123" s="3091" t="s">
        <v>2763</v>
      </c>
      <c r="E123" s="3117">
        <v>0.1</v>
      </c>
      <c r="F123" s="3117">
        <v>15</v>
      </c>
    </row>
    <row r="124" spans="1:6" ht="24">
      <c r="A124" s="3117">
        <v>52</v>
      </c>
      <c r="B124" s="3767" t="s">
        <v>2764</v>
      </c>
      <c r="C124" s="3117" t="s">
        <v>2765</v>
      </c>
      <c r="D124" s="3091" t="s">
        <v>2766</v>
      </c>
      <c r="E124" s="3117">
        <v>0.1</v>
      </c>
      <c r="F124" s="3117">
        <v>15</v>
      </c>
    </row>
    <row r="125" spans="1:6" ht="24">
      <c r="A125" s="3117">
        <v>53</v>
      </c>
      <c r="B125" s="376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7" t="s">
        <v>2772</v>
      </c>
      <c r="C127" s="3117" t="s">
        <v>2773</v>
      </c>
      <c r="D127" s="3091" t="s">
        <v>2774</v>
      </c>
      <c r="E127" s="3117">
        <v>0.1</v>
      </c>
      <c r="F127" s="3117">
        <v>15</v>
      </c>
    </row>
    <row r="128" spans="1:6" ht="13.5">
      <c r="A128" s="3117">
        <v>56</v>
      </c>
      <c r="B128" s="3767"/>
      <c r="C128" s="3117" t="s">
        <v>2775</v>
      </c>
      <c r="D128" s="3091" t="s">
        <v>2776</v>
      </c>
      <c r="E128" s="3117">
        <v>0.1</v>
      </c>
      <c r="F128" s="3117">
        <v>15</v>
      </c>
    </row>
    <row r="129" spans="1:6" ht="24">
      <c r="A129" s="3117">
        <v>57</v>
      </c>
      <c r="B129" s="3767"/>
      <c r="C129" s="3117" t="s">
        <v>2777</v>
      </c>
      <c r="D129" s="3091" t="s">
        <v>2778</v>
      </c>
      <c r="E129" s="3117">
        <v>0.1</v>
      </c>
      <c r="F129" s="3117">
        <v>15</v>
      </c>
    </row>
    <row r="130" spans="1:6" ht="24">
      <c r="A130" s="3117">
        <v>58</v>
      </c>
      <c r="B130" s="3767" t="s">
        <v>2779</v>
      </c>
      <c r="C130" s="3117" t="s">
        <v>2780</v>
      </c>
      <c r="D130" s="3091" t="s">
        <v>2781</v>
      </c>
      <c r="E130" s="3117">
        <v>0.1</v>
      </c>
      <c r="F130" s="3117">
        <v>15</v>
      </c>
    </row>
    <row r="131" spans="1:6" ht="13.5">
      <c r="A131" s="3117">
        <v>59</v>
      </c>
      <c r="B131" s="3767"/>
      <c r="C131" s="3117" t="s">
        <v>2782</v>
      </c>
      <c r="D131" s="3091" t="s">
        <v>2783</v>
      </c>
      <c r="E131" s="3117">
        <v>0.1</v>
      </c>
      <c r="F131" s="3117">
        <v>15</v>
      </c>
    </row>
    <row r="132" spans="1:6" ht="13.5">
      <c r="A132" s="3117">
        <v>60</v>
      </c>
      <c r="B132" s="3762" t="s">
        <v>2784</v>
      </c>
      <c r="C132" s="3117" t="s">
        <v>2785</v>
      </c>
      <c r="D132" s="3091" t="s">
        <v>2786</v>
      </c>
      <c r="E132" s="3117">
        <v>0.1</v>
      </c>
      <c r="F132" s="3117">
        <v>15</v>
      </c>
    </row>
    <row r="133" spans="1:6" ht="13.5">
      <c r="A133" s="3117">
        <v>61</v>
      </c>
      <c r="B133" s="3766"/>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7" t="s">
        <v>2792</v>
      </c>
      <c r="C135" s="3117" t="s">
        <v>2793</v>
      </c>
      <c r="D135" s="3091" t="s">
        <v>2794</v>
      </c>
      <c r="E135" s="3117">
        <v>0.1</v>
      </c>
      <c r="F135" s="3117">
        <v>15</v>
      </c>
    </row>
    <row r="136" spans="1:6" ht="13.5">
      <c r="A136" s="3117">
        <v>64</v>
      </c>
      <c r="B136" s="376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0.81969999999999998</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0.77969999999999995</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28171</v>
      </c>
      <c r="C2" s="2" t="s">
        <v>106</v>
      </c>
      <c r="D2" s="199"/>
      <c r="E2" s="199"/>
      <c r="F2" s="199"/>
      <c r="G2" s="199"/>
    </row>
    <row r="3" spans="1:7" s="200" customFormat="1" ht="18" customHeight="1" thickBot="1">
      <c r="A3" s="203" t="s">
        <v>58</v>
      </c>
      <c r="B3" s="204">
        <f ca="1">ROUND(B2*10000/'数据-汇总表'!E3,0)</f>
        <v>2183629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129.01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129.01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v>
      </c>
      <c r="D37" s="217">
        <f>'数据-汇总表'!E3</f>
        <v>129.01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8.0000000000000004E-4</v>
      </c>
      <c r="D44" s="238"/>
      <c r="E44" s="238"/>
      <c r="F44" s="239"/>
      <c r="G44" s="3634"/>
    </row>
    <row r="45" spans="1:7" s="214" customFormat="1" ht="13.5" customHeight="1">
      <c r="A45" s="777" t="s">
        <v>341</v>
      </c>
      <c r="B45" s="244" t="s">
        <v>85</v>
      </c>
      <c r="C45" s="245">
        <f>C46</f>
        <v>11</v>
      </c>
      <c r="D45" s="235">
        <f>C47</f>
        <v>3.0000000000000001E-3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93</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90</v>
      </c>
      <c r="D51" s="232"/>
      <c r="E51" s="232"/>
      <c r="F51" s="264"/>
      <c r="G51" s="234" t="s">
        <v>37</v>
      </c>
    </row>
    <row r="52" spans="1:7" s="208" customFormat="1" ht="16.5" thickBot="1">
      <c r="A52" s="265" t="s">
        <v>38</v>
      </c>
      <c r="B52" s="266"/>
      <c r="C52" s="267">
        <f ca="1">C31+C51</f>
        <v>28171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0" t="s">
        <v>2846</v>
      </c>
      <c r="B1" s="3770"/>
      <c r="C1" s="3770"/>
      <c r="D1" s="3770"/>
      <c r="E1" s="3770"/>
      <c r="F1" s="3770"/>
      <c r="G1" s="3771"/>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2"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68"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2" thickBot="1">
      <c r="A4" s="3769"/>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2"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2"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2"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2"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2" t="s">
        <v>3188</v>
      </c>
      <c r="B1" s="3772"/>
    </row>
    <row r="2" spans="1:7" ht="14.25" thickBot="1">
      <c r="A2" s="3254"/>
      <c r="B2" s="3254"/>
    </row>
    <row r="3" spans="1:7" ht="14.25" thickBot="1">
      <c r="A3" s="3254"/>
      <c r="B3" s="3254"/>
      <c r="C3" s="3255" t="s">
        <v>2814</v>
      </c>
      <c r="D3" s="3255" t="s">
        <v>2874</v>
      </c>
      <c r="E3" s="3255" t="s">
        <v>2816</v>
      </c>
      <c r="F3" s="3255" t="s">
        <v>2875</v>
      </c>
      <c r="G3" s="3255" t="s">
        <v>2634</v>
      </c>
    </row>
    <row r="4" spans="1:7" ht="14.2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4.2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4.2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4.2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4.2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4.2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4.2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4.2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4.2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4.2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4.2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73" t="s">
        <v>3239</v>
      </c>
      <c r="B1" s="3773"/>
      <c r="C1" s="3773"/>
      <c r="D1" s="3773"/>
      <c r="E1" s="3773"/>
      <c r="F1" s="3774"/>
    </row>
    <row r="2" spans="1:6" ht="15">
      <c r="A2" s="3290" t="s">
        <v>3240</v>
      </c>
      <c r="B2" s="3291"/>
      <c r="C2" s="3291"/>
      <c r="D2" s="3291"/>
      <c r="E2" s="3291"/>
      <c r="F2" s="3291"/>
    </row>
    <row r="3" spans="1:6" ht="15">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0">
        <f>基准地价修正!G23</f>
        <v>44987</v>
      </c>
      <c r="B1" s="3209" t="s">
        <v>2845</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3376</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3377</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3375</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3373</v>
      </c>
    </row>
    <row r="19" spans="1:30" s="3008" customFormat="1">
      <c r="I19" s="3207" t="s">
        <v>2830</v>
      </c>
    </row>
    <row r="20" spans="1:30" s="3008" customFormat="1"/>
    <row r="21" spans="1:30" s="3208" customFormat="1" ht="12.75">
      <c r="B21" s="3209" t="s">
        <v>2831</v>
      </c>
      <c r="C21" s="3210"/>
      <c r="D21" s="3210"/>
      <c r="E21" s="3210"/>
      <c r="F21" s="3210"/>
      <c r="G21" s="3210"/>
      <c r="H21" s="3210"/>
      <c r="I21" s="3210"/>
      <c r="J21" s="3164"/>
      <c r="K21" s="3210" t="s">
        <v>2832</v>
      </c>
      <c r="L21" s="3210"/>
      <c r="M21" s="3210"/>
      <c r="N21" s="3210"/>
      <c r="O21" s="3210"/>
      <c r="P21" s="3210"/>
      <c r="Q21" s="3164"/>
      <c r="R21" s="3775" t="s">
        <v>2833</v>
      </c>
      <c r="S21" s="3776"/>
      <c r="T21" s="3776"/>
      <c r="U21" s="3776"/>
      <c r="V21" s="3776"/>
      <c r="W21" s="3776"/>
      <c r="X21" s="3164"/>
      <c r="Y21" s="3775" t="s">
        <v>2834</v>
      </c>
      <c r="Z21" s="3776"/>
      <c r="AA21" s="3776"/>
      <c r="AB21" s="3776"/>
      <c r="AC21" s="3776"/>
      <c r="AD21" s="3776"/>
    </row>
    <row r="22" spans="1:30" s="3142" customFormat="1" ht="14.2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2.75">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3376</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3377</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3375</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3371</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3372</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44987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7:F89"/>
  <sheetViews>
    <sheetView topLeftCell="A73" workbookViewId="0">
      <selection activeCell="F90" sqref="F90"/>
    </sheetView>
  </sheetViews>
  <sheetFormatPr defaultRowHeight="13.5"/>
  <sheetData>
    <row r="87" spans="4:6">
      <c r="D87" s="3788" t="s">
        <v>3378</v>
      </c>
      <c r="E87">
        <v>128.35</v>
      </c>
      <c r="F87">
        <v>50643</v>
      </c>
    </row>
    <row r="88" spans="4:6">
      <c r="D88" t="str">
        <f>D87</f>
        <v>万科大都会N2</v>
      </c>
      <c r="E88">
        <v>132.85</v>
      </c>
      <c r="F88">
        <v>51186</v>
      </c>
    </row>
    <row r="89" spans="4:6">
      <c r="D89" t="str">
        <f>D87</f>
        <v>万科大都会N2</v>
      </c>
      <c r="E89">
        <v>148.62</v>
      </c>
      <c r="F89">
        <v>50465</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129.01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44987</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2"/>
      <c r="E18" s="3488" t="s">
        <v>2162</v>
      </c>
      <c r="F18" s="3487"/>
      <c r="G18" s="348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基准地价修正</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2023-03-02T07:52:03Z</dcterms:modified>
</cp:coreProperties>
</file>