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9" i="69" l="1"/>
  <c r="C9" i="69"/>
  <c r="D10" i="69"/>
  <c r="C10" i="69"/>
  <c r="C8" i="69"/>
  <c r="B2" i="1"/>
  <c r="G23" i="43"/>
  <c r="C23" i="43"/>
  <c r="I15" i="4"/>
  <c r="F6" i="1"/>
  <c r="I24" i="43"/>
  <c r="C24" i="43"/>
  <c r="C33" i="43"/>
  <c r="G44" i="43"/>
  <c r="C44" i="43"/>
  <c r="C41" i="43"/>
  <c r="C6" i="69"/>
  <c r="C7" i="69"/>
  <c r="C5" i="69"/>
  <c r="C20" i="69"/>
  <c r="C1" i="73"/>
  <c r="J1" i="73"/>
  <c r="D5" i="73"/>
  <c r="K1" i="73"/>
  <c r="D4" i="73"/>
  <c r="G1" i="73"/>
  <c r="B40" i="1"/>
  <c r="F22" i="69"/>
  <c r="C23" i="69"/>
  <c r="C24" i="69"/>
  <c r="C25" i="69"/>
  <c r="C22" i="69"/>
  <c r="F27" i="69"/>
  <c r="C28" i="69"/>
  <c r="C27" i="69"/>
  <c r="C26" i="69"/>
  <c r="D22" i="69"/>
  <c r="C29" i="69"/>
  <c r="D27" i="69"/>
  <c r="C42" i="1"/>
  <c r="C30" i="69"/>
  <c r="C31" i="69"/>
  <c r="C34" i="69"/>
  <c r="C35" i="69"/>
  <c r="C36" i="69"/>
  <c r="D19" i="69"/>
  <c r="D37" i="69"/>
  <c r="C37" i="69"/>
  <c r="C38" i="69"/>
  <c r="C33" i="69"/>
  <c r="C39" i="69"/>
  <c r="C42" i="69"/>
  <c r="C43" i="69"/>
  <c r="C41" i="69"/>
  <c r="C46" i="69"/>
  <c r="C45" i="69"/>
  <c r="C44" i="69"/>
  <c r="D41" i="69"/>
  <c r="C47" i="69"/>
  <c r="D45" i="69"/>
  <c r="C48" i="69"/>
  <c r="C49" i="69"/>
  <c r="C51" i="69"/>
  <c r="C52" i="69"/>
  <c r="B2" i="69"/>
  <c r="B3" i="69"/>
  <c r="C20" i="9"/>
  <c r="F6" i="67"/>
  <c r="F8" i="67"/>
  <c r="F7" i="67"/>
  <c r="F9" i="67"/>
  <c r="C6" i="67"/>
  <c r="L1" i="73"/>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8" i="67"/>
  <c r="C29" i="67"/>
  <c r="F36" i="67"/>
  <c r="C36" i="67"/>
  <c r="F13" i="67"/>
  <c r="C13" i="67"/>
  <c r="F37" i="67"/>
  <c r="C37" i="67"/>
  <c r="F38" i="67"/>
  <c r="C38" i="67"/>
  <c r="C30" i="67"/>
  <c r="C39" i="67"/>
  <c r="F42" i="67"/>
  <c r="F40" i="67"/>
  <c r="L48" i="67"/>
  <c r="J51" i="67"/>
  <c r="J53" i="67"/>
  <c r="F1" i="67"/>
  <c r="AE6" i="1"/>
  <c r="F41" i="67"/>
  <c r="C40" i="67"/>
  <c r="M6" i="67"/>
  <c r="M8" i="67"/>
  <c r="M7" i="67"/>
  <c r="M9" i="67"/>
  <c r="J6" i="67"/>
  <c r="M11" i="67"/>
  <c r="J10" i="67"/>
  <c r="J5" i="67"/>
  <c r="J26" i="67"/>
  <c r="J29" i="67"/>
  <c r="J57" i="67"/>
  <c r="J55" i="67"/>
  <c r="J58" i="67"/>
  <c r="J59" i="67"/>
  <c r="J60" i="67"/>
  <c r="L46" i="67"/>
  <c r="D2" i="67"/>
  <c r="B3" i="67"/>
  <c r="D20" i="9"/>
  <c r="G20" i="9"/>
  <c r="C32" i="9"/>
  <c r="I118" i="9"/>
  <c r="E14" i="74"/>
  <c r="D14" i="74"/>
  <c r="B14" i="74"/>
  <c r="F38" i="69"/>
  <c r="C19" i="9"/>
  <c r="F18" i="67"/>
  <c r="B2" i="67"/>
  <c r="D19" i="9"/>
  <c r="G19" i="9"/>
  <c r="J27" i="9"/>
  <c r="G2" i="43"/>
  <c r="I2" i="43"/>
  <c r="M10" i="43"/>
  <c r="C6" i="43"/>
  <c r="C20" i="43"/>
  <c r="C5" i="43"/>
  <c r="G24" i="43"/>
  <c r="J24" i="43"/>
  <c r="S2" i="43"/>
  <c r="N10" i="43"/>
  <c r="F93" i="43"/>
  <c r="H93" i="43"/>
  <c r="G93" i="43"/>
  <c r="K93" i="43"/>
  <c r="D93" i="43"/>
  <c r="H94" i="43"/>
  <c r="G94" i="43"/>
  <c r="K94" i="43"/>
  <c r="D94" i="43"/>
  <c r="H95" i="43"/>
  <c r="G95" i="43"/>
  <c r="K95" i="43"/>
  <c r="D95" i="43"/>
  <c r="H96" i="43"/>
  <c r="G96" i="43"/>
  <c r="K96" i="43"/>
  <c r="D96" i="43"/>
  <c r="D97" i="43"/>
  <c r="H98" i="43"/>
  <c r="G98" i="43"/>
  <c r="K98" i="43"/>
  <c r="D98" i="43"/>
  <c r="D99" i="43"/>
  <c r="H100" i="43"/>
  <c r="G100" i="43"/>
  <c r="K100" i="43"/>
  <c r="J100" i="43"/>
  <c r="D100" i="43"/>
  <c r="H101" i="43"/>
  <c r="G101" i="43"/>
  <c r="K101" i="43"/>
  <c r="D101" i="43"/>
  <c r="E93" i="43"/>
  <c r="B91" i="43"/>
  <c r="C28" i="43"/>
  <c r="C22" i="43"/>
  <c r="T2" i="43"/>
  <c r="S3" i="43"/>
  <c r="T3" i="43"/>
  <c r="C17" i="43"/>
  <c r="D5" i="43"/>
  <c r="E44" i="43"/>
  <c r="F41" i="43"/>
  <c r="G41" i="43"/>
  <c r="C27" i="43"/>
  <c r="G3" i="43"/>
  <c r="E26" i="43"/>
  <c r="G26" i="43"/>
  <c r="F26" i="43"/>
  <c r="D26" i="43"/>
  <c r="C25" i="43"/>
  <c r="D13" i="4"/>
  <c r="C7" i="43"/>
  <c r="H26" i="43"/>
  <c r="H97" i="43"/>
  <c r="G97" i="43"/>
  <c r="H99" i="43"/>
  <c r="G99" i="43"/>
  <c r="D41" i="43"/>
  <c r="D33" i="43"/>
  <c r="Y6" i="1"/>
  <c r="N6" i="1"/>
  <c r="N18" i="1"/>
  <c r="B59" i="1"/>
  <c r="B21" i="1"/>
  <c r="G19" i="6"/>
  <c r="F19" i="6"/>
  <c r="I13" i="3"/>
  <c r="K13" i="3"/>
  <c r="I13" i="4"/>
  <c r="E27" i="45"/>
  <c r="G14" i="73"/>
  <c r="F14" i="73"/>
  <c r="E14" i="73"/>
  <c r="I12" i="79"/>
  <c r="T23" i="79"/>
  <c r="W23" i="79"/>
  <c r="AK23" i="79"/>
  <c r="V23" i="79"/>
  <c r="AJ23" i="79"/>
  <c r="U23" i="79"/>
  <c r="AI23" i="79"/>
  <c r="AH23" i="79"/>
  <c r="S23" i="79"/>
  <c r="AG23" i="79"/>
  <c r="R23" i="79"/>
  <c r="AF23" i="79"/>
  <c r="T22" i="79"/>
  <c r="W22" i="79"/>
  <c r="AK22" i="79"/>
  <c r="V22" i="79"/>
  <c r="AJ22" i="79"/>
  <c r="U22" i="79"/>
  <c r="AI22" i="79"/>
  <c r="AH22" i="79"/>
  <c r="S22" i="79"/>
  <c r="AG22" i="79"/>
  <c r="R22" i="79"/>
  <c r="AF22" i="79"/>
  <c r="T21" i="79"/>
  <c r="W21" i="79"/>
  <c r="AK21" i="79"/>
  <c r="V21" i="79"/>
  <c r="AJ21" i="79"/>
  <c r="U21" i="79"/>
  <c r="AI21" i="79"/>
  <c r="AH21" i="79"/>
  <c r="S21" i="79"/>
  <c r="AG21" i="79"/>
  <c r="R21" i="79"/>
  <c r="AF21" i="79"/>
  <c r="T20" i="79"/>
  <c r="W20" i="79"/>
  <c r="AK20" i="79"/>
  <c r="V20" i="79"/>
  <c r="AJ20" i="79"/>
  <c r="U20" i="79"/>
  <c r="AI20" i="79"/>
  <c r="AH20" i="79"/>
  <c r="S20" i="79"/>
  <c r="AG20" i="79"/>
  <c r="R20" i="79"/>
  <c r="AF20" i="79"/>
  <c r="T19" i="79"/>
  <c r="W19" i="79"/>
  <c r="AK19" i="79"/>
  <c r="V19" i="79"/>
  <c r="AJ19" i="79"/>
  <c r="U19" i="79"/>
  <c r="AI19" i="79"/>
  <c r="AH19" i="79"/>
  <c r="S19" i="79"/>
  <c r="AG19" i="79"/>
  <c r="R19" i="79"/>
  <c r="AF19" i="79"/>
  <c r="T18" i="79"/>
  <c r="W18" i="79"/>
  <c r="AK18" i="79"/>
  <c r="V18" i="79"/>
  <c r="AJ18" i="79"/>
  <c r="U18" i="79"/>
  <c r="AI18" i="79"/>
  <c r="AH18" i="79"/>
  <c r="S18" i="79"/>
  <c r="AG18" i="79"/>
  <c r="R18" i="79"/>
  <c r="AF18" i="79"/>
  <c r="T17" i="79"/>
  <c r="W17" i="79"/>
  <c r="AK17" i="79"/>
  <c r="V17" i="79"/>
  <c r="AJ17" i="79"/>
  <c r="U17" i="79"/>
  <c r="AI17" i="79"/>
  <c r="AH17" i="79"/>
  <c r="S17" i="79"/>
  <c r="AG17" i="79"/>
  <c r="R17" i="79"/>
  <c r="AF17" i="79"/>
  <c r="T16" i="79"/>
  <c r="W16" i="79"/>
  <c r="AK16" i="79"/>
  <c r="V16" i="79"/>
  <c r="AJ16" i="79"/>
  <c r="U16" i="79"/>
  <c r="AI16" i="79"/>
  <c r="AH16" i="79"/>
  <c r="S16" i="79"/>
  <c r="AG16" i="79"/>
  <c r="R16" i="79"/>
  <c r="AF16" i="79"/>
  <c r="T15" i="79"/>
  <c r="W15" i="79"/>
  <c r="AK15" i="79"/>
  <c r="V15" i="79"/>
  <c r="AJ15" i="79"/>
  <c r="U15" i="79"/>
  <c r="AI15" i="79"/>
  <c r="AH15" i="79"/>
  <c r="S15" i="79"/>
  <c r="AG15" i="79"/>
  <c r="R15" i="79"/>
  <c r="AF15" i="79"/>
  <c r="T14" i="79"/>
  <c r="W14" i="79"/>
  <c r="AK14" i="79"/>
  <c r="V14" i="79"/>
  <c r="AJ14" i="79"/>
  <c r="U14" i="79"/>
  <c r="AI14" i="79"/>
  <c r="AH14" i="79"/>
  <c r="S14" i="79"/>
  <c r="AG14" i="79"/>
  <c r="R14" i="79"/>
  <c r="AF14" i="79"/>
  <c r="T13" i="79"/>
  <c r="W13" i="79"/>
  <c r="AK13" i="79"/>
  <c r="V13" i="79"/>
  <c r="AJ13" i="79"/>
  <c r="U13" i="79"/>
  <c r="AI13" i="79"/>
  <c r="AH13" i="79"/>
  <c r="S13" i="79"/>
  <c r="AG13" i="79"/>
  <c r="R13" i="79"/>
  <c r="AF13" i="79"/>
  <c r="T12" i="79"/>
  <c r="W12" i="79"/>
  <c r="AK12" i="79"/>
  <c r="V12" i="79"/>
  <c r="AJ12" i="79"/>
  <c r="U12" i="79"/>
  <c r="AI12" i="79"/>
  <c r="AH12" i="79"/>
  <c r="S12" i="79"/>
  <c r="AG12" i="79"/>
  <c r="R12" i="79"/>
  <c r="AF12" i="79"/>
  <c r="T11" i="79"/>
  <c r="W11" i="79"/>
  <c r="AK11" i="79"/>
  <c r="V11" i="79"/>
  <c r="AJ11" i="79"/>
  <c r="U11" i="79"/>
  <c r="AI11" i="79"/>
  <c r="AH11" i="79"/>
  <c r="S11" i="79"/>
  <c r="AG11" i="79"/>
  <c r="R11" i="79"/>
  <c r="AF11" i="79"/>
  <c r="T10" i="79"/>
  <c r="W10" i="79"/>
  <c r="AK10" i="79"/>
  <c r="V10" i="79"/>
  <c r="AJ10" i="79"/>
  <c r="U10" i="79"/>
  <c r="AI10" i="79"/>
  <c r="AH10" i="79"/>
  <c r="S10" i="79"/>
  <c r="AG10" i="79"/>
  <c r="R10" i="79"/>
  <c r="AF10" i="79"/>
  <c r="AR34" i="79"/>
  <c r="AP34" i="79"/>
  <c r="AO34" i="79"/>
  <c r="AP35" i="79"/>
  <c r="AP36" i="79"/>
  <c r="AP37" i="79"/>
  <c r="AP38" i="79"/>
  <c r="AP39" i="79"/>
  <c r="AP40" i="79"/>
  <c r="AP41" i="79"/>
  <c r="AP42" i="79"/>
  <c r="AP43" i="79"/>
  <c r="AP44" i="79"/>
  <c r="AP45" i="79"/>
  <c r="AP46" i="79"/>
  <c r="AP47" i="79"/>
  <c r="AP48" i="79"/>
  <c r="AP49" i="79"/>
  <c r="AP50" i="79"/>
  <c r="AP51" i="79"/>
  <c r="AP52" i="79"/>
  <c r="AO35" i="79"/>
  <c r="AO36" i="79"/>
  <c r="AO37" i="79"/>
  <c r="AO38" i="79"/>
  <c r="AO39" i="79"/>
  <c r="AO40" i="79"/>
  <c r="AO41" i="79"/>
  <c r="AO42" i="79"/>
  <c r="AO43" i="79"/>
  <c r="AO44" i="79"/>
  <c r="AO45" i="79"/>
  <c r="AO46" i="79"/>
  <c r="AO47" i="79"/>
  <c r="AO48" i="79"/>
  <c r="AO49" i="79"/>
  <c r="AO50" i="79"/>
  <c r="AO51" i="79"/>
  <c r="AO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T50" i="79"/>
  <c r="W50" i="79"/>
  <c r="AK50" i="79"/>
  <c r="T49" i="79"/>
  <c r="W49" i="79"/>
  <c r="AK49" i="79"/>
  <c r="T48" i="79"/>
  <c r="W48" i="79"/>
  <c r="AK48" i="79"/>
  <c r="T47" i="79"/>
  <c r="W47" i="79"/>
  <c r="AK47" i="79"/>
  <c r="T46" i="79"/>
  <c r="W46" i="79"/>
  <c r="AK46" i="79"/>
  <c r="T45" i="79"/>
  <c r="W45" i="79"/>
  <c r="AK45" i="79"/>
  <c r="T44" i="79"/>
  <c r="W44" i="79"/>
  <c r="AK44" i="79"/>
  <c r="T43" i="79"/>
  <c r="W43" i="79"/>
  <c r="AK43" i="79"/>
  <c r="T42" i="79"/>
  <c r="W42" i="79"/>
  <c r="AK42" i="79"/>
  <c r="T41" i="79"/>
  <c r="W41" i="79"/>
  <c r="AK41" i="79"/>
  <c r="T40" i="79"/>
  <c r="W40" i="79"/>
  <c r="AK40" i="79"/>
  <c r="T39" i="79"/>
  <c r="W39" i="79"/>
  <c r="AK39" i="79"/>
  <c r="T38" i="79"/>
  <c r="W38" i="79"/>
  <c r="AK38" i="79"/>
  <c r="U50" i="79"/>
  <c r="AI50" i="79"/>
  <c r="AH50" i="79"/>
  <c r="S50" i="79"/>
  <c r="AG50" i="79"/>
  <c r="U49" i="79"/>
  <c r="AI49" i="79"/>
  <c r="AH49" i="79"/>
  <c r="S49" i="79"/>
  <c r="AG49" i="79"/>
  <c r="U48" i="79"/>
  <c r="AI48" i="79"/>
  <c r="AH48" i="79"/>
  <c r="S48" i="79"/>
  <c r="AG48" i="79"/>
  <c r="U47" i="79"/>
  <c r="AI47" i="79"/>
  <c r="AH47" i="79"/>
  <c r="S47" i="79"/>
  <c r="AG47" i="79"/>
  <c r="U46" i="79"/>
  <c r="AI46" i="79"/>
  <c r="AH46" i="79"/>
  <c r="S46" i="79"/>
  <c r="AG46" i="79"/>
  <c r="U45" i="79"/>
  <c r="AI45" i="79"/>
  <c r="AH45" i="79"/>
  <c r="S45" i="79"/>
  <c r="AG45" i="79"/>
  <c r="U44" i="79"/>
  <c r="AI44" i="79"/>
  <c r="AH44" i="79"/>
  <c r="S44" i="79"/>
  <c r="AG44" i="79"/>
  <c r="U43" i="79"/>
  <c r="AI43" i="79"/>
  <c r="AH43" i="79"/>
  <c r="S43" i="79"/>
  <c r="AG43" i="79"/>
  <c r="U42" i="79"/>
  <c r="AI42" i="79"/>
  <c r="AH42" i="79"/>
  <c r="S42" i="79"/>
  <c r="AG42" i="79"/>
  <c r="U41" i="79"/>
  <c r="AI41" i="79"/>
  <c r="AH41" i="79"/>
  <c r="S41" i="79"/>
  <c r="AG41" i="79"/>
  <c r="U40" i="79"/>
  <c r="AI40" i="79"/>
  <c r="AH40" i="79"/>
  <c r="S40" i="79"/>
  <c r="AG40" i="79"/>
  <c r="U39" i="79"/>
  <c r="AI39" i="79"/>
  <c r="AH39" i="79"/>
  <c r="S39" i="79"/>
  <c r="AG39" i="79"/>
  <c r="U38" i="79"/>
  <c r="AI38" i="79"/>
  <c r="AH38" i="79"/>
  <c r="S38" i="79"/>
  <c r="AG38" i="79"/>
  <c r="T51" i="79"/>
  <c r="AH51" i="79"/>
  <c r="U51" i="79"/>
  <c r="AI51" i="79"/>
  <c r="W51" i="79"/>
  <c r="AK51" i="79"/>
  <c r="S51" i="79"/>
  <c r="AG51" i="79"/>
  <c r="AB33" i="79"/>
  <c r="AA33" i="79"/>
  <c r="Z33" i="79"/>
  <c r="N33" i="79"/>
  <c r="M33" i="79"/>
  <c r="P33" i="79"/>
  <c r="L33" i="79"/>
  <c r="I33" i="79"/>
  <c r="AD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4" i="79"/>
  <c r="AR35" i="79"/>
  <c r="AR36" i="79"/>
  <c r="AR8" i="79"/>
  <c r="AD35"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J101" i="43"/>
  <c r="M100" i="43"/>
  <c r="N100" i="43"/>
  <c r="M99" i="43"/>
  <c r="N99" i="43"/>
  <c r="K99" i="43"/>
  <c r="J99" i="43"/>
  <c r="M98" i="43"/>
  <c r="N98" i="43"/>
  <c r="J98" i="43"/>
  <c r="M97" i="43"/>
  <c r="N97" i="43"/>
  <c r="K97" i="43"/>
  <c r="J97" i="43"/>
  <c r="M96" i="43"/>
  <c r="N96" i="43"/>
  <c r="J96" i="43"/>
  <c r="M95" i="43"/>
  <c r="N95" i="43"/>
  <c r="J95" i="43"/>
  <c r="M94" i="43"/>
  <c r="N94" i="43"/>
  <c r="J94" i="43"/>
  <c r="M93" i="43"/>
  <c r="N93" i="43"/>
  <c r="J93" i="43"/>
  <c r="B95"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AB52" i="79"/>
  <c r="AA52" i="79"/>
  <c r="Z52" i="79"/>
  <c r="W52" i="79"/>
  <c r="N52" i="79"/>
  <c r="M52" i="79"/>
  <c r="P52" i="79"/>
  <c r="L52" i="79"/>
  <c r="I52" i="79"/>
  <c r="AD52" i="79"/>
  <c r="AB51" i="79"/>
  <c r="AA51" i="79"/>
  <c r="Z51" i="79"/>
  <c r="N51" i="79"/>
  <c r="M51" i="79"/>
  <c r="L51" i="79"/>
  <c r="I51" i="79"/>
  <c r="AD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c r="AB46" i="79"/>
  <c r="AA46" i="79"/>
  <c r="Z46" i="79"/>
  <c r="N46" i="79"/>
  <c r="M46" i="79"/>
  <c r="L46" i="79"/>
  <c r="I46" i="79"/>
  <c r="AB45" i="79"/>
  <c r="AA45" i="79"/>
  <c r="Z45" i="79"/>
  <c r="N45" i="79"/>
  <c r="M45"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S6" i="43"/>
  <c r="S5" i="43"/>
  <c r="S4" i="43"/>
  <c r="N21" i="43"/>
  <c r="H116" i="43"/>
  <c r="F37" i="43"/>
  <c r="F38" i="43"/>
  <c r="F39" i="43"/>
  <c r="F40" i="43"/>
  <c r="F42" i="43"/>
  <c r="N1" i="43"/>
  <c r="M2" i="43"/>
  <c r="N2" i="43"/>
  <c r="M3" i="43"/>
  <c r="N3" i="43"/>
  <c r="M4" i="43"/>
  <c r="N4" i="43"/>
  <c r="M5" i="43"/>
  <c r="N5" i="43"/>
  <c r="N11" i="43"/>
  <c r="M6" i="43"/>
  <c r="N6" i="43"/>
  <c r="M7" i="43"/>
  <c r="N7" i="43"/>
  <c r="M8" i="43"/>
  <c r="N8" i="43"/>
  <c r="M9" i="43"/>
  <c r="N9"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E37" i="69"/>
  <c r="F36" i="69"/>
  <c r="F35" i="69"/>
  <c r="F21" i="69"/>
  <c r="F40" i="69"/>
  <c r="F20" i="69"/>
  <c r="F39" i="69"/>
  <c r="E10" i="69"/>
  <c r="E9"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B19" i="53"/>
  <c r="B37" i="72"/>
  <c r="C7" i="39"/>
  <c r="C67" i="39"/>
  <c r="C7" i="35"/>
  <c r="C7" i="33"/>
  <c r="C7" i="21"/>
  <c r="C7" i="40"/>
  <c r="C63" i="40"/>
  <c r="M47" i="9"/>
  <c r="A4" i="51"/>
  <c r="B6" i="72"/>
  <c r="C48" i="35"/>
  <c r="D48" i="35"/>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K120" i="9"/>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F36" i="15"/>
  <c r="L48" i="15"/>
  <c r="M6" i="1"/>
  <c r="M16" i="1"/>
  <c r="N16" i="1"/>
  <c r="F50" i="69"/>
  <c r="C76" i="15"/>
  <c r="F20" i="31"/>
  <c r="F7" i="15"/>
  <c r="B7" i="76"/>
  <c r="E9" i="76"/>
  <c r="M6" i="15"/>
  <c r="E7" i="76"/>
  <c r="D6" i="73"/>
  <c r="M8" i="15"/>
  <c r="F38" i="15"/>
  <c r="F42" i="15"/>
  <c r="F43" i="15"/>
  <c r="B10" i="76"/>
  <c r="B9" i="76"/>
  <c r="C76" i="67"/>
  <c r="F3" i="73"/>
  <c r="E13" i="76"/>
  <c r="E10" i="76"/>
  <c r="M23" i="67"/>
  <c r="E8" i="76"/>
  <c r="B11" i="76"/>
  <c r="M22" i="15"/>
  <c r="F8" i="15"/>
  <c r="F37" i="15"/>
  <c r="E12" i="76"/>
  <c r="F6" i="15"/>
  <c r="L47" i="15"/>
  <c r="L47" i="67"/>
  <c r="E11" i="76"/>
  <c r="M24" i="15"/>
  <c r="B13" i="76"/>
  <c r="B8" i="76"/>
  <c r="F5" i="73"/>
  <c r="F13" i="15"/>
  <c r="M9" i="15"/>
  <c r="AO13" i="1"/>
  <c r="F26" i="15"/>
  <c r="M22" i="67"/>
  <c r="M29" i="15"/>
  <c r="J15" i="15"/>
  <c r="M24" i="67"/>
  <c r="D35" i="9"/>
  <c r="M28" i="15"/>
  <c r="F9" i="15"/>
  <c r="M26" i="15"/>
  <c r="F40" i="15"/>
  <c r="M29" i="67"/>
  <c r="F6" i="73"/>
  <c r="E2" i="69"/>
  <c r="M26" i="67"/>
  <c r="B12" i="76"/>
  <c r="F16" i="15"/>
  <c r="D34" i="9"/>
  <c r="M28" i="67"/>
  <c r="M23" i="15"/>
  <c r="J15" i="67"/>
  <c r="E2" i="68"/>
  <c r="F7" i="73"/>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H67" i="43"/>
  <c r="H50" i="43"/>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E29" i="6"/>
  <c r="K15" i="1"/>
  <c r="F30" i="6"/>
  <c r="G30" i="6"/>
  <c r="G31" i="6"/>
  <c r="E28" i="6"/>
  <c r="L19" i="6"/>
  <c r="L27" i="6"/>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J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AC21" i="39"/>
  <c r="AB23" i="39"/>
  <c r="AB15" i="39"/>
  <c r="AC15" i="39"/>
  <c r="S25" i="39"/>
  <c r="W39" i="39"/>
  <c r="W42" i="39"/>
  <c r="W14" i="39"/>
  <c r="S29" i="39"/>
  <c r="G21"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D22" i="9"/>
  <c r="Q71" i="15"/>
  <c r="J53" i="15"/>
  <c r="L56" i="15"/>
  <c r="J57" i="15"/>
  <c r="J55" i="15"/>
  <c r="J58" i="15"/>
  <c r="Q50" i="15"/>
  <c r="I54" i="15"/>
  <c r="B20" i="31"/>
  <c r="B21" i="31"/>
  <c r="F51" i="67"/>
  <c r="F65" i="67"/>
  <c r="Q50" i="67"/>
  <c r="L56" i="67"/>
  <c r="I54" i="67"/>
  <c r="M7" i="15"/>
  <c r="J6" i="15"/>
  <c r="F50" i="15"/>
  <c r="F51" i="15"/>
  <c r="F71" i="15"/>
  <c r="C6" i="15"/>
  <c r="F66" i="67"/>
  <c r="L59" i="15"/>
  <c r="N59" i="15"/>
  <c r="L58" i="15"/>
  <c r="M59" i="15"/>
  <c r="F66" i="15"/>
  <c r="Q71" i="67"/>
  <c r="F64" i="15"/>
  <c r="D103" i="9"/>
  <c r="F71" i="67"/>
  <c r="C27" i="15"/>
  <c r="F65" i="15"/>
  <c r="C103" i="9"/>
  <c r="N59" i="67"/>
  <c r="L59" i="67"/>
  <c r="L58" i="67"/>
  <c r="M59" i="67"/>
  <c r="B13" i="70"/>
  <c r="F50" i="67"/>
  <c r="F68" i="67"/>
  <c r="F64" i="67"/>
  <c r="F68" i="15"/>
  <c r="C36" i="68"/>
  <c r="D9" i="68"/>
  <c r="D3" i="73"/>
  <c r="C16" i="15"/>
  <c r="D7" i="73"/>
  <c r="G16" i="1"/>
  <c r="F10" i="39"/>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9" i="68"/>
  <c r="E72" i="43"/>
  <c r="B70" i="43"/>
  <c r="F45" i="69"/>
  <c r="F27" i="11"/>
  <c r="C29" i="11"/>
  <c r="D27" i="11"/>
  <c r="F28" i="12"/>
  <c r="C29" i="12"/>
  <c r="D28" i="12"/>
  <c r="E60" i="40"/>
  <c r="F31" i="6"/>
  <c r="E51" i="40"/>
  <c r="E16" i="6"/>
  <c r="AC6" i="3"/>
  <c r="H6" i="3"/>
  <c r="E58" i="40"/>
  <c r="E62" i="39"/>
  <c r="E3" i="6"/>
  <c r="M14" i="1"/>
  <c r="J10" i="40"/>
  <c r="AC10" i="40"/>
  <c r="H10" i="39"/>
  <c r="U10" i="39"/>
  <c r="F10" i="40"/>
  <c r="S10" i="40"/>
  <c r="J10" i="39"/>
  <c r="W10" i="39"/>
  <c r="H10" i="40"/>
  <c r="AB10" i="40"/>
  <c r="D10" i="52"/>
  <c r="D125" i="9"/>
  <c r="D11" i="52"/>
  <c r="B7" i="74"/>
  <c r="C7" i="74"/>
  <c r="F67" i="39"/>
  <c r="F59" i="67"/>
  <c r="H7" i="37"/>
  <c r="AB7" i="37"/>
  <c r="T42" i="37"/>
  <c r="G42" i="37"/>
  <c r="S10" i="39"/>
  <c r="AA10" i="39"/>
  <c r="H7" i="33"/>
  <c r="J7" i="33"/>
  <c r="D65" i="40"/>
  <c r="E63" i="40"/>
  <c r="F48" i="35"/>
  <c r="S7" i="36"/>
  <c r="AC7" i="37"/>
  <c r="W7" i="37"/>
  <c r="AB7" i="36"/>
  <c r="T36" i="36"/>
  <c r="G36" i="36"/>
  <c r="U7" i="36"/>
  <c r="F7" i="33"/>
  <c r="E58" i="21"/>
  <c r="AC7" i="36"/>
  <c r="V36" i="36"/>
  <c r="I36" i="36"/>
  <c r="W7" i="36"/>
  <c r="F7" i="37"/>
  <c r="M17" i="67"/>
  <c r="M17" i="15"/>
  <c r="F59" i="15"/>
  <c r="P28" i="43"/>
  <c r="B66" i="40"/>
  <c r="P25" i="43"/>
  <c r="C49" i="67"/>
  <c r="P29" i="43"/>
  <c r="P27" i="43"/>
  <c r="B70" i="39"/>
  <c r="C49" i="15"/>
  <c r="J18" i="15"/>
  <c r="Q60" i="67"/>
  <c r="Q73" i="67"/>
  <c r="F11" i="15"/>
  <c r="M11" i="15"/>
  <c r="J10" i="15"/>
  <c r="J5" i="15"/>
  <c r="J24" i="15"/>
  <c r="F1" i="15"/>
  <c r="Q52" i="15"/>
  <c r="J18" i="67"/>
  <c r="C32" i="15"/>
  <c r="Q52" i="67"/>
  <c r="Q60" i="15"/>
  <c r="Q73" i="15"/>
  <c r="Q61" i="67"/>
  <c r="Q74" i="67"/>
  <c r="Q74" i="15"/>
  <c r="Q61" i="15"/>
  <c r="AE11" i="1"/>
  <c r="AE9" i="1"/>
  <c r="F27" i="68"/>
  <c r="AE7" i="1"/>
  <c r="AE8" i="1"/>
  <c r="AE12" i="1"/>
  <c r="AE10" i="1"/>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V3" i="43"/>
  <c r="V2" i="43"/>
  <c r="T6" i="43"/>
  <c r="V6" i="43"/>
  <c r="T5" i="43"/>
  <c r="V5" i="43"/>
  <c r="C40" i="43"/>
  <c r="C37" i="43"/>
  <c r="K21" i="6"/>
  <c r="S8" i="1"/>
  <c r="E8" i="70"/>
  <c r="F45" i="68"/>
  <c r="C47" i="68"/>
  <c r="D45" i="68"/>
  <c r="C29" i="68"/>
  <c r="D27"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53" i="15"/>
  <c r="C48" i="15"/>
  <c r="C66" i="15"/>
  <c r="C10" i="15"/>
  <c r="C5" i="15"/>
  <c r="C38" i="15"/>
  <c r="F25" i="12"/>
  <c r="C35" i="9"/>
  <c r="F41" i="15"/>
  <c r="M27" i="15"/>
  <c r="M27" i="67"/>
  <c r="F22" i="68"/>
  <c r="F22" i="11"/>
  <c r="C23" i="11"/>
  <c r="F24" i="15"/>
  <c r="C24" i="15"/>
  <c r="F41" i="69"/>
  <c r="E49"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E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44" i="68"/>
  <c r="D41" i="68"/>
  <c r="C23" i="68"/>
  <c r="C26" i="68"/>
  <c r="D22" i="68"/>
  <c r="C26" i="12"/>
  <c r="D25" i="12"/>
  <c r="C44" i="11"/>
  <c r="D41" i="11"/>
  <c r="C26" i="11"/>
  <c r="D22" i="11"/>
  <c r="C34" i="9"/>
  <c r="C66" i="67"/>
  <c r="C60" i="67"/>
  <c r="D10" i="68"/>
  <c r="C17" i="15"/>
  <c r="C25" i="11"/>
  <c r="C24" i="11"/>
  <c r="C16" i="71"/>
  <c r="D17" i="71"/>
  <c r="H23" i="6"/>
  <c r="C30"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J19" i="67"/>
  <c r="C34" i="68"/>
  <c r="B6" i="76"/>
  <c r="C14" i="15"/>
  <c r="E6" i="76"/>
  <c r="C22" i="11"/>
  <c r="C31" i="11"/>
  <c r="C15" i="71"/>
  <c r="T16" i="71"/>
  <c r="D16" i="71"/>
  <c r="U16" i="71"/>
  <c r="T16" i="1"/>
  <c r="C18" i="15"/>
  <c r="C15" i="15"/>
  <c r="C38" i="68"/>
  <c r="C35" i="68"/>
  <c r="C36" i="11"/>
  <c r="C37" i="11"/>
  <c r="C34" i="11"/>
  <c r="C23" i="12"/>
  <c r="C14" i="12"/>
  <c r="C16" i="12"/>
  <c r="C21" i="12"/>
  <c r="C22" i="12"/>
  <c r="H19" i="6"/>
  <c r="S19" i="6"/>
  <c r="S27" i="6"/>
  <c r="I27" i="6"/>
  <c r="C19" i="68"/>
  <c r="D37" i="68"/>
  <c r="C37" i="68"/>
  <c r="C19" i="69"/>
  <c r="I5" i="6"/>
  <c r="I6" i="6"/>
  <c r="E2" i="76"/>
  <c r="B2" i="76"/>
  <c r="I69" i="39"/>
  <c r="J67" i="39"/>
  <c r="I63" i="40"/>
  <c r="H65" i="40"/>
  <c r="I58" i="21"/>
  <c r="J58" i="21"/>
  <c r="K58" i="21"/>
  <c r="L58" i="21"/>
  <c r="M58" i="21"/>
  <c r="N58" i="21"/>
  <c r="O58" i="21"/>
  <c r="H7" i="21"/>
  <c r="J48" i="35"/>
  <c r="C14" i="71"/>
  <c r="D15" i="71"/>
  <c r="F7" i="21"/>
  <c r="S7" i="21"/>
  <c r="J7" i="21"/>
  <c r="AC7" i="21"/>
  <c r="V48" i="21"/>
  <c r="I48" i="21"/>
  <c r="Q48" i="67"/>
  <c r="C19" i="15"/>
  <c r="C20" i="15"/>
  <c r="C26" i="15"/>
  <c r="C33" i="68"/>
  <c r="C39" i="68"/>
  <c r="C30" i="12"/>
  <c r="C28" i="12"/>
  <c r="C38" i="11"/>
  <c r="C35" i="11"/>
  <c r="H27" i="6"/>
  <c r="R19" i="6"/>
  <c r="C27" i="12"/>
  <c r="C25" i="12"/>
  <c r="C20" i="68"/>
  <c r="C28" i="68"/>
  <c r="C27" i="68"/>
  <c r="C24" i="68"/>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57" i="67"/>
  <c r="C64" i="67"/>
  <c r="Q70" i="67"/>
  <c r="C33" i="11"/>
  <c r="C39" i="11"/>
  <c r="C61" i="67"/>
  <c r="C42" i="68"/>
  <c r="C32" i="12"/>
  <c r="B2" i="12"/>
  <c r="B3" i="12"/>
  <c r="C23" i="15"/>
  <c r="C29" i="15"/>
  <c r="R27" i="6"/>
  <c r="C25" i="68"/>
  <c r="C22" i="68"/>
  <c r="C31" i="68"/>
  <c r="C46" i="68"/>
  <c r="C45" i="68"/>
  <c r="C43" i="68"/>
  <c r="L67" i="39"/>
  <c r="K69" i="39"/>
  <c r="J65" i="40"/>
  <c r="K63" i="40"/>
  <c r="I52" i="21"/>
  <c r="J52" i="21"/>
  <c r="U7" i="35"/>
  <c r="AB7" i="35"/>
  <c r="T38" i="35"/>
  <c r="G38" i="35"/>
  <c r="G52" i="21"/>
  <c r="H52" i="21"/>
  <c r="G53" i="21"/>
  <c r="H53" i="21"/>
  <c r="F7" i="35"/>
  <c r="F35" i="15"/>
  <c r="M21" i="15"/>
  <c r="M21" i="67"/>
  <c r="E48" i="21"/>
  <c r="AC7" i="35"/>
  <c r="V38" i="35"/>
  <c r="I38" i="35"/>
  <c r="C12" i="71"/>
  <c r="D13"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Q67" i="67"/>
  <c r="Q65" i="67"/>
  <c r="B2" i="33"/>
  <c r="B3" i="33"/>
  <c r="C83" i="67"/>
  <c r="C82" i="67"/>
  <c r="Q47" i="67"/>
  <c r="Q53" i="67"/>
  <c r="C46" i="67"/>
  <c r="Q56" i="67"/>
  <c r="C43" i="67"/>
  <c r="C80" i="15"/>
  <c r="C79" i="15"/>
  <c r="C40" i="15"/>
  <c r="C46" i="15"/>
  <c r="H7" i="39"/>
  <c r="J7" i="39"/>
  <c r="S7" i="39"/>
  <c r="AA7" i="39"/>
  <c r="R47" i="39"/>
  <c r="O63" i="40"/>
  <c r="O65" i="40"/>
  <c r="N65" i="40"/>
  <c r="D2" i="37"/>
  <c r="L51" i="15"/>
  <c r="D2" i="36"/>
  <c r="D2" i="34"/>
  <c r="D2" i="35"/>
  <c r="C8" i="71"/>
  <c r="D9" i="71"/>
  <c r="Q57" i="67"/>
  <c r="Q62" i="67"/>
  <c r="Q66" i="67"/>
  <c r="Q75"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AO6"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H118" i="9"/>
  <c r="H101" i="9"/>
  <c r="H107" i="9"/>
  <c r="M49" i="9"/>
  <c r="L68" i="9"/>
  <c r="M68" i="9"/>
  <c r="L65" i="9"/>
  <c r="M65" i="9"/>
  <c r="L66" i="9"/>
  <c r="M66" i="9"/>
  <c r="L64" i="9"/>
  <c r="M64" i="9"/>
  <c r="L63" i="9"/>
  <c r="M63" i="9"/>
  <c r="L67" i="9"/>
  <c r="M67" i="9"/>
  <c r="M69" i="9"/>
  <c r="N69" i="9"/>
  <c r="M48" i="9"/>
  <c r="C105" i="9"/>
  <c r="I4" i="52"/>
  <c r="D45" i="9"/>
  <c r="D55" i="9"/>
  <c r="M53" i="9"/>
  <c r="C85" i="9"/>
  <c r="C93" i="9"/>
  <c r="C86" i="9"/>
  <c r="C95" i="9"/>
  <c r="C96" i="9"/>
  <c r="C97" i="9"/>
  <c r="D58" i="9"/>
  <c r="D56" i="9"/>
  <c r="M54" i="9"/>
  <c r="C64" i="9"/>
  <c r="C63" i="9"/>
  <c r="C67" i="9"/>
  <c r="D59" i="9"/>
  <c r="M55" i="9"/>
  <c r="N57" i="9"/>
  <c r="P57" i="9"/>
  <c r="N58" i="9"/>
  <c r="D52" i="9"/>
  <c r="D53" i="9"/>
  <c r="C72" i="9"/>
  <c r="C78" i="9"/>
  <c r="C73" i="9"/>
  <c r="C79" i="9"/>
  <c r="C80" i="9"/>
  <c r="E80" i="9"/>
  <c r="E81" i="9"/>
  <c r="H102" i="9"/>
  <c r="H108" i="9"/>
  <c r="C6" i="74"/>
  <c r="C81" i="9"/>
  <c r="D5" i="53"/>
  <c r="B20" i="72"/>
  <c r="C5" i="74"/>
  <c r="C104" i="9"/>
  <c r="H4" i="52"/>
  <c r="D122" i="9"/>
  <c r="D8" i="52"/>
  <c r="N59" i="9"/>
  <c r="N61" i="9"/>
  <c r="N60" i="9"/>
  <c r="D13" i="53"/>
  <c r="B30" i="72"/>
  <c r="D15" i="53"/>
  <c r="B31" i="72"/>
  <c r="D6" i="53"/>
  <c r="B22" i="72"/>
  <c r="D7" i="53"/>
  <c r="B21" i="72"/>
  <c r="C68" i="9"/>
  <c r="D54" i="9"/>
  <c r="E96" i="9"/>
  <c r="E97" i="9"/>
  <c r="G118" i="9"/>
  <c r="F118" i="9"/>
  <c r="F4" i="52"/>
  <c r="B51" i="72"/>
  <c r="E118" i="9"/>
  <c r="D118" i="9"/>
  <c r="D119" i="9"/>
  <c r="D5" i="52"/>
  <c r="B49" i="72"/>
  <c r="E4" i="52"/>
  <c r="B48" i="72"/>
  <c r="D4" i="52"/>
  <c r="B47" i="72"/>
  <c r="H119" i="9"/>
  <c r="H5" i="52"/>
  <c r="D14" i="53"/>
  <c r="B32" i="72"/>
  <c r="D123" i="9"/>
  <c r="D9" i="52"/>
  <c r="G4" i="52"/>
  <c r="B52" i="72"/>
  <c r="F119" i="9"/>
  <c r="F5" i="52"/>
  <c r="B53"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<sst xmlns="http://schemas.openxmlformats.org/spreadsheetml/2006/main" count="7905" uniqueCount="3449">
  <si>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</si>
  <si>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</si>
  <si>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</si>
  <si>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</si>
  <si>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</si>
  <si>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</si>
  <si>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</si>
  <si>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</si>
  <si>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</si>
  <si>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</si>
  <si>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</si>
  <si>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</si>
  <si>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</si>
  <si>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</si>
  <si>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</si>
  <si>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</si>
  <si>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</si>
  <si>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</si>
  <si>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</si>
  <si>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</si>
  <si>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</si>
  <si>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</si>
  <si>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</si>
  <si>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</si>
  <si>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</si>
  <si>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</si>
  <si>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</si>
  <si>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</si>
  <si>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</si>
  <si>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</si>
  <si>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</si>
  <si>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</si>
  <si>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</si>
  <si>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</si>
  <si>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</si>
  <si>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</si>
  <si>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</si>
  <si>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</si>
  <si>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</si>
  <si>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</si>
  <si>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</si>
  <si>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</si>
  <si>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</si>
  <si>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</si>
  <si>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</si>
  <si>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</si>
  <si>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</si>
  <si>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</si>
  <si>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</si>
  <si>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</si>
  <si>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</si>
  <si>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</si>
  <si>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</si>
  <si>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</si>
  <si>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</si>
  <si>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</si>
  <si>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</si>
  <si>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</si>
  <si>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</si>
  <si>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</si>
  <si>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</si>
  <si>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</si>
  <si>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</si>
  <si>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</si>
  <si>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</si>
  <si>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</si>
  <si>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</si>
  <si>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</si>
  <si>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</si>
  <si>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</si>
  <si>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</si>
  <si>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</si>
  <si>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</si>
  <si>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</si>
  <si>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</si>
  <si>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</si>
  <si>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</si>
  <si>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</si>
  <si>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</si>
  <si>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</si>
  <si>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</si>
  <si>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</si>
  <si>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</si>
  <si>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</si>
  <si>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</si>
  <si>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</si>
  <si>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</si>
  <si>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</si>
  <si>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</si>
  <si>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</si>
  <si>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</si>
  <si>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</si>
  <si>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</si>
  <si>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</si>
  <si>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</si>
  <si>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</si>
  <si>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</si>
  <si>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</si>
  <si>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</si>
  <si>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</si>
  <si>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</si>
  <si>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</si>
  <si>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</si>
  <si>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</si>
  <si>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</si>
  <si>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</si>
  <si>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</si>
  <si>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</si>
  <si>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</si>
  <si>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</si>
  <si>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</si>
  <si>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</si>
  <si>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</si>
  <si>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</si>
  <si>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</si>
  <si>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</si>
  <si>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</si>
  <si>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</si>
  <si>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</si>
  <si>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</si>
  <si>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</si>
  <si>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</si>
  <si>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</si>
  <si>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</si>
  <si>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</si>
  <si>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</si>
  <si>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</si>
  <si>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</si>
  <si>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</si>
  <si>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</si>
  <si>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</si>
  <si>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</si>
  <si>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</si>
  <si>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</si>
  <si>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</si>
  <si>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</si>
  <si>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</si>
  <si>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</si>
  <si>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</si>
  <si>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</si>
  <si>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</si>
  <si>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</si>
  <si>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</si>
  <si>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</si>
  <si>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</si>
  <si>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</si>
  <si>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</si>
  <si>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</si>
  <si>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</si>
  <si>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</si>
  <si>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</si>
  <si>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</si>
  <si>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</si>
  <si>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</si>
  <si>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</si>
  <si>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</si>
  <si>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</si>
  <si>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</si>
  <si>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</si>
  <si>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</si>
  <si>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</si>
  <si>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</si>
  <si>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</si>
  <si>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</si>
  <si>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</si>
  <si>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</si>
  <si>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</si>
  <si>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</si>
  <si>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</si>
  <si>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</si>
  <si>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</si>
  <si>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</si>
  <si>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</si>
  <si>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</si>
  <si>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</si>
  <si>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</si>
  <si>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</si>
  <si>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</si>
  <si>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</si>
  <si>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</si>
  <si>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</si>
  <si>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</si>
  <si>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</si>
  <si>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</si>
  <si>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</si>
  <si>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</si>
  <si>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</si>
  <si>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</si>
  <si>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</si>
  <si>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</si>
  <si>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</si>
  <si>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</si>
  <si>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</si>
  <si>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</si>
  <si>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</si>
  <si>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</si>
  <si>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</si>
  <si>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</si>
  <si>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</si>
  <si>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</si>
  <si>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</si>
  <si>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</si>
  <si>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</si>
  <si>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</si>
  <si>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</si>
  <si>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</si>
  <si>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</si>
  <si>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</si>
  <si>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</si>
  <si>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</si>
  <si>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</si>
  <si>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</si>
  <si>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</si>
  <si>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</si>
  <si>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</si>
  <si>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</si>
  <si>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</si>
  <si>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</si>
  <si>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</si>
  <si>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</si>
  <si>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</si>
  <si>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</si>
  <si>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</si>
  <si>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</si>
  <si>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</si>
  <si>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</si>
  <si>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</si>
  <si>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</si>
  <si>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</si>
  <si>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</si>
  <si>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</si>
  <si>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</si>
  <si>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</si>
  <si>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</si>
  <si>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</si>
  <si>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</si>
  <si>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</si>
  <si>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</si>
  <si>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</si>
  <si>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</si>
  <si>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</si>
  <si>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</si>
  <si>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</si>
  <si>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</si>
  <si>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</si>
  <si>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</si>
  <si>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</si>
  <si>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</si>
  <si>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</si>
  <si>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</si>
  <si>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</si>
  <si>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</si>
  <si>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</si>
  <si>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</si>
  <si>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</si>
  <si>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</si>
  <si>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</si>
  <si>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</si>
  <si>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</si>
  <si>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</si>
  <si>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</si>
  <si>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</si>
  <si>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</si>
  <si>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</si>
  <si>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</si>
  <si>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</si>
  <si>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</si>
  <si>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</si>
  <si>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</si>
  <si>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</si>
  <si>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</si>
  <si>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</si>
  <si>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</si>
  <si>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</si>
  <si>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</si>
  <si>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</si>
  <si>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</si>
  <si>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</si>
  <si>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</si>
  <si>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</si>
  <si>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</si>
  <si>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</si>
  <si>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</si>
  <si>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</si>
  <si>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</si>
  <si>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</si>
  <si>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</si>
  <si>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</si>
  <si>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</si>
  <si>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</si>
  <si>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</si>
  <si>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</si>
  <si>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</si>
  <si>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</si>
  <si>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</si>
  <si>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</si>
  <si>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</si>
  <si>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</si>
  <si>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</si>
  <si>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</si>
  <si>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</si>
  <si>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</si>
  <si>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</si>
  <si>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</si>
  <si>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</si>
  <si>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</si>
  <si>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</si>
  <si>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</si>
  <si>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</si>
  <si>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</si>
  <si>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</si>
  <si>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</si>
  <si>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</si>
  <si>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</si>
  <si>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</si>
  <si>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</si>
  <si>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</si>
  <si>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</si>
  <si>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</si>
  <si>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</si>
  <si>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</si>
  <si>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</si>
  <si>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</si>
  <si>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</si>
  <si>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</si>
  <si>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</si>
  <si>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</si>
  <si>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</si>
  <si>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</si>
  <si>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</si>
  <si>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</si>
  <si>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</si>
  <si>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</si>
  <si>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</si>
  <si>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</si>
  <si>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</si>
  <si>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</si>
  <si>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</si>
  <si>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</si>
  <si>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</si>
  <si>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</si>
  <si>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</si>
  <si>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</si>
  <si>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</si>
  <si>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</si>
  <si>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</si>
  <si>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</si>
  <si>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</si>
  <si>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</si>
  <si>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</si>
  <si>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</si>
  <si>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</si>
  <si>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</si>
  <si>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</si>
  <si>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</si>
  <si>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</si>
  <si>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</si>
  <si>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</si>
  <si>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</si>
  <si>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</si>
  <si>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</si>
  <si>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</si>
  <si>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</si>
  <si>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</si>
  <si>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</si>
  <si>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</si>
  <si>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</si>
  <si>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</si>
  <si>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</si>
  <si>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</si>
  <si>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</si>
  <si>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</si>
  <si>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</si>
  <si>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</si>
  <si>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</si>
  <si>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</si>
  <si>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</si>
  <si>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</si>
  <si>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</si>
  <si>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</si>
  <si>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</si>
  <si>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</si>
  <si>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</si>
  <si>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</si>
  <si>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</si>
  <si>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</si>
  <si>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</si>
  <si>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</si>
  <si>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</si>
  <si>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</si>
  <si>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</si>
  <si>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</si>
  <si>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</si>
  <si>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</si>
  <si>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</si>
  <si>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</si>
  <si>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</si>
  <si>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</si>
  <si>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</si>
  <si>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</si>
  <si>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</si>
  <si>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</si>
  <si>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</si>
  <si>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</si>
  <si>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</si>
  <si>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</si>
  <si>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</si>
  <si>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</si>
  <si>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</si>
  <si>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</si>
  <si>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</si>
  <si>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</si>
  <si>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</si>
  <si>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</si>
  <si>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</si>
  <si>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</si>
  <si>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</si>
  <si>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</si>
  <si>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</si>
  <si>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</si>
  <si>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</si>
  <si>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</si>
  <si>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</si>
  <si>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</si>
  <si>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</si>
  <si>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</si>
  <si>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</si>
  <si>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</si>
  <si>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</si>
  <si>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</si>
  <si>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</si>
  <si>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</si>
  <si>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</si>
  <si>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</si>
  <si>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</si>
  <si>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</si>
  <si>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</si>
  <si>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</si>
  <si>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</si>
  <si>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</si>
  <si>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</si>
  <si>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</si>
  <si>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</si>
  <si>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</si>
  <si>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</si>
  <si>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</si>
  <si>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</si>
  <si>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</si>
  <si>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</si>
  <si>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</si>
  <si>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</si>
  <si>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</si>
  <si>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</si>
  <si>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</si>
  <si>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</si>
  <si>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</si>
  <si>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</si>
  <si>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</si>
  <si>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</si>
  <si>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</si>
  <si>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</si>
  <si>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</si>
  <si>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</si>
  <si>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</si>
  <si>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</si>
  <si>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</si>
  <si>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</si>
  <si>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</si>
  <si>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</si>
  <si>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</si>
  <si>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</si>
  <si>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</si>
  <si>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</si>
  <si>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</si>
  <si>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</si>
  <si>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</si>
  <si>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</si>
  <si>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</si>
  <si>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</si>
  <si>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</si>
  <si>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</si>
  <si>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</si>
  <si>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</si>
  <si>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</si>
  <si>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</si>
  <si>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</si>
  <si>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</si>
  <si>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</si>
  <si>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</si>
  <si>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</si>
  <si>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</si>
  <si>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</si>
  <si>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</si>
  <si>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</si>
  <si>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</si>
  <si>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</si>
  <si>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</si>
  <si>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</si>
  <si>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</si>
  <si>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</si>
  <si>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</si>
  <si>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</si>
  <si>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</si>
  <si>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</si>
  <si>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</si>
  <si>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</si>
  <si>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</si>
  <si>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</si>
  <si>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</si>
  <si>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</si>
  <si>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</si>
  <si>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</si>
  <si>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</si>
  <si>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</si>
  <si>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</si>
  <si>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</si>
  <si>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</si>
  <si>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</si>
  <si>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</si>
  <si>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</si>
  <si>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</si>
  <si>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</si>
  <si>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</si>
  <si>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</si>
  <si>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</si>
  <si>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</si>
  <si>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</si>
  <si>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</si>
  <si>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</si>
  <si>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</si>
  <si>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</si>
  <si>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</si>
  <si>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</si>
  <si>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</si>
  <si>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</si>
  <si>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</si>
  <si>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</si>
  <si>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</si>
  <si>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</si>
  <si>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</si>
  <si>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</si>
  <si>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</si>
  <si>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</si>
  <si>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</si>
  <si>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</si>
  <si>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</si>
  <si>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</si>
  <si>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</si>
  <si>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</si>
  <si>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</si>
  <si>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</si>
  <si>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</si>
  <si>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</si>
  <si>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</si>
  <si>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</si>
  <si>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</si>
  <si>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</si>
  <si>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</si>
  <si>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</si>
  <si>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</si>
  <si>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</si>
  <si>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</si>
  <si>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</si>
  <si>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</si>
  <si>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</si>
  <si>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</si>
  <si>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</si>
  <si>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</si>
  <si>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</si>
  <si>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</si>
  <si>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</si>
  <si>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</si>
  <si>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</si>
  <si>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</si>
  <si>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</si>
  <si>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</si>
  <si>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</si>
  <si>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</si>
  <si>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</si>
  <si>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</si>
  <si>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</si>
  <si>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</si>
  <si>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</si>
  <si>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</si>
  <si>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</si>
  <si>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</si>
  <si>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</si>
  <si>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</si>
  <si>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</si>
  <si>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</si>
  <si>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</si>
  <si>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</si>
  <si>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</si>
  <si>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</si>
  <si>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</si>
  <si>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</si>
  <si>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</si>
  <si>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</si>
  <si>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</si>
  <si>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</si>
  <si>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</si>
  <si>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</si>
  <si>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</si>
  <si>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</si>
  <si>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</si>
  <si>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</si>
  <si>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</si>
  <si>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</si>
  <si>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</si>
  <si>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</si>
  <si>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</si>
  <si>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</si>
  <si>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</si>
  <si>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</si>
  <si>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</si>
  <si>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</si>
  <si>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</si>
  <si>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</si>
  <si>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</si>
  <si>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</si>
  <si>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</si>
  <si>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</si>
  <si>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</si>
  <si>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</si>
  <si>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</si>
  <si>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</si>
  <si>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</si>
  <si>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</si>
  <si>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</si>
  <si>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</si>
  <si>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</si>
  <si>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</si>
  <si>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</si>
  <si>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</si>
  <si>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</si>
  <si>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</si>
  <si>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</si>
  <si>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</si>
  <si>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</si>
  <si>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</si>
  <si>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</si>
  <si>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</si>
  <si>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</si>
  <si>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</si>
  <si>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</si>
  <si>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</si>
  <si>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</si>
  <si>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</si>
  <si>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</si>
  <si>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</si>
  <si>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</si>
  <si>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</si>
  <si>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</si>
  <si>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</si>
  <si>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</si>
  <si>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</si>
  <si>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</si>
  <si>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</si>
  <si>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</si>
  <si>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</si>
  <si>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</si>
  <si>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</si>
  <si>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</si>
  <si>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</si>
  <si>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</si>
  <si>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</si>
  <si>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</si>
  <si>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</si>
  <si>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</si>
  <si>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</si>
  <si>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</si>
  <si>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</si>
  <si>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</si>
  <si>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</si>
  <si>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</si>
  <si>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</si>
  <si>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</si>
  <si>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</si>
  <si>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</si>
  <si>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</si>
  <si>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</si>
  <si>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</si>
  <si>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</si>
  <si>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</si>
  <si>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</si>
  <si>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</si>
  <si>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</si>
  <si>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</si>
  <si>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</si>
  <si>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</si>
  <si>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</si>
  <si>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</si>
  <si>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</si>
  <si>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</si>
  <si>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</si>
  <si>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</si>
  <si>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</si>
  <si>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</si>
  <si>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</si>
  <si>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</si>
  <si>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</si>
  <si>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</si>
  <si>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</si>
  <si>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</si>
  <si>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</si>
  <si>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</si>
  <si>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</si>
  <si>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</si>
  <si>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</si>
  <si>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</si>
  <si>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</si>
  <si>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</si>
  <si>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</si>
  <si>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</si>
  <si>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</si>
  <si>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</si>
  <si>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</si>
  <si>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</si>
  <si>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</si>
  <si>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</si>
  <si>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</si>
  <si>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</si>
  <si>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</si>
  <si>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</si>
  <si>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</si>
  <si>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</si>
  <si>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</si>
  <si>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</si>
  <si>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</si>
  <si>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</si>
  <si>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</si>
  <si>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</si>
  <si>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</si>
  <si>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</si>
  <si>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</si>
  <si>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</si>
  <si>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</si>
  <si>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</si>
  <si>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</si>
  <si>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</si>
  <si>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</si>
  <si>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</si>
  <si>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</si>
  <si>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</si>
  <si>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</si>
  <si>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</si>
  <si>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</si>
  <si>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</si>
  <si>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</si>
  <si>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</si>
  <si>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</si>
  <si>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</si>
  <si>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</si>
  <si>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</si>
  <si>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</si>
  <si>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</si>
  <si>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</si>
  <si>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</si>
  <si>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</si>
  <si>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</si>
  <si>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</si>
  <si>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</si>
  <si>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</si>
  <si>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</si>
  <si>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</si>
  <si>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</si>
  <si>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</si>
  <si>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</si>
  <si>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</si>
  <si>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</si>
  <si>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</si>
  <si>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</si>
  <si>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</si>
  <si>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</si>
  <si>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</si>
  <si>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</si>
  <si>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</si>
  <si>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</si>
  <si>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</si>
  <si>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</si>
  <si>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</si>
  <si>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</si>
  <si>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</si>
  <si>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</si>
  <si>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</si>
  <si>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</si>
  <si>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</si>
  <si>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</si>
  <si>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</si>
  <si>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</si>
  <si>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</si>
  <si>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</si>
  <si>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</si>
  <si>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</si>
  <si>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</si>
  <si>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</si>
  <si>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</si>
  <si>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</si>
  <si>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</si>
  <si>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</si>
  <si>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</si>
  <si>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</si>
  <si>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</si>
  <si>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</si>
  <si>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</si>
  <si>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</si>
  <si>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</si>
  <si>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</si>
  <si>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</si>
  <si>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</si>
  <si>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</si>
  <si>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</si>
  <si>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</si>
  <si>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</si>
  <si>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</si>
  <si>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</si>
  <si>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</si>
  <si>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</si>
  <si>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</si>
  <si>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</si>
  <si>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</si>
  <si>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</si>
  <si>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</si>
  <si>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</si>
  <si>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</si>
  <si>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</si>
  <si>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</si>
  <si>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</si>
  <si>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</si>
  <si>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</si>
  <si>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</si>
  <si>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</si>
  <si>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</si>
  <si>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</si>
  <si>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</si>
  <si>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</si>
  <si>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</si>
  <si>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</si>
  <si>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</si>
  <si>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</si>
  <si>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</si>
  <si>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</si>
  <si>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</si>
  <si>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</si>
  <si>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</si>
  <si>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</si>
  <si>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</si>
  <si>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</si>
  <si>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</si>
  <si>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</si>
  <si>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</si>
  <si>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</si>
  <si>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</si>
  <si>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</si>
  <si>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</si>
  <si>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</si>
  <si>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</si>
  <si>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</si>
  <si>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</si>
  <si>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</si>
  <si>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</si>
  <si>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</si>
  <si>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</si>
  <si>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</si>
  <si>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</si>
  <si>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</si>
  <si>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</si>
  <si>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</si>
  <si>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</si>
  <si>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</si>
  <si>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</si>
  <si>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</si>
  <si>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</si>
  <si>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</si>
  <si>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</si>
  <si>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</si>
  <si>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</si>
  <si>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</si>
  <si>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</si>
  <si>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</si>
  <si>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</si>
  <si>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</si>
  <si>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</si>
  <si>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</si>
  <si>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</si>
  <si>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</si>
  <si>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</si>
  <si>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</si>
  <si>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</si>
  <si>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</si>
  <si>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</si>
  <si>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</si>
  <si>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</si>
  <si>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</si>
  <si>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</si>
  <si>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</si>
  <si>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</si>
  <si>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</si>
  <si>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</si>
  <si>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</si>
  <si>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</si>
  <si>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</si>
  <si>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</si>
  <si>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</si>
  <si>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</si>
  <si>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</si>
  <si>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</si>
  <si>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</si>
  <si>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</si>
  <si>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</si>
  <si>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</si>
  <si>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</si>
  <si>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</si>
  <si>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</si>
  <si>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</si>
  <si>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</si>
  <si>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</si>
  <si>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</si>
  <si>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</si>
  <si>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</si>
  <si>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</si>
  <si>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</si>
  <si>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</si>
  <si>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</si>
  <si>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</si>
  <si>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</si>
  <si>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</si>
  <si>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</si>
  <si>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</si>
  <si>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</si>
  <si>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</si>
  <si>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</si>
  <si>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</si>
  <si>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</si>
  <si>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</si>
  <si>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</si>
  <si>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</si>
  <si>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</si>
  <si>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</si>
  <si>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</si>
  <si>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</si>
  <si>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</si>
  <si>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</si>
  <si>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</si>
  <si>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</si>
  <si>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</si>
  <si>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</si>
  <si>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</si>
  <si>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</si>
  <si>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</si>
  <si>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</si>
  <si>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</si>
  <si>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</si>
  <si>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</si>
  <si>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</si>
  <si>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</si>
  <si>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</si>
  <si>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</si>
  <si>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</si>
  <si>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</si>
  <si>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</si>
  <si>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</si>
  <si>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</si>
  <si>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</si>
  <si>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</si>
  <si>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</si>
  <si>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</si>
  <si>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</si>
  <si>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</si>
  <si>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</si>
  <si>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</si>
  <si>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</si>
  <si>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</si>
  <si>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</si>
  <si>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</si>
  <si>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</si>
  <si>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</si>
  <si>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</si>
  <si>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</si>
  <si>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</si>
  <si>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</si>
  <si>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</si>
  <si>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</si>
  <si>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</si>
  <si>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</si>
  <si>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</si>
  <si>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</si>
  <si>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</si>
  <si>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</si>
  <si>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</si>
  <si>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</si>
  <si>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</si>
  <si>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</si>
  <si>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</si>
  <si>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</si>
  <si>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</si>
  <si>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</si>
  <si>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</si>
  <si>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</si>
  <si>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</si>
  <si>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</si>
  <si>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</si>
  <si>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</si>
  <si>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</si>
  <si>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</si>
  <si>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</si>
  <si>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</si>
  <si>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</si>
  <si>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</si>
  <si>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</si>
  <si>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</si>
  <si>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</si>
  <si>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</si>
  <si>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</si>
  <si>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</si>
  <si>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</si>
  <si>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</si>
  <si>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</si>
  <si>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</si>
  <si>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</si>
  <si>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</si>
  <si>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</si>
  <si>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</si>
  <si>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</si>
  <si>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</si>
  <si>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</si>
  <si>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</si>
  <si>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</si>
  <si>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</si>
  <si>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</si>
  <si>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</si>
  <si>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</si>
  <si>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</si>
  <si>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</si>
  <si>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</si>
  <si>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</si>
  <si>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</si>
  <si>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</si>
  <si>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</si>
  <si>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</si>
  <si>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</si>
  <si>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</si>
  <si>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</si>
  <si>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</si>
  <si>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</si>
  <si>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</si>
  <si>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</si>
  <si>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</si>
  <si>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</si>
  <si>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</si>
  <si>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</si>
  <si>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</si>
  <si>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</si>
  <si>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</si>
  <si>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</si>
  <si>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</si>
  <si>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</si>
  <si>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</si>
  <si>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</si>
  <si>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</si>
  <si>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</si>
  <si>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</si>
  <si>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</si>
  <si>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</si>
  <si>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</si>
  <si>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</si>
  <si>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</si>
  <si>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</si>
  <si>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</si>
  <si>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</si>
  <si>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</si>
  <si>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</si>
  <si>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</si>
  <si>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</si>
  <si>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</si>
  <si>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</si>
  <si>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</si>
  <si>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</si>
  <si>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</si>
  <si>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</si>
  <si>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</si>
  <si>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</si>
  <si>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</si>
  <si>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</si>
  <si>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</si>
  <si>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</si>
  <si>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</si>
  <si>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</si>
  <si>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</si>
  <si>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</si>
  <si>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</si>
  <si>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</si>
  <si>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</si>
  <si>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</si>
  <si>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</si>
  <si>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</si>
  <si>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</si>
  <si>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</si>
  <si>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</si>
  <si>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</si>
  <si>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</si>
  <si>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</si>
  <si>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</si>
  <si>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</si>
  <si>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</si>
  <si>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</si>
  <si>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</si>
  <si>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</si>
  <si>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</si>
  <si>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</si>
  <si>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</si>
  <si>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</si>
  <si>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</si>
  <si>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</si>
  <si>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</si>
  <si>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</si>
  <si>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</si>
  <si>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</si>
  <si>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</si>
  <si>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</si>
  <si>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</si>
  <si>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</si>
  <si>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</si>
  <si>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</si>
  <si>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</si>
  <si>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</si>
  <si>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</si>
  <si>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</si>
  <si>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</si>
  <si>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</si>
  <si>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</si>
  <si>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</si>
  <si>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</si>
  <si>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</si>
  <si>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</si>
  <si>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</si>
  <si>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</si>
  <si>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</si>
  <si>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</si>
  <si>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</si>
  <si>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</si>
  <si>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</si>
  <si>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</si>
  <si>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</si>
  <si>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</si>
  <si>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</si>
  <si>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</si>
  <si>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</si>
  <si>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</si>
  <si>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</si>
  <si>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</si>
  <si>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</si>
  <si>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</si>
  <si>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</si>
  <si>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</si>
  <si>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</si>
  <si>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</si>
  <si>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</si>
  <si>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</si>
  <si>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</si>
  <si>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</si>
  <si>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</si>
  <si>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</si>
  <si>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</si>
  <si>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</si>
  <si>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</si>
  <si>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</si>
  <si>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</si>
  <si>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</si>
  <si>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</si>
  <si>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</si>
  <si>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</si>
  <si>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</si>
  <si>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</si>
  <si>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</si>
  <si>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</si>
  <si>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</si>
  <si>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</si>
  <si>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</si>
  <si>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</si>
  <si>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</si>
  <si>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</si>
  <si>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</si>
  <si>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</si>
  <si>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</si>
  <si>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</si>
  <si>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</si>
  <si>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</si>
  <si>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</si>
  <si>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</si>
  <si>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</si>
  <si>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</si>
  <si>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</si>
  <si>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</si>
  <si>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</si>
  <si>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</si>
  <si>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</si>
  <si>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</si>
  <si>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</si>
  <si>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</si>
  <si>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</si>
  <si>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</si>
  <si>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</si>
  <si>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</si>
  <si>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</si>
  <si>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</si>
  <si>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</si>
  <si>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</si>
  <si>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</si>
  <si>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</si>
  <si>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</si>
  <si>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</si>
  <si>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</si>
  <si>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</si>
  <si>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</si>
  <si>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</si>
  <si>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</si>
  <si>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</si>
  <si>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</si>
  <si>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</si>
  <si>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</si>
  <si>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</si>
  <si>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</si>
  <si>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</si>
  <si>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</si>
  <si>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</si>
  <si>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</si>
  <si>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</si>
  <si>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</si>
  <si>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</si>
  <si>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</si>
  <si>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</si>
  <si>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</si>
  <si>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</si>
  <si>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</si>
  <si>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</si>
  <si>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</si>
  <si>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</si>
  <si>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</si>
  <si>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</si>
  <si>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</si>
  <si>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</si>
  <si>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</si>
  <si>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</si>
  <si>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</si>
  <si>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</si>
  <si>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</si>
  <si>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</si>
  <si>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</si>
  <si>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</si>
  <si>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</si>
  <si>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</si>
  <si>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</si>
  <si>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</si>
  <si>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</si>
  <si>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</si>
  <si>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</si>
  <si>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</si>
  <si>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</si>
  <si>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</si>
  <si>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</si>
  <si>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</si>
  <si>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</si>
  <si>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</si>
  <si>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</si>
  <si>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</si>
  <si>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</si>
  <si>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</si>
  <si>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</si>
  <si>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</si>
  <si>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</si>
  <si>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</si>
  <si>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</si>
  <si>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</si>
  <si>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</si>
  <si>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</si>
  <si>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</si>
  <si>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</si>
  <si>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</si>
  <si>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</si>
  <si>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</si>
  <si>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</si>
  <si>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</si>
  <si>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</si>
  <si>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</si>
  <si>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</si>
  <si>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</si>
  <si>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</si>
  <si>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</si>
  <si>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</si>
  <si>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</si>
  <si>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</si>
  <si>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</si>
  <si>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</si>
  <si>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</si>
  <si>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</si>
  <si>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</si>
  <si>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</si>
  <si>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</si>
  <si>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</si>
  <si>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</si>
  <si>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</si>
  <si>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</si>
  <si>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</si>
  <si>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</si>
  <si>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</si>
  <si>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</si>
  <si>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</si>
  <si>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</si>
  <si>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</si>
  <si>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</si>
  <si>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</si>
  <si>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</si>
  <si>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</si>
  <si>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</si>
  <si>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</si>
  <si>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</si>
  <si>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</si>
  <si>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</si>
  <si>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</si>
  <si>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</si>
  <si>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</si>
  <si>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</si>
  <si>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</si>
  <si>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</si>
  <si>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</si>
  <si>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</si>
  <si>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</si>
  <si>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</si>
  <si>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</si>
  <si>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</si>
  <si>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</si>
  <si>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</si>
  <si>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</si>
  <si>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</si>
  <si>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</si>
  <si>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</si>
  <si>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</si>
  <si>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</si>
  <si>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</si>
  <si>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</si>
  <si>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</si>
  <si>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</si>
  <si>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</si>
  <si>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</si>
  <si>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</si>
  <si>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</si>
  <si>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</si>
  <si>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</si>
  <si>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</si>
  <si>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</si>
  <si>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</si>
  <si>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</si>
  <si>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</si>
  <si>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</si>
  <si>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</si>
  <si>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</si>
  <si>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</si>
  <si>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</si>
  <si>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</si>
  <si>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</si>
  <si>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</si>
  <si>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</si>
  <si>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</si>
  <si>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</si>
  <si>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</si>
  <si>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</si>
  <si>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</si>
  <si>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</si>
  <si>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</si>
  <si>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</si>
  <si>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</si>
  <si>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</si>
  <si>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</si>
  <si>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</si>
  <si>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</si>
  <si>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</si>
  <si>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</si>
  <si>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</si>
  <si>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</si>
  <si>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</si>
  <si>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</si>
  <si>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</si>
  <si>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</si>
  <si>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</si>
  <si>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</si>
  <si>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</si>
  <si>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</si>
  <si>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</si>
  <si>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</si>
  <si>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</si>
  <si>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</si>
  <si>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</si>
  <si>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</si>
  <si>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</si>
  <si>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</si>
  <si>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</si>
  <si>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</si>
  <si>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</si>
  <si>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</si>
  <si>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</si>
  <si>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</si>
  <si>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</si>
  <si>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</si>
  <si>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</si>
  <si>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</si>
  <si>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</si>
  <si>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</si>
  <si>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</si>
  <si>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</si>
  <si>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</si>
  <si>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</si>
  <si>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</si>
  <si>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</si>
  <si>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</si>
  <si>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</si>
  <si>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</si>
  <si>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</si>
  <si>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</si>
  <si>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</si>
  <si>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</si>
  <si>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</si>
  <si>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</si>
  <si>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</si>
  <si>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</si>
  <si>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</si>
  <si>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</si>
  <si>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</si>
  <si>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</si>
  <si>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</si>
  <si>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</si>
  <si>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</si>
  <si>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</si>
  <si>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</si>
  <si>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</si>
  <si>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</si>
  <si>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</si>
  <si>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</si>
  <si>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</si>
  <si>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</si>
  <si>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</si>
  <si>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</si>
  <si>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</si>
  <si>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</si>
  <si>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</si>
  <si>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</si>
  <si>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</si>
  <si>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</si>
  <si>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</si>
  <si>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</si>
  <si>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</si>
  <si>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</si>
  <si>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</si>
  <si>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</si>
  <si>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</si>
  <si>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</si>
  <si>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</si>
  <si>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</si>
  <si>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</si>
  <si>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</si>
  <si>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</si>
  <si>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</si>
  <si>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</si>
  <si>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</si>
  <si>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</si>
  <si>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</si>
  <si>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</si>
  <si>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</si>
  <si>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</si>
  <si>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</si>
  <si>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</si>
  <si>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</si>
  <si>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</si>
  <si>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</si>
  <si>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</si>
  <si>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</si>
  <si>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</si>
  <si>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</si>
  <si>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</si>
  <si>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</si>
  <si>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</si>
  <si>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</si>
  <si>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</si>
  <si>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</si>
  <si>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</si>
  <si>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</si>
  <si>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</si>
  <si>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</si>
  <si>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</si>
  <si>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</si>
  <si>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</si>
  <si>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</si>
  <si>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</si>
  <si>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</si>
  <si>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</si>
  <si>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</si>
  <si>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</si>
  <si>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</si>
  <si>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</si>
  <si>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</si>
  <si>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</si>
  <si>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</si>
  <si>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</si>
  <si>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</si>
  <si>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</si>
  <si>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</si>
  <si>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</si>
  <si>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</si>
  <si>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</si>
  <si>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</si>
  <si>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</si>
  <si>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</si>
  <si>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</si>
  <si>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</si>
  <si>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</si>
  <si>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</si>
  <si>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</si>
  <si>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</si>
  <si>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</si>
  <si>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</si>
  <si>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</si>
  <si>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</si>
  <si>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</si>
  <si>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</si>
  <si>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</si>
  <si>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</si>
  <si>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</si>
  <si>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</si>
  <si>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</si>
  <si>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</si>
  <si>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</si>
  <si>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</si>
  <si>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</si>
  <si>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</si>
  <si>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</si>
  <si>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</si>
  <si>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</si>
  <si>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</si>
  <si>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</si>
  <si>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</si>
  <si>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</si>
  <si>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</si>
  <si>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</si>
  <si>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</si>
  <si>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</si>
  <si>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</si>
  <si>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</si>
  <si>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</si>
  <si>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</si>
  <si>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</si>
  <si>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</si>
  <si>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</si>
  <si>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</si>
  <si>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</si>
  <si>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</si>
  <si>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</si>
  <si>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</si>
  <si>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</si>
  <si>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</si>
  <si>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</si>
  <si>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</si>
  <si>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</si>
  <si>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</si>
  <si>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</si>
  <si>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</si>
  <si>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</si>
  <si>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</si>
  <si>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</si>
  <si>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</si>
  <si>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</si>
  <si>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</si>
  <si>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</si>
  <si>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</si>
  <si>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</si>
  <si>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</si>
  <si>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</si>
  <si>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</si>
  <si>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</si>
  <si>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</si>
  <si>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</si>
  <si>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</si>
  <si>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</si>
  <si>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</si>
  <si>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</si>
  <si>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</si>
  <si>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</si>
  <si>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</si>
  <si>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</si>
  <si>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</si>
  <si>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</si>
  <si>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</si>
  <si>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</si>
  <si>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</si>
  <si>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</si>
  <si>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</si>
  <si>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</si>
  <si>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</si>
  <si>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</si>
  <si>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</si>
  <si>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</si>
  <si>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</si>
  <si>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</si>
  <si>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</si>
  <si>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</si>
  <si>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</si>
  <si>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</si>
  <si>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</si>
  <si>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</si>
  <si>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</si>
  <si>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</si>
  <si>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</si>
  <si>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</si>
  <si>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</si>
  <si>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</si>
  <si>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</si>
  <si>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</si>
  <si>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</si>
  <si>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</si>
  <si>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</si>
  <si>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</si>
  <si>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</si>
  <si>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</si>
  <si>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</si>
  <si>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</si>
  <si>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</si>
  <si>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</si>
  <si>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</si>
  <si>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</si>
  <si>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</si>
  <si>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</si>
  <si>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</si>
  <si>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</si>
  <si>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</si>
  <si>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</si>
  <si>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</si>
  <si>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</si>
  <si>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</si>
  <si>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</si>
  <si>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</si>
  <si>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</si>
  <si>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</si>
  <si>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</si>
  <si>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</si>
  <si>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</si>
  <si>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</si>
  <si>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</si>
  <si>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</si>
  <si>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</si>
  <si>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</si>
  <si>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</si>
  <si>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</si>
  <si>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</si>
  <si>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</si>
  <si>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</si>
  <si>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</si>
  <si>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</si>
  <si>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</si>
  <si>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</si>
  <si>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</si>
  <si>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</si>
  <si>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</si>
  <si>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</si>
  <si>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</si>
  <si>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</si>
  <si>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</si>
  <si>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</si>
  <si>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</si>
  <si>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</si>
  <si>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</si>
  <si>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</si>
  <si>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</si>
  <si>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</si>
  <si>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</si>
  <si>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</si>
  <si>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</si>
  <si>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</si>
  <si>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</si>
  <si>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</si>
  <si>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</si>
  <si>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</si>
  <si>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</si>
  <si>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</si>
  <si>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</si>
  <si>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</si>
  <si>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</si>
  <si>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</si>
  <si>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</si>
  <si>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</si>
  <si>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</si>
  <si>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</si>
  <si>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</si>
  <si>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</si>
  <si>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</si>
  <si>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</si>
  <si>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</si>
  <si>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</si>
  <si>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</si>
  <si>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</si>
  <si>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</si>
  <si>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</si>
  <si>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</si>
  <si>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</si>
  <si>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</si>
  <si>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</si>
  <si>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</si>
  <si>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</si>
  <si>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</si>
  <si>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</si>
  <si>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</si>
  <si>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</si>
  <si>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</si>
  <si>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</si>
  <si>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</si>
  <si>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</si>
  <si>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</si>
  <si>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</si>
  <si>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</si>
  <si>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</si>
  <si>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</si>
  <si>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</si>
  <si>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</si>
  <si>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</si>
  <si>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</si>
  <si>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</si>
  <si>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</si>
  <si>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</si>
  <si>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</si>
  <si>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</si>
  <si>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</si>
  <si>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</si>
  <si>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</si>
  <si>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</si>
  <si>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</si>
  <si>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</si>
  <si>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</si>
  <si>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</si>
  <si>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</si>
  <si>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</si>
  <si>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</si>
  <si>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</si>
  <si>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</si>
  <si>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</si>
  <si>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</si>
  <si>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</si>
  <si>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</si>
  <si>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</si>
  <si>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</si>
  <si>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</si>
  <si>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</si>
  <si>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</si>
  <si>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</si>
  <si>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</si>
  <si>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</si>
  <si>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</si>
  <si>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</si>
  <si>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</si>
  <si>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</si>
  <si>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</si>
  <si>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</si>
  <si>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</si>
  <si>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</si>
  <si>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</si>
  <si>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</si>
  <si>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</si>
  <si>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</si>
  <si>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</si>
  <si>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</si>
  <si>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</si>
  <si>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</si>
  <si>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</si>
  <si>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</si>
  <si>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</si>
  <si>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</si>
  <si>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</si>
  <si>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</si>
  <si>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</si>
  <si>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</si>
  <si>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</si>
  <si>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</si>
  <si>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</si>
  <si>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</si>
  <si>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</si>
  <si>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</si>
  <si>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</si>
  <si>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</si>
  <si>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</si>
  <si>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</si>
  <si>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</si>
  <si>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</si>
  <si>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</si>
  <si>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</si>
  <si>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</si>
  <si>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</si>
  <si>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</si>
  <si>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</si>
  <si>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</si>
  <si>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</si>
  <si>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</si>
  <si>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</si>
  <si>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</si>
  <si>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</si>
  <si>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</si>
  <si>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</si>
  <si>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</si>
  <si>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</si>
  <si>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</si>
  <si>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</si>
  <si>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</si>
  <si>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</si>
  <si>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</si>
  <si>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</si>
  <si>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</si>
  <si>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</si>
  <si>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</si>
  <si>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</si>
  <si>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</si>
  <si>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</si>
  <si>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</si>
  <si>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</si>
  <si>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</si>
  <si>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</si>
  <si>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</si>
  <si>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</si>
  <si>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</si>
  <si>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</si>
  <si>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</si>
  <si>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</si>
  <si>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</si>
  <si>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</si>
  <si>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</si>
  <si>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</si>
  <si>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</si>
  <si>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</si>
  <si>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</si>
  <si>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</si>
  <si>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</si>
  <si>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</si>
  <si>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</si>
  <si>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</si>
  <si>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</si>
  <si>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</si>
  <si>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</si>
  <si>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</si>
  <si>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</si>
  <si>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</si>
  <si>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</si>
  <si>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</si>
  <si>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</si>
  <si>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</si>
  <si>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</si>
  <si>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</si>
  <si>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</si>
  <si>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</si>
  <si>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</si>
  <si>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</si>
  <si>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</si>
  <si>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</si>
  <si>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</si>
  <si>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</si>
  <si>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</si>
  <si>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</si>
  <si>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</si>
  <si>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</si>
  <si>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</si>
  <si>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</si>
  <si>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</si>
  <si>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</si>
  <si>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</si>
  <si>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</si>
  <si>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</si>
  <si>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</si>
  <si>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</si>
  <si>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</si>
  <si>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</si>
  <si>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</si>
  <si>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</si>
  <si>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</si>
  <si>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</si>
  <si>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</si>
  <si>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</si>
  <si>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</si>
  <si>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</si>
  <si>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</si>
  <si>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</si>
  <si>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</si>
  <si>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</si>
  <si>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</si>
  <si>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</si>
  <si>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</si>
  <si>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</si>
  <si>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</si>
  <si>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</si>
  <si>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</si>
  <si>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</si>
  <si>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</si>
  <si>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</si>
  <si>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</si>
  <si>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</si>
  <si>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</si>
  <si>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</si>
  <si>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</si>
  <si>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</si>
  <si>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</si>
  <si>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</si>
  <si>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</si>
  <si>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</si>
  <si>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</si>
  <si>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</si>
  <si>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</si>
  <si>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</si>
  <si>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</si>
  <si>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</si>
  <si>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</si>
  <si>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</si>
  <si>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</si>
  <si>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</si>
  <si>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</si>
  <si>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</si>
  <si>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</si>
  <si>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</si>
  <si>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</si>
  <si>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</si>
  <si>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</si>
  <si>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</si>
  <si>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</si>
  <si>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</si>
  <si>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</si>
  <si>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</si>
  <si>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</si>
  <si>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</si>
  <si>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</si>
  <si>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</si>
  <si>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</si>
  <si>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</si>
  <si>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</si>
  <si>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</si>
  <si>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</si>
  <si>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</si>
  <si>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</si>
  <si>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</si>
  <si>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</si>
  <si>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</si>
  <si>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</si>
  <si>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</si>
  <si>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</si>
  <si>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</si>
  <si>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</si>
  <si>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</si>
  <si>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</si>
  <si>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</si>
  <si>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</si>
  <si>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</si>
  <si>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</si>
  <si>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</si>
  <si>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</si>
  <si>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</si>
  <si>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</si>
  <si>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</si>
  <si>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</si>
  <si>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</si>
  <si>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</si>
  <si>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</si>
  <si>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</si>
  <si>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</si>
  <si>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</si>
  <si>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</si>
  <si>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</si>
  <si>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</si>
  <si>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</si>
  <si>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</si>
  <si>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</si>
  <si>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</si>
  <si>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</si>
  <si>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</si>
  <si>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</si>
  <si>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</si>
  <si>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</si>
  <si>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</si>
  <si>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</si>
  <si>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</si>
  <si>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</si>
  <si>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</si>
  <si>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</si>
  <si>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</si>
  <si>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</si>
  <si>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</si>
  <si>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</si>
  <si>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</si>
  <si>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</si>
  <si>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</si>
  <si>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</si>
  <si>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</si>
  <si>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</si>
  <si>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</si>
  <si>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</si>
  <si>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</si>
  <si>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</si>
  <si>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</si>
  <si>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</si>
  <si>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</si>
  <si>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</si>
  <si>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</si>
  <si>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</si>
  <si>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</si>
  <si>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</si>
  <si>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</si>
  <si>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</si>
  <si>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</si>
  <si>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</si>
  <si>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</si>
  <si>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</si>
  <si>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</si>
  <si>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</si>
  <si>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</si>
  <si>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</si>
  <si>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</si>
  <si>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</si>
  <si>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</si>
  <si>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</si>
  <si>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</si>
  <si>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</si>
  <si>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</si>
  <si>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</si>
  <si>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</si>
  <si>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</si>
  <si>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</si>
  <si>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</si>
  <si>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</si>
  <si>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</si>
  <si>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</si>
  <si>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</si>
  <si>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</si>
  <si>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</si>
  <si>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</si>
  <si>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</si>
  <si>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</si>
  <si>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</si>
  <si>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</si>
  <si>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</si>
  <si>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</si>
  <si>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</si>
  <si>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</si>
  <si>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</si>
  <si>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</si>
  <si>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</si>
  <si>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</si>
  <si>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</si>
  <si>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</si>
  <si>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</si>
  <si>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</si>
  <si>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</si>
  <si>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</si>
  <si>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</si>
  <si>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</si>
  <si>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</si>
  <si>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</si>
  <si>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</si>
  <si>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</si>
  <si>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</si>
  <si>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</si>
  <si>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</si>
  <si>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</si>
  <si>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</si>
  <si>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</si>
  <si>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</si>
  <si>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</si>
  <si>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</si>
  <si>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</si>
  <si>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</si>
  <si>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</si>
  <si>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</si>
  <si>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</si>
  <si>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</si>
  <si>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</si>
  <si>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</si>
  <si>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</si>
  <si>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</si>
  <si>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</si>
  <si>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</si>
  <si>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</si>
  <si>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</si>
  <si>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</si>
  <si>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</si>
  <si>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</si>
  <si>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</si>
  <si>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</si>
  <si>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</si>
  <si>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</si>
  <si>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</si>
  <si>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</si>
  <si>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</si>
  <si>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</si>
  <si>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</si>
  <si>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</si>
  <si>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</si>
  <si>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</si>
  <si>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</si>
  <si>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</si>
  <si>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</si>
  <si>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</si>
  <si>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</si>
  <si>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</si>
  <si>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</si>
  <si>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</si>
  <si>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</si>
  <si>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</si>
  <si>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</si>
  <si>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</si>
  <si>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</si>
  <si>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</si>
  <si>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</si>
  <si>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</si>
  <si>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</si>
  <si>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</si>
  <si>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</si>
  <si>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</si>
  <si>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</si>
  <si>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</si>
  <si>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</si>
  <si>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</si>
  <si>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</si>
  <si>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</si>
  <si>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</si>
  <si>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</si>
  <si>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</si>
  <si>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</si>
  <si>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</si>
  <si>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</si>
  <si>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</si>
  <si>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</si>
  <si>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</si>
  <si>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</si>
  <si>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</si>
  <si>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</si>
  <si>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</si>
  <si>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</si>
  <si>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</si>
  <si>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</si>
  <si>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</si>
  <si>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</si>
  <si>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</si>
  <si>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</si>
  <si>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</si>
  <si>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</si>
  <si>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</si>
  <si>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</si>
  <si>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</si>
  <si>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</si>
  <si>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</si>
  <si>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</si>
  <si>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</si>
  <si>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</si>
  <si>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</si>
  <si>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</si>
  <si>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</si>
  <si>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</si>
  <si>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</si>
  <si>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</si>
  <si>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</si>
  <si>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</si>
  <si>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</si>
  <si>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</si>
  <si>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</si>
  <si>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</si>
  <si>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</si>
  <si>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</si>
  <si>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</si>
  <si>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</si>
  <si>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</si>
  <si>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</si>
  <si>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</si>
  <si>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</si>
  <si>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</si>
  <si>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</si>
  <si>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</si>
  <si>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</si>
  <si>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</si>
  <si>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</si>
  <si>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</si>
  <si>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</si>
  <si>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</si>
  <si>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</si>
  <si>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</si>
  <si>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</si>
  <si>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</si>
  <si>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</si>
  <si>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</si>
  <si>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</si>
  <si>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</si>
  <si>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</si>
  <si>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</si>
  <si>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</si>
  <si>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</si>
  <si>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</si>
  <si>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</si>
  <si>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</si>
  <si>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</si>
  <si>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</si>
  <si>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</si>
  <si>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</si>
  <si>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</si>
  <si>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</si>
  <si>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</si>
  <si>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</si>
  <si>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</si>
  <si>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</si>
  <si>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</si>
  <si>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</si>
  <si>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</si>
  <si>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</si>
  <si>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</si>
  <si>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</si>
  <si>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</si>
  <si>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</si>
  <si>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</si>
  <si>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</si>
  <si>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</si>
  <si>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</si>
  <si>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</si>
  <si>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</si>
  <si>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</si>
  <si>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</si>
  <si>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</si>
  <si>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</si>
  <si>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</si>
  <si>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</si>
  <si>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</si>
  <si>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</si>
  <si>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</si>
  <si>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</si>
  <si>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</si>
  <si>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</si>
  <si>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</si>
  <si>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</si>
  <si>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</si>
  <si>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</si>
  <si>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</si>
  <si>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</si>
  <si>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</si>
  <si>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</si>
  <si>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</si>
  <si>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</si>
  <si>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</si>
  <si>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</si>
  <si>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</si>
  <si>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</si>
  <si>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</si>
  <si>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</si>
  <si>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</si>
  <si>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</si>
  <si>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</si>
  <si>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</si>
  <si>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</si>
  <si>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</si>
  <si>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</si>
  <si>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</si>
  <si>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</si>
  <si>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</si>
  <si>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</si>
  <si>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</si>
  <si>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</si>
  <si>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</si>
  <si>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</si>
  <si>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</si>
  <si>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</si>
  <si>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</si>
  <si>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</si>
  <si>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</si>
  <si>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</si>
  <si>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</si>
  <si>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</si>
  <si>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</si>
  <si>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</si>
  <si>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</si>
  <si>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</si>
  <si>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</si>
  <si>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</si>
  <si>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</si>
  <si>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</si>
  <si>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</si>
  <si>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</si>
  <si>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</si>
  <si>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</si>
  <si>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</si>
  <si>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</si>
  <si>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</si>
  <si>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</si>
  <si>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</si>
  <si>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</si>
  <si>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</si>
  <si>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</si>
  <si>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</si>
  <si>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</si>
  <si>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</si>
  <si>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</si>
  <si>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</si>
  <si>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</si>
  <si>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</si>
  <si>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</si>
  <si>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</si>
  <si>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</si>
  <si>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</si>
  <si>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</si>
  <si>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</si>
  <si>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</si>
  <si>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</si>
  <si>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</si>
  <si>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</si>
  <si>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</si>
  <si>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</si>
  <si>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</si>
  <si>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</si>
  <si>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</si>
  <si>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</si>
  <si>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</si>
  <si>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</si>
  <si>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</si>
  <si>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</si>
  <si>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</si>
  <si>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</si>
  <si>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</si>
  <si>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</si>
  <si>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</si>
  <si>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</si>
  <si>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</si>
  <si>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</si>
  <si>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</si>
  <si>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</si>
  <si>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</si>
  <si>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</si>
  <si>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</si>
  <si>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</si>
  <si>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</si>
  <si>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</si>
  <si>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</si>
  <si>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</si>
  <si>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</si>
  <si>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</si>
  <si>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</si>
  <si>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</si>
  <si>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</si>
  <si>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</si>
  <si>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</si>
  <si>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</si>
  <si>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</si>
  <si>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</si>
  <si>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</si>
  <si>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</si>
  <si>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</si>
  <si>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</si>
  <si>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</si>
  <si>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</si>
  <si>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</si>
  <si>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</si>
  <si>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</si>
  <si>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</si>
  <si>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</si>
  <si>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</si>
  <si>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</si>
  <si>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</si>
  <si>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</si>
  <si>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</si>
  <si>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</si>
  <si>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</si>
  <si>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</si>
  <si>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</si>
  <si>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</si>
  <si>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</si>
  <si>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</si>
  <si>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</si>
  <si>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</si>
  <si>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</si>
  <si>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</si>
  <si>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</si>
  <si>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</si>
  <si>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</si>
  <si>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</si>
  <si>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</si>
  <si>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</si>
  <si>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</si>
  <si>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</si>
  <si>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</si>
  <si>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</si>
  <si>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</si>
  <si>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</si>
  <si>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</si>
  <si>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</si>
  <si>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</si>
  <si>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</si>
  <si>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</si>
  <si>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</si>
  <si>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</si>
  <si>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</si>
  <si>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</si>
  <si>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</si>
  <si>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</si>
  <si>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</si>
  <si>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</si>
  <si>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</si>
  <si>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</si>
  <si>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</si>
  <si>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</si>
  <si>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</si>
  <si>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</si>
  <si>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</si>
  <si>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</si>
  <si>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</si>
  <si>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</si>
  <si>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</si>
  <si>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</si>
  <si>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</si>
  <si>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</si>
  <si>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</si>
  <si>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</si>
  <si>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</si>
  <si>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</si>
  <si>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</si>
  <si>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</si>
  <si>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</si>
  <si>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</si>
  <si>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</si>
  <si>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</si>
  <si>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</si>
  <si>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</si>
  <si>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</si>
  <si>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</si>
  <si>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</si>
  <si>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</si>
  <si>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</si>
  <si>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</si>
  <si>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</si>
  <si>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</si>
  <si>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</si>
  <si>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</si>
  <si>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</si>
  <si>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</si>
  <si>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</si>
  <si>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</si>
  <si>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</si>
  <si>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</si>
  <si>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</si>
  <si>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</si>
  <si>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</si>
  <si>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</si>
  <si>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</si>
  <si>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</si>
  <si>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</si>
  <si>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</si>
  <si>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</si>
  <si>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</si>
  <si>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</si>
  <si>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</si>
  <si>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</si>
  <si>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</si>
  <si>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</si>
  <si>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</si>
  <si>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</si>
  <si>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</si>
  <si>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</si>
  <si>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</si>
  <si>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</si>
  <si>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</si>
  <si>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</si>
  <si>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</si>
  <si>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</si>
  <si>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</si>
  <si>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</si>
  <si>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</si>
  <si>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</si>
  <si>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</si>
  <si>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</si>
  <si>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</si>
  <si>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</si>
  <si>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</si>
  <si>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</si>
  <si>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</si>
  <si>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</si>
  <si>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</si>
  <si>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</si>
  <si>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</si>
  <si>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</si>
  <si>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</si>
  <si>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</si>
  <si>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</si>
  <si>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</si>
  <si>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</si>
  <si>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</si>
  <si>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</si>
  <si>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</si>
  <si>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</si>
  <si>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</si>
  <si>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</si>
  <si>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</si>
  <si>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</si>
  <si>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</si>
  <si>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</si>
  <si>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</si>
  <si>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</si>
  <si>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</si>
  <si>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</si>
  <si>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</si>
  <si>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</si>
  <si>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</si>
  <si>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</si>
  <si>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</si>
  <si>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</si>
  <si>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</si>
  <si>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</si>
  <si>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</si>
  <si>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</si>
  <si>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</si>
  <si>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</si>
  <si>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</si>
  <si>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</si>
  <si>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</si>
  <si>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</si>
  <si>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</si>
  <si>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</si>
  <si>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</si>
  <si>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</si>
  <si>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</si>
  <si>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</si>
  <si>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</si>
  <si>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</si>
  <si>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</si>
  <si>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</si>
  <si>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</si>
  <si>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</si>
  <si>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</si>
  <si>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</si>
  <si>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</si>
  <si>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</si>
  <si>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</si>
  <si>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</si>
  <si>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</si>
  <si>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</si>
  <si>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</si>
  <si>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</si>
  <si>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</si>
  <si>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</si>
  <si>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</si>
  <si>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</si>
  <si>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</si>
  <si>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</si>
  <si>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</si>
  <si>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</si>
  <si>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</si>
  <si>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</si>
  <si>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</si>
  <si>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</si>
  <si>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</si>
  <si>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</si>
  <si>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</si>
  <si>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</si>
  <si>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</si>
  <si>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</si>
  <si>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</si>
  <si>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</si>
  <si>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</si>
  <si>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</si>
  <si>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</si>
  <si>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</si>
  <si>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</si>
  <si>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</si>
  <si>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</si>
  <si>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</si>
  <si>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</si>
  <si>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</si>
  <si>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</si>
  <si>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</si>
  <si>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</si>
  <si>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</si>
  <si>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</si>
  <si>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</si>
  <si>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</si>
  <si>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</si>
  <si>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</si>
  <si>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</si>
  <si>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</si>
  <si>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</si>
  <si>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</si>
  <si>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</si>
  <si>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</si>
  <si>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</si>
  <si>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</si>
  <si>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</si>
  <si>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</si>
  <si>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</si>
  <si>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</si>
  <si>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</si>
  <si>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</si>
  <si>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</si>
  <si>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</si>
  <si>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</si>
  <si>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</si>
  <si>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</si>
  <si>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</si>
  <si>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</si>
  <si>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</si>
  <si>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</si>
  <si>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</si>
  <si>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</si>
  <si>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</si>
  <si>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</si>
  <si>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</si>
  <si>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</si>
  <si>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</si>
  <si>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</si>
  <si>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</si>
  <si>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</si>
  <si>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</si>
  <si>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</si>
  <si>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</si>
  <si>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</si>
  <si>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</si>
  <si>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</si>
  <si>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</si>
  <si>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</si>
  <si>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</si>
  <si>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</si>
  <si>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</si>
  <si>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</si>
  <si>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</si>
  <si>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</si>
  <si>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</si>
  <si>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</si>
  <si>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</si>
  <si>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</si>
  <si>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</si>
  <si>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</si>
  <si>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</si>
  <si>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</si>
  <si>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</si>
  <si>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</si>
  <si>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</si>
  <si>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</si>
  <si>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</si>
  <si>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</si>
  <si>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</si>
  <si>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</si>
  <si>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</si>
  <si>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</si>
  <si>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</si>
  <si>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</si>
  <si>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</si>
  <si>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</si>
  <si>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</si>
  <si>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</si>
  <si>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</si>
  <si>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</si>
  <si>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</si>
  <si>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</si>
  <si>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</si>
  <si>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</si>
  <si>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</si>
  <si>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</si>
  <si>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</si>
  <si>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</si>
  <si>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</si>
  <si>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</si>
  <si>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</si>
  <si>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</si>
  <si>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</si>
  <si>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</si>
  <si>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</si>
  <si>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</si>
  <si>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</si>
  <si>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</si>
  <si>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</si>
  <si>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</si>
  <si>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</si>
  <si>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</si>
  <si>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</si>
  <si>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</si>
  <si>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</si>
  <si>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</si>
  <si>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</si>
  <si>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</si>
  <si>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</si>
  <si>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</si>
  <si>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</si>
  <si>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</si>
  <si>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</si>
  <si>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</si>
  <si>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</si>
  <si>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</si>
  <si>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</si>
  <si>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</si>
  <si>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</si>
  <si>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</si>
  <si>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</si>
  <si>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</si>
  <si>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</si>
  <si>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</si>
  <si>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</si>
  <si>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</si>
  <si>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</si>
  <si>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</si>
  <si>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</si>
  <si>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</si>
  <si>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</si>
  <si>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</si>
  <si>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</si>
  <si>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</si>
  <si>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</si>
  <si>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</si>
  <si>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</si>
  <si>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</si>
  <si>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</si>
  <si>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</si>
  <si>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</si>
  <si>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</si>
  <si>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</si>
  <si>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</si>
  <si>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</si>
  <si>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</si>
  <si>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</si>
  <si>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</si>
  <si>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</si>
  <si>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</si>
  <si>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</si>
  <si>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</si>
  <si>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</si>
  <si>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</si>
  <si>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</si>
  <si>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</si>
  <si>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</si>
  <si>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</si>
  <si>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</si>
  <si>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</si>
  <si>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</si>
  <si>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</si>
  <si>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</si>
  <si>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</si>
  <si>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</si>
  <si>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</si>
  <si>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</si>
  <si>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</si>
  <si>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</si>
  <si>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</si>
  <si>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</si>
  <si>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</si>
  <si>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</si>
  <si>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</si>
  <si>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</si>
  <si>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</si>
  <si>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</si>
  <si>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</si>
  <si>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</si>
  <si>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</si>
  <si>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</si>
  <si>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</si>
  <si>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</si>
  <si>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</si>
  <si>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</si>
  <si>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</si>
  <si>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</si>
  <si>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</si>
  <si>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</si>
  <si>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</si>
  <si>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</si>
  <si>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</si>
  <si>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</si>
  <si>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</si>
  <si>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</si>
  <si>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</si>
  <si>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</si>
  <si>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</si>
  <si>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</si>
  <si>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</si>
  <si>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</si>
  <si>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</si>
  <si>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</si>
  <si>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</si>
  <si>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</si>
  <si>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</si>
  <si>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</si>
  <si>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</si>
  <si>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</si>
  <si>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</si>
  <si>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</si>
  <si>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</si>
  <si>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</si>
  <si>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</si>
  <si>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</si>
  <si>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</si>
  <si>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</si>
  <si>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</si>
  <si>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</si>
  <si>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</si>
  <si>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</si>
  <si>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</si>
  <si>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</si>
  <si>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</si>
  <si>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</si>
  <si>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</si>
  <si>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</si>
  <si>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</si>
  <si>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</si>
  <si>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</si>
  <si>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</si>
  <si>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</si>
  <si>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</si>
  <si>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</si>
  <si>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</si>
  <si>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</si>
  <si>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</si>
  <si>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</si>
  <si>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</si>
  <si>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</si>
  <si>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</si>
  <si>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</si>
  <si>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</si>
  <si>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</si>
  <si>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</si>
  <si>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</si>
  <si>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</si>
  <si>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</si>
  <si>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</si>
  <si>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</si>
  <si>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</si>
  <si>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</si>
  <si>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</si>
  <si>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</si>
  <si>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</si>
  <si>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</si>
  <si>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</si>
  <si>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</si>
  <si>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</si>
  <si>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</si>
  <si>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</si>
  <si>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</si>
  <si>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</si>
  <si>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</si>
  <si>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</si>
  <si>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</si>
  <si>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</si>
  <si>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</si>
  <si>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</si>
  <si>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</si>
  <si>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</si>
  <si>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</si>
  <si>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</si>
  <si>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</si>
  <si>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</si>
  <si>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</si>
  <si>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</si>
  <si>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</si>
  <si>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</si>
  <si>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</si>
  <si>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</si>
  <si>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</si>
  <si>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</si>
  <si>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</si>
  <si>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</si>
  <si>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</si>
  <si>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</si>
  <si>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</si>
  <si>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</si>
  <si>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</si>
  <si>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</si>
  <si>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</si>
  <si>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</si>
  <si>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</si>
  <si>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</si>
  <si>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</si>
  <si>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</si>
  <si>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</si>
  <si>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</si>
  <si>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</si>
  <si>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</si>
  <si>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</si>
  <si>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</si>
  <si>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</si>
  <si>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</si>
  <si>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</si>
  <si>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</si>
  <si>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</si>
  <si>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</si>
  <si>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</si>
  <si>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</si>
  <si>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</si>
  <si>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</si>
  <si>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</si>
  <si>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</si>
  <si>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</si>
  <si>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</si>
  <si>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</si>
  <si>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</si>
  <si>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</si>
  <si>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</si>
  <si>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</si>
  <si>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</si>
  <si>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</si>
  <si>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</si>
  <si>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</si>
  <si>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</si>
  <si>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</si>
  <si>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</si>
  <si>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</si>
  <si>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</si>
  <si>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</si>
  <si>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</si>
  <si>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</si>
  <si>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</si>
  <si>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</si>
  <si>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</si>
  <si>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</si>
  <si>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</si>
  <si>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</si>
  <si>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</si>
  <si>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</si>
  <si>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</si>
  <si>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</si>
  <si>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</si>
  <si>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</si>
  <si>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</si>
  <si>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</si>
  <si>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</si>
  <si>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</si>
  <si>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</si>
  <si>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</si>
  <si>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</si>
  <si>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</si>
  <si>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</si>
  <si>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</si>
  <si>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</si>
  <si>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</si>
  <si>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</si>
  <si>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</si>
  <si>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</si>
  <si>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</si>
  <si>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</si>
  <si>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</si>
  <si>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</si>
  <si>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</si>
  <si>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</si>
  <si>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</si>
  <si>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</si>
  <si>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</si>
  <si>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</si>
  <si>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</si>
  <si>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</si>
  <si>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</si>
  <si>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</si>
  <si>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</si>
  <si>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</si>
  <si>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</si>
  <si>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</si>
  <si>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</si>
  <si>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</si>
  <si>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</si>
  <si>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</si>
  <si>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</si>
  <si>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</si>
  <si>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</si>
  <si>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</si>
  <si>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</si>
  <si>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</si>
  <si>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</si>
  <si>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</si>
  <si>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</si>
  <si>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</si>
  <si>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</si>
  <si>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</si>
  <si>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</si>
  <si>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</si>
  <si>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</si>
  <si>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</si>
  <si>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</si>
  <si>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</si>
  <si>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</si>
  <si>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</si>
  <si>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</si>
  <si>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</si>
  <si>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</si>
  <si>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</si>
  <si>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</si>
  <si>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</si>
  <si>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</si>
  <si>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</si>
  <si>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</si>
  <si>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</si>
  <si>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</si>
  <si>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</si>
  <si>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</si>
  <si>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</si>
  <si>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</si>
  <si>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</si>
  <si>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</si>
  <si>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</si>
  <si>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</si>
  <si>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</si>
  <si>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</si>
  <si>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</si>
  <si>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</si>
  <si>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</si>
  <si>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</si>
  <si>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</si>
  <si>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</si>
  <si>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</si>
  <si>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</si>
  <si>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</si>
  <si>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</si>
  <si>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</si>
  <si>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</si>
  <si>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</si>
  <si>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</si>
  <si>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</si>
  <si>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</si>
  <si>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</si>
  <si>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</si>
  <si>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</si>
  <si>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</si>
  <si>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</si>
  <si>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</si>
  <si>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</si>
  <si>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</si>
  <si>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</si>
  <si>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</si>
  <si>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</si>
  <si>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</si>
  <si>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</si>
  <si>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</si>
  <si>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</si>
  <si>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</si>
  <si>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</si>
  <si>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</si>
  <si>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</si>
  <si>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</si>
  <si>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</si>
  <si>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</si>
  <si>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</si>
  <si>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</si>
  <si>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</si>
  <si>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</si>
  <si>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</si>
  <si>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</si>
  <si>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</si>
  <si>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</si>
  <si>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</si>
  <si>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</si>
  <si>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</si>
  <si>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</si>
  <si>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</si>
  <si>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</si>
  <si>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</si>
  <si>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</si>
  <si>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</si>
  <si>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</si>
  <si>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</si>
  <si>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</si>
  <si>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</si>
  <si>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</si>
  <si>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</si>
  <si>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</si>
  <si>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</si>
  <si>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</si>
  <si>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</si>
  <si>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</si>
  <si>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</si>
  <si>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</si>
  <si>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</si>
  <si>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</si>
  <si>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</si>
  <si>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</si>
  <si>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</si>
  <si>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</si>
  <si>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</si>
  <si>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</si>
  <si>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</si>
  <si>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</si>
  <si>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</si>
  <si>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</si>
  <si>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</si>
  <si>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</si>
  <si>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</si>
  <si>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</si>
  <si>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</si>
  <si>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</si>
  <si>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</si>
  <si>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</si>
  <si>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</si>
  <si>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</si>
  <si>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</si>
  <si>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</si>
  <si>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</si>
  <si>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</si>
  <si>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</si>
  <si>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</si>
  <si>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</si>
  <si>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</si>
  <si>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</si>
  <si>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</si>
  <si>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</si>
  <si>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</si>
  <si>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</si>
  <si>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</si>
  <si>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</si>
  <si>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</si>
  <si>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</si>
  <si>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</si>
  <si>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</si>
  <si>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</si>
  <si>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</si>
  <si>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</si>
  <si>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</si>
  <si>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</si>
  <si>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</si>
  <si>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</si>
  <si>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</si>
  <si>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</si>
  <si>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</si>
  <si>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</si>
  <si>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</si>
  <si>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</si>
  <si>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</si>
  <si>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</si>
  <si>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</si>
  <si>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</si>
  <si>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</si>
  <si>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</si>
  <si>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</si>
  <si>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</si>
  <si>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</si>
  <si>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</si>
  <si>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</si>
  <si>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</si>
  <si>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</si>
  <si>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</si>
  <si>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</si>
  <si>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</si>
  <si>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</si>
  <si>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</si>
  <si>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</si>
  <si>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</si>
  <si>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</si>
  <si>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</si>
  <si>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</si>
  <si>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</si>
  <si>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</si>
  <si>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</si>
  <si>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</si>
  <si>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</si>
  <si>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</si>
  <si>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</si>
  <si>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</si>
  <si>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</si>
  <si>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</si>
  <si>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</si>
  <si>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</si>
  <si>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</si>
  <si>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</si>
  <si>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</si>
  <si>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</si>
  <si>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</si>
  <si>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</si>
  <si>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</si>
  <si>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</si>
  <si>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</si>
  <si>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</si>
  <si>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</si>
  <si>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</si>
  <si>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</si>
  <si>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</si>
  <si>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</si>
  <si>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</si>
  <si>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</si>
  <si>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</si>
  <si>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</si>
  <si>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</si>
  <si>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</si>
  <si>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</si>
  <si>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</si>
  <si>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</si>
  <si>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</si>
  <si>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</si>
  <si>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</si>
  <si>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</si>
  <si>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</si>
  <si>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</si>
  <si>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</si>
  <si>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</si>
  <si>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</si>
  <si>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</si>
  <si>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</si>
  <si>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</si>
  <si>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</si>
  <si>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</si>
  <si>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</si>
  <si>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</si>
  <si>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</si>
  <si>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</si>
  <si>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</si>
  <si>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</si>
  <si>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</si>
  <si>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</si>
  <si>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</si>
  <si>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</si>
  <si>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</si>
  <si>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</si>
  <si>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</si>
  <si>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</si>
  <si>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</si>
  <si>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</si>
  <si>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</si>
  <si>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</si>
  <si>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</si>
  <si>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</si>
  <si>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</si>
  <si>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</si>
  <si>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</si>
  <si>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</si>
  <si>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</si>
  <si>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</si>
  <si>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</si>
  <si>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</si>
  <si>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</si>
  <si>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</si>
  <si>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</si>
  <si>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</si>
  <si>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</si>
  <si>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</si>
  <si>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</si>
  <si>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</si>
  <si>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</si>
  <si>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</si>
  <si>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</si>
  <si>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</si>
  <si>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</si>
  <si>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</si>
  <si>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</si>
  <si>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</si>
  <si>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</si>
  <si>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</si>
  <si>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</si>
  <si>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</si>
  <si>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</si>
  <si>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</si>
  <si>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</si>
  <si>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</si>
  <si>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</si>
  <si>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</si>
  <si>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</si>
  <si>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</si>
  <si>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</si>
  <si>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</si>
  <si>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</si>
  <si>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</si>
  <si>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</si>
  <si>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</si>
  <si>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</si>
  <si>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</si>
  <si>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</si>
  <si>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</si>
  <si>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</si>
  <si>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</si>
  <si>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</si>
  <si>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</si>
  <si>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</si>
  <si>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</si>
  <si>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</si>
  <si>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</si>
  <si>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</si>
  <si>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</si>
  <si>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</si>
  <si>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</si>
  <si>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</si>
  <si>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</si>
  <si>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</si>
  <si>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</si>
  <si>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</si>
  <si>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</si>
  <si>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</si>
  <si>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</si>
  <si>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</si>
  <si>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</si>
  <si>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</si>
  <si>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</si>
  <si>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</si>
  <si>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</si>
  <si>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</si>
  <si>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</si>
  <si>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</si>
  <si>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</si>
  <si>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</si>
  <si>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</si>
  <si>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</si>
  <si>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</si>
  <si>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</si>
  <si>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</si>
  <si>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</si>
  <si>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</si>
  <si>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</si>
  <si>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</si>
  <si>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</si>
  <si>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</si>
  <si>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</si>
  <si>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</si>
  <si>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</si>
  <si>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</si>
  <si>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</si>
  <si>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</si>
  <si>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</si>
  <si>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</si>
  <si>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</si>
  <si>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</si>
  <si>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</si>
  <si>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</si>
  <si>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</si>
  <si>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</si>
  <si>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</si>
  <si>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</si>
  <si>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</si>
  <si>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</si>
  <si>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</si>
  <si>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</si>
  <si>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</si>
  <si>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</si>
  <si>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</si>
  <si>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</si>
  <si>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</si>
  <si>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</si>
  <si>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</si>
  <si>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</si>
  <si>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</si>
  <si>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</si>
  <si>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</si>
  <si>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</si>
  <si>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</si>
  <si>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</si>
  <si>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</si>
  <si>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</si>
  <si>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</si>
  <si>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</si>
  <si>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</si>
  <si>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</si>
  <si>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</si>
  <si>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</si>
  <si>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</si>
  <si>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</si>
  <si>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</si>
  <si>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</si>
  <si>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</si>
  <si>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</si>
  <si>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</si>
  <si>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</si>
  <si>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</si>
  <si>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</si>
  <si>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</si>
  <si>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</si>
  <si>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</si>
  <si>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</si>
  <si>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</si>
  <si>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</si>
  <si>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</si>
  <si>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</si>
  <si>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</si>
  <si>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</si>
  <si>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</si>
  <si>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</si>
  <si>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</si>
  <si>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</si>
  <si>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</si>
  <si>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</si>
  <si>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</si>
  <si>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</si>
  <si>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</si>
  <si>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</si>
  <si>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</si>
  <si>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</si>
  <si>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</si>
  <si>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</si>
  <si>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</si>
  <si>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</si>
  <si>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</si>
  <si>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</si>
  <si>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</si>
  <si>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</si>
  <si>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</si>
  <si>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</si>
  <si>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</si>
  <si>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</si>
  <si>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</si>
  <si>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</si>
  <si>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</si>
  <si>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</si>
  <si>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</si>
  <si>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</si>
  <si>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</si>
  <si>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</si>
  <si>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</si>
  <si>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</si>
  <si>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</si>
  <si>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</si>
  <si>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</si>
  <si>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</si>
  <si>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</si>
  <si>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</si>
  <si>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</si>
  <si>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</si>
  <si>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</si>
  <si>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</si>
  <si>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</si>
  <si>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</si>
  <si>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</si>
  <si>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</si>
  <si>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</si>
  <si>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</si>
  <si>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</si>
  <si>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</si>
  <si>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</si>
  <si>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</si>
  <si>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</si>
  <si>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</si>
  <si>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</si>
  <si>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</si>
  <si>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</si>
  <si>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地上</t>
  </si>
  <si>
    <t>地下</t>
  </si>
  <si>
    <t>是</t>
  </si>
  <si>
    <t>停车管理用房</t>
  </si>
  <si>
    <t>停车管理用房</t>
    <phoneticPr fontId="7" type="noConversion"/>
  </si>
  <si>
    <t>直线</t>
    <phoneticPr fontId="3" type="noConversion"/>
  </si>
  <si>
    <t>观察</t>
    <phoneticPr fontId="3" type="noConversion"/>
  </si>
  <si>
    <t>成新度</t>
  </si>
  <si>
    <t>收益法 (元)</t>
  </si>
  <si>
    <t>押一</t>
  </si>
  <si>
    <t>钢混</t>
  </si>
  <si>
    <t>非生产用房</t>
  </si>
  <si>
    <t>否</t>
  </si>
  <si>
    <t>自定义容积率</t>
  </si>
  <si>
    <t>与级别开发程度一致</t>
  </si>
  <si>
    <t>按公示增长率计算</t>
  </si>
  <si>
    <t>中心城区以外</t>
  </si>
  <si>
    <t>较好</t>
  </si>
  <si>
    <t>一般</t>
  </si>
  <si>
    <t>好</t>
  </si>
  <si>
    <t>未包含在土地购买价格中</t>
  </si>
  <si>
    <t>已包含在土地取得成本中</t>
  </si>
  <si>
    <t>成本法 (元)</t>
  </si>
  <si>
    <t>不临65条商业街</t>
  </si>
  <si>
    <t>容积率修正</t>
  </si>
  <si>
    <t>正评</t>
    <phoneticPr fontId="8" type="noConversion"/>
  </si>
  <si>
    <t>总值</t>
    <phoneticPr fontId="8" type="noConversion"/>
  </si>
  <si>
    <t>单价</t>
    <phoneticPr fontId="8" type="noConversion"/>
  </si>
  <si>
    <r>
      <t>2024</t>
    </r>
    <r>
      <rPr>
        <sz val="10"/>
        <color indexed="8"/>
        <rFont val="宋体"/>
        <family val="3"/>
        <charset val="134"/>
      </rPr>
      <t>年复估</t>
    </r>
    <phoneticPr fontId="8" type="noConversion"/>
  </si>
  <si>
    <t>单价</t>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</si>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</sst>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9" fillId="16" borderId="1" xfId="0" applyNumberFormat="1" applyFont="1" applyFill="1" applyBorder="1" applyAlignment="1" applyProtection="1">
      <alignment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估价对象为房地产，为所有。根据《国有土地使用证》[]，估价对象（分摊）出让国有建设用地使用权面积为0平方米，建筑面积为1239.47平方米。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估价对象为房地产,属开发建设的，该项目尚在开发建设中。根据《国有土地使用证》[]，估价对象（分摊）出让国有建设用地使用权面积为0平方米，规划建筑面积为1239.47平方米。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2025年12月8日</v>
      </c>
    </row>
    <row r="13" spans="1:2" s="1203" customFormat="1">
      <c r="A13" s="1201" t="s">
        <v>529</v>
      </c>
      <c r="B13" s="1202"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875</v>
      </c>
    </row>
    <row r="21" spans="1:2" s="1203" customFormat="1">
      <c r="A21" s="1201" t="s">
        <v>537</v>
      </c>
      <c r="B21" s="1202">
        <f ca="1">'预评函-2'!D7</f>
        <v>7057</v>
      </c>
    </row>
    <row r="22" spans="1:2" s="1203" customFormat="1">
      <c r="A22" s="1201" t="s">
        <v>538</v>
      </c>
      <c r="B22" s="1202" t="str">
        <f ca="1">'预评函-2'!D6</f>
        <v>捌佰柒拾伍万元整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875</v>
      </c>
    </row>
    <row r="31" spans="1:2" s="1203" customFormat="1">
      <c r="A31" s="1201" t="s">
        <v>576</v>
      </c>
      <c r="B31" s="1202">
        <f ca="1">'预评函-2'!D15</f>
        <v>7057</v>
      </c>
    </row>
    <row r="32" spans="1:2" s="1203" customFormat="1">
      <c r="A32" s="1201" t="s">
        <v>543</v>
      </c>
      <c r="B32" s="1202" t="str">
        <f ca="1">'预评函-2'!D14</f>
        <v>捌佰柒拾伍万元整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1239.47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3408</v>
      </c>
      <c r="Z2" s="1551" t="s">
        <v>2452</v>
      </c>
      <c r="AA2" s="1551" t="s">
        <v>3409</v>
      </c>
      <c r="AB2" s="1551" t="s">
        <v>2479</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3339</v>
      </c>
      <c r="X7" s="1551" t="s">
        <v>2449</v>
      </c>
      <c r="Z7" s="1551" t="s">
        <v>2462</v>
      </c>
      <c r="AB7" s="1551" t="s">
        <v>2488</v>
      </c>
    </row>
    <row r="8" spans="1:28">
      <c r="A8" s="1546" t="s">
        <v>1026</v>
      </c>
      <c r="B8" s="1546" t="s">
        <v>1027</v>
      </c>
      <c r="C8" s="1547" t="s">
        <v>319</v>
      </c>
      <c r="F8" s="1548" t="s">
        <v>1028</v>
      </c>
      <c r="H8" s="1548" t="s">
        <v>2577</v>
      </c>
      <c r="I8" s="1548" t="s">
        <v>3340</v>
      </c>
      <c r="X8" s="1551" t="s">
        <v>3411</v>
      </c>
      <c r="Z8" s="1551" t="s">
        <v>2464</v>
      </c>
      <c r="AB8" s="1551" t="s">
        <v>2490</v>
      </c>
    </row>
    <row r="9" spans="1:28">
      <c r="A9" s="1546" t="s">
        <v>1029</v>
      </c>
      <c r="B9" s="1546" t="s">
        <v>1030</v>
      </c>
      <c r="C9" s="1547" t="s">
        <v>320</v>
      </c>
      <c r="F9" s="1548" t="s">
        <v>1031</v>
      </c>
      <c r="H9" s="1548"/>
      <c r="I9" s="1551" t="s">
        <v>3341</v>
      </c>
      <c r="X9" s="1551" t="s">
        <v>3412</v>
      </c>
      <c r="Z9" s="1551" t="s">
        <v>2466</v>
      </c>
      <c r="AB9" s="1551" t="s">
        <v>2492</v>
      </c>
    </row>
    <row r="10" spans="1:28">
      <c r="A10" s="1546" t="s">
        <v>1032</v>
      </c>
      <c r="B10" s="1546" t="s">
        <v>1033</v>
      </c>
      <c r="C10" s="1547" t="s">
        <v>321</v>
      </c>
      <c r="F10" s="1548" t="s">
        <v>2578</v>
      </c>
      <c r="I10" s="1551" t="s">
        <v>3342</v>
      </c>
      <c r="Z10" s="1551" t="s">
        <v>2468</v>
      </c>
      <c r="AB10" s="1551" t="s">
        <v>2494</v>
      </c>
    </row>
    <row r="11" spans="1:28">
      <c r="A11" s="1546" t="s">
        <v>1034</v>
      </c>
      <c r="B11" s="1546" t="s">
        <v>1035</v>
      </c>
      <c r="C11" s="1547" t="s">
        <v>322</v>
      </c>
      <c r="F11" s="1548" t="s">
        <v>13</v>
      </c>
      <c r="I11" s="1551" t="s">
        <v>3343</v>
      </c>
      <c r="Z11" s="1551" t="s">
        <v>2470</v>
      </c>
      <c r="AB11" s="1551" t="s">
        <v>2496</v>
      </c>
    </row>
    <row r="12" spans="1:28">
      <c r="A12" s="1546" t="s">
        <v>1036</v>
      </c>
      <c r="B12" s="1546" t="s">
        <v>1037</v>
      </c>
      <c r="C12" s="1547" t="s">
        <v>323</v>
      </c>
      <c r="I12" s="1551" t="s">
        <v>3344</v>
      </c>
      <c r="Z12" s="1551" t="s">
        <v>2472</v>
      </c>
      <c r="AB12" s="1551" t="s">
        <v>2498</v>
      </c>
    </row>
    <row r="13" spans="1:28">
      <c r="A13" s="1546" t="s">
        <v>1038</v>
      </c>
      <c r="B13" s="1546" t="s">
        <v>1039</v>
      </c>
      <c r="C13" s="1547" t="s">
        <v>324</v>
      </c>
      <c r="I13" s="1551" t="s">
        <v>3345</v>
      </c>
      <c r="Z13" s="1551" t="s">
        <v>2474</v>
      </c>
    </row>
    <row r="14" spans="1:28">
      <c r="A14" s="1546" t="s">
        <v>1040</v>
      </c>
      <c r="B14" s="1546" t="s">
        <v>1041</v>
      </c>
      <c r="C14" s="1548" t="s">
        <v>13</v>
      </c>
      <c r="I14" s="1551" t="s">
        <v>3346</v>
      </c>
      <c r="Z14" s="1551" t="s">
        <v>2476</v>
      </c>
    </row>
    <row r="15" spans="1:28">
      <c r="A15" s="1546" t="s">
        <v>1042</v>
      </c>
      <c r="B15" s="1546" t="s">
        <v>1043</v>
      </c>
      <c r="C15" s="1547"/>
      <c r="I15" s="1551" t="s">
        <v>3347</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6" t="s">
        <v>2593</v>
      </c>
      <c r="J1" s="3226"/>
      <c r="K1" s="3226"/>
      <c r="L1" s="3226"/>
      <c r="M1" s="3226"/>
      <c r="N1" s="3437"/>
      <c r="O1" s="3437"/>
      <c r="P1" s="3437"/>
      <c r="Q1" s="3437"/>
      <c r="R1" s="3437"/>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45999</v>
      </c>
      <c r="C3" s="3023"/>
      <c r="D3" s="3023"/>
      <c r="E3" s="3023"/>
      <c r="F3" s="3019"/>
      <c r="I3" s="3438"/>
      <c r="J3" s="3438" t="s">
        <v>2584</v>
      </c>
      <c r="K3" s="3438" t="s">
        <v>2585</v>
      </c>
      <c r="L3" s="3438" t="s">
        <v>2586</v>
      </c>
      <c r="M3" s="3438" t="s">
        <v>2587</v>
      </c>
      <c r="N3" s="3439" t="s">
        <v>2588</v>
      </c>
      <c r="O3" s="3439" t="s">
        <v>2589</v>
      </c>
      <c r="P3" s="3439" t="s">
        <v>2590</v>
      </c>
      <c r="Q3" s="3439" t="s">
        <v>2591</v>
      </c>
      <c r="R3" s="3439" t="s">
        <v>2592</v>
      </c>
    </row>
    <row r="4" spans="1:18">
      <c r="A4" s="3020" t="s">
        <v>2502</v>
      </c>
      <c r="B4" s="3023" t="s">
        <v>2503</v>
      </c>
      <c r="C4" s="3023" t="s">
        <v>2504</v>
      </c>
      <c r="D4" s="3023" t="s">
        <v>2505</v>
      </c>
      <c r="E4" s="3023" t="s">
        <v>2506</v>
      </c>
      <c r="F4" s="3019"/>
      <c r="I4" s="3438" t="s">
        <v>2581</v>
      </c>
      <c r="J4" s="3438">
        <v>80</v>
      </c>
      <c r="K4" s="3438">
        <v>70</v>
      </c>
      <c r="L4" s="3438">
        <v>20</v>
      </c>
      <c r="M4" s="3438">
        <v>30</v>
      </c>
      <c r="N4" s="3023">
        <v>45</v>
      </c>
      <c r="O4" s="3023">
        <v>60</v>
      </c>
      <c r="P4" s="3023">
        <v>50</v>
      </c>
      <c r="Q4" s="3023">
        <v>20</v>
      </c>
      <c r="R4" s="3023">
        <v>375</v>
      </c>
    </row>
    <row r="5" spans="1:18">
      <c r="A5" s="3024">
        <v>40</v>
      </c>
      <c r="B5" s="3021">
        <v>46375</v>
      </c>
      <c r="C5" s="3023">
        <f>ROUNDDOWN(MIN((B5-B3)/365,A5),2)</f>
        <v>1.03</v>
      </c>
      <c r="D5" s="3025">
        <f>IF(ISERROR(ROUND(POWER(1+E5,A5-C5)*(POWER(1+E5,C5)-1)/(POWER(1+E5,A5)-1),3)),0,ROUND(POWER(1+E5,A5-C5)*(POWER(1+E5,C5)-1)/(POWER(1+E5,A5)-1),4))</f>
        <v>0.05</v>
      </c>
      <c r="E5" s="3026">
        <v>0.04</v>
      </c>
      <c r="F5" s="3019"/>
      <c r="I5" s="3438" t="s">
        <v>2582</v>
      </c>
      <c r="J5" s="3438">
        <v>70</v>
      </c>
      <c r="K5" s="3438">
        <v>60</v>
      </c>
      <c r="L5" s="3438">
        <v>15</v>
      </c>
      <c r="M5" s="3438">
        <v>25</v>
      </c>
      <c r="N5" s="3023">
        <v>40</v>
      </c>
      <c r="O5" s="3023">
        <v>50</v>
      </c>
      <c r="P5" s="3023">
        <v>40</v>
      </c>
      <c r="Q5" s="3023">
        <v>15</v>
      </c>
      <c r="R5" s="3023">
        <v>315</v>
      </c>
    </row>
    <row r="6" spans="1:18">
      <c r="A6" s="3024">
        <v>50</v>
      </c>
      <c r="B6" s="3021">
        <v>50028</v>
      </c>
      <c r="C6" s="3023">
        <f>ROUNDDOWN(MIN((B6-B3)/365,A6),2)</f>
        <v>11.03</v>
      </c>
      <c r="D6" s="3025">
        <f>IF(ISERROR(ROUND(POWER(1+E6,A6-C6)*(POWER(1+E6,C6)-1)/(POWER(1+E6,A6)-1),3)),0,ROUND(POWER(1+E6,A6-C6)*(POWER(1+E6,C6)-1)/(POWER(1+E6,A6)-1),4))</f>
        <v>0.40870000000000001</v>
      </c>
      <c r="E6" s="3026">
        <v>0.04</v>
      </c>
      <c r="F6" s="3019"/>
      <c r="I6" s="3438" t="s">
        <v>2583</v>
      </c>
      <c r="J6" s="3438">
        <v>60</v>
      </c>
      <c r="K6" s="3438">
        <v>50</v>
      </c>
      <c r="L6" s="3438">
        <v>10</v>
      </c>
      <c r="M6" s="3438">
        <v>20</v>
      </c>
      <c r="N6" s="3023">
        <v>35</v>
      </c>
      <c r="O6" s="3023">
        <v>40</v>
      </c>
      <c r="P6" s="3023">
        <v>30</v>
      </c>
      <c r="Q6" s="3023">
        <v>10</v>
      </c>
      <c r="R6" s="3023">
        <v>255</v>
      </c>
    </row>
    <row r="7" spans="1:18">
      <c r="A7" s="3024">
        <v>70</v>
      </c>
      <c r="B7" s="3021">
        <v>57333</v>
      </c>
      <c r="C7" s="3023">
        <f>ROUNDDOWN(MIN((B7-B3)/365,A7),2)</f>
        <v>31.05</v>
      </c>
      <c r="D7" s="3025">
        <f>IF(ISERROR(ROUND(POWER(1+E7,A7-C7)*(POWER(1+E7,C7)-1)/(POWER(1+E7,A7)-1),3)),0,ROUND(POWER(1+E7,A7-C7)*(POWER(1+E7,C7)-1)/(POWER(1+E7,A7)-1),4))</f>
        <v>0.75239999999999996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6"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6">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6">
        <v>8</v>
      </c>
    </row>
    <row r="26" spans="1:14">
      <c r="A26" s="3040"/>
      <c r="B26" s="3041"/>
      <c r="C26" s="3041"/>
      <c r="D26" s="3041"/>
      <c r="E26" s="3041"/>
      <c r="F26" s="3041"/>
      <c r="G26" s="3042"/>
      <c r="I26" s="3058">
        <v>30</v>
      </c>
      <c r="J26" s="3058">
        <v>90.5</v>
      </c>
      <c r="K26" s="3058">
        <f t="shared" si="2"/>
        <v>4.2000000000000028</v>
      </c>
      <c r="L26" s="3058" t="s">
        <v>2571</v>
      </c>
      <c r="N26" s="3456">
        <v>5</v>
      </c>
    </row>
    <row r="27" spans="1:14">
      <c r="A27" s="3040" t="s">
        <v>2530</v>
      </c>
      <c r="B27" s="3041"/>
      <c r="C27" s="3041"/>
      <c r="D27" s="3041"/>
      <c r="E27" s="3041"/>
      <c r="F27" s="3041"/>
      <c r="G27" s="3042"/>
      <c r="I27" s="3058">
        <v>35</v>
      </c>
      <c r="J27" s="3058">
        <v>93.8</v>
      </c>
      <c r="K27" s="3058">
        <f t="shared" si="2"/>
        <v>3.2999999999999972</v>
      </c>
      <c r="L27" s="3058" t="s">
        <v>2572</v>
      </c>
      <c r="N27" s="3456">
        <v>3</v>
      </c>
    </row>
    <row r="28" spans="1:14">
      <c r="A28" s="3040" t="s">
        <v>2531</v>
      </c>
      <c r="B28" s="3041"/>
      <c r="C28" s="3041"/>
      <c r="D28" s="3041"/>
      <c r="E28" s="3041"/>
      <c r="F28" s="3041"/>
      <c r="G28" s="3042"/>
      <c r="I28" s="3058">
        <v>40</v>
      </c>
      <c r="J28" s="3058">
        <v>96.4</v>
      </c>
      <c r="K28" s="3058">
        <f t="shared" si="2"/>
        <v>2.6000000000000085</v>
      </c>
      <c r="L28" s="3058" t="s">
        <v>2573</v>
      </c>
      <c r="N28" s="3456">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6" t="s">
        <v>2568</v>
      </c>
    </row>
    <row r="37" spans="1:14">
      <c r="A37" s="3040" t="s">
        <v>2540</v>
      </c>
      <c r="B37" s="3041"/>
      <c r="C37" s="3041"/>
      <c r="D37" s="3041"/>
      <c r="E37" s="3041"/>
      <c r="F37" s="3041"/>
      <c r="G37" s="3042"/>
      <c r="I37" s="3058">
        <v>20</v>
      </c>
      <c r="J37" s="3058">
        <v>83.6</v>
      </c>
      <c r="K37" s="3058">
        <f t="shared" si="3"/>
        <v>7.2999999999999972</v>
      </c>
      <c r="L37" s="3058" t="s">
        <v>2566</v>
      </c>
      <c r="N37" s="3456">
        <v>10</v>
      </c>
    </row>
    <row r="38" spans="1:14">
      <c r="A38" s="3040" t="s">
        <v>2541</v>
      </c>
      <c r="B38" s="3041"/>
      <c r="C38" s="3041"/>
      <c r="D38" s="3041"/>
      <c r="E38" s="3041"/>
      <c r="F38" s="3041"/>
      <c r="G38" s="3042"/>
      <c r="I38" s="3058">
        <v>25</v>
      </c>
      <c r="J38" s="3058">
        <v>89.3</v>
      </c>
      <c r="K38" s="3058">
        <f t="shared" si="3"/>
        <v>5.7000000000000028</v>
      </c>
      <c r="L38" s="3058" t="s">
        <v>2570</v>
      </c>
      <c r="N38" s="3456">
        <v>8</v>
      </c>
    </row>
    <row r="39" spans="1:14">
      <c r="A39" s="3040"/>
      <c r="B39" s="3041"/>
      <c r="C39" s="3041"/>
      <c r="D39" s="3041"/>
      <c r="E39" s="3041"/>
      <c r="F39" s="3041"/>
      <c r="G39" s="3042"/>
      <c r="I39" s="3058">
        <v>30</v>
      </c>
      <c r="J39" s="3058">
        <v>93.8</v>
      </c>
      <c r="K39" s="3058">
        <f t="shared" si="3"/>
        <v>4.5</v>
      </c>
      <c r="L39" s="3058" t="s">
        <v>2571</v>
      </c>
      <c r="N39" s="3456">
        <v>6</v>
      </c>
    </row>
    <row r="40" spans="1:14">
      <c r="A40" s="3043" t="s">
        <v>2542</v>
      </c>
      <c r="B40" s="3044"/>
      <c r="C40" s="3044"/>
      <c r="D40" s="3044"/>
      <c r="E40" s="3044"/>
      <c r="F40" s="3044"/>
      <c r="G40" s="3045"/>
      <c r="I40" s="3058">
        <v>35</v>
      </c>
      <c r="J40" s="3058">
        <v>97.2</v>
      </c>
      <c r="K40" s="3058">
        <f t="shared" si="3"/>
        <v>3.4000000000000057</v>
      </c>
      <c r="L40" s="3058" t="s">
        <v>2572</v>
      </c>
      <c r="N40" s="3456">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3384</v>
      </c>
    </row>
    <row r="50" spans="1:4">
      <c r="A50" s="3448" t="s">
        <v>3385</v>
      </c>
      <c r="B50" s="3448" t="s">
        <v>3386</v>
      </c>
      <c r="C50" s="3448" t="s">
        <v>3387</v>
      </c>
      <c r="D50" s="3448" t="s">
        <v>3388</v>
      </c>
    </row>
    <row r="51" spans="1:4">
      <c r="A51" s="3448" t="s">
        <v>3389</v>
      </c>
      <c r="B51" s="3022">
        <f>B52+B53</f>
        <v>15000</v>
      </c>
      <c r="C51" s="3449">
        <f>D51/B51</f>
        <v>2666.6666666666665</v>
      </c>
      <c r="D51" s="3022">
        <f>D52+D53</f>
        <v>40000000</v>
      </c>
    </row>
    <row r="52" spans="1:4">
      <c r="A52" s="3450" t="s">
        <v>3390</v>
      </c>
      <c r="B52" s="3451">
        <v>10000</v>
      </c>
      <c r="C52" s="3451">
        <v>1500</v>
      </c>
      <c r="D52" s="3452">
        <f>C52*B52</f>
        <v>15000000</v>
      </c>
    </row>
    <row r="53" spans="1:4">
      <c r="A53" s="3450" t="s">
        <v>3391</v>
      </c>
      <c r="B53" s="3451">
        <v>5000</v>
      </c>
      <c r="C53" s="3451">
        <v>5000</v>
      </c>
      <c r="D53" s="3452">
        <f>C53*B53</f>
        <v>25000000</v>
      </c>
    </row>
    <row r="54" spans="1:4">
      <c r="A54" s="3448" t="s">
        <v>3392</v>
      </c>
      <c r="B54" s="3022">
        <f>B51</f>
        <v>15000</v>
      </c>
      <c r="C54" s="3029">
        <v>700</v>
      </c>
      <c r="D54" s="3022">
        <f t="shared" ref="D54:D55" si="5">C54*B54</f>
        <v>10500000</v>
      </c>
    </row>
    <row r="55" spans="1:4">
      <c r="A55" s="3448" t="s">
        <v>3393</v>
      </c>
      <c r="B55" s="3022">
        <f>B51</f>
        <v>15000</v>
      </c>
      <c r="C55" s="3029">
        <v>1500</v>
      </c>
      <c r="D55" s="3022">
        <f t="shared" si="5"/>
        <v>22500000</v>
      </c>
    </row>
    <row r="56" spans="1:4">
      <c r="A56" s="3448" t="s">
        <v>3394</v>
      </c>
      <c r="B56" s="3022">
        <f>B51</f>
        <v>15000</v>
      </c>
      <c r="C56" s="3453">
        <f>C51+C54+C55</f>
        <v>4866.6666666666661</v>
      </c>
      <c r="D56" s="3022">
        <f>D51+D54+D55</f>
        <v>73000000</v>
      </c>
    </row>
    <row r="58" spans="1:4">
      <c r="A58" s="3448" t="s">
        <v>3395</v>
      </c>
      <c r="B58" s="3454">
        <v>0.05</v>
      </c>
      <c r="C58" s="3022">
        <f>C56*(1+B58)</f>
        <v>5110</v>
      </c>
      <c r="D58" s="3022">
        <f>D56*B58</f>
        <v>3650000</v>
      </c>
    </row>
    <row r="60" spans="1:4">
      <c r="A60" s="3448" t="s">
        <v>3396</v>
      </c>
      <c r="B60" s="3029">
        <v>3500</v>
      </c>
      <c r="C60" s="3029">
        <f>C53</f>
        <v>5000</v>
      </c>
      <c r="D60" s="3022">
        <f>C60*B60</f>
        <v>17500000</v>
      </c>
    </row>
    <row r="62" spans="1:4">
      <c r="A62" s="3448" t="s">
        <v>3397</v>
      </c>
      <c r="B62" s="3029">
        <f>B51</f>
        <v>15000</v>
      </c>
      <c r="C62" s="3455">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45999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3416</v>
      </c>
      <c r="C8" s="2390"/>
      <c r="D8" s="3533" t="s">
        <v>2177</v>
      </c>
      <c r="E8" s="2391" t="s">
        <v>3417</v>
      </c>
      <c r="F8" s="2392"/>
      <c r="G8" s="2663"/>
      <c r="H8" s="2663"/>
      <c r="I8" s="2663"/>
      <c r="J8" s="2439"/>
      <c r="K8" s="2614"/>
      <c r="L8" s="2613"/>
      <c r="M8" s="2613"/>
      <c r="N8" s="2439"/>
      <c r="O8" s="2450"/>
      <c r="P8" s="2439"/>
      <c r="Q8" s="2439"/>
      <c r="R8" s="2439"/>
    </row>
    <row r="9" spans="1:30" ht="13.5" thickBot="1">
      <c r="A9" s="2393" t="s">
        <v>2178</v>
      </c>
      <c r="B9" s="2394" t="s">
        <v>3417</v>
      </c>
      <c r="C9" s="2395"/>
      <c r="D9" s="3534"/>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2" t="s">
        <v>3330</v>
      </c>
      <c r="B13" s="2407" t="s">
        <v>2190</v>
      </c>
      <c r="C13" s="856"/>
      <c r="D13" s="856">
        <f>H13</f>
        <v>59572</v>
      </c>
      <c r="E13" s="856"/>
      <c r="F13" s="856"/>
      <c r="G13" s="856"/>
      <c r="H13" s="856">
        <v>59572</v>
      </c>
      <c r="I13" s="856">
        <f>H13</f>
        <v>59572</v>
      </c>
      <c r="J13" s="3062"/>
      <c r="K13" s="2613"/>
      <c r="L13" s="2613"/>
      <c r="M13" s="2439"/>
      <c r="N13" s="2450"/>
      <c r="O13" s="2439"/>
      <c r="P13" s="2439"/>
      <c r="Q13" s="2439"/>
      <c r="AD13" s="1745"/>
    </row>
    <row r="14" spans="1:30">
      <c r="A14" s="1081"/>
      <c r="B14" s="2407" t="s">
        <v>2191</v>
      </c>
      <c r="C14" s="2408"/>
      <c r="D14" s="2408">
        <v>40</v>
      </c>
      <c r="E14" s="2408"/>
      <c r="F14" s="2408"/>
      <c r="G14" s="2408"/>
      <c r="H14" s="2408"/>
      <c r="I14" s="2408">
        <v>50</v>
      </c>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37.18</v>
      </c>
      <c r="E15" s="2410" t="str">
        <f>IF(A13="出让",IF(E13="","",ROUNDDOWN(MIN((E13-$D$3)/365,E14),2)),E14)</f>
        <v/>
      </c>
      <c r="F15" s="2410" t="str">
        <f>IF(A13="出让",IF(F13="","",ROUNDDOWN(MIN((F13-$D$3)/365,F14),2)),F14)</f>
        <v/>
      </c>
      <c r="G15" s="2410" t="str">
        <f>IF(A13="出让",IF(G13="","",ROUNDDOWN(MIN((G13-$D$3)/365,G14),2)),G14)</f>
        <v/>
      </c>
      <c r="H15" s="2410">
        <f>IF(A13="出让",IF(H13="","",ROUNDDOWN(MIN((H13-$D$3)/365,H14),2)),H14)</f>
        <v>37.18</v>
      </c>
      <c r="I15" s="2410">
        <f>IF(A13="出让",IF(I13="","",ROUNDDOWN(MIN((I13-$D$3)/365,I14),2)),I14)</f>
        <v>37.18</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1239.47</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307</v>
      </c>
      <c r="C37" s="2431"/>
      <c r="D37" s="2431"/>
      <c r="E37" s="2431" t="s">
        <v>307</v>
      </c>
      <c r="F37" s="2431" t="s">
        <v>307</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2931</v>
      </c>
      <c r="C38" s="2432"/>
      <c r="D38" s="2432"/>
      <c r="E38" s="2432" t="s">
        <v>2931</v>
      </c>
      <c r="F38" s="2432" t="s">
        <v>2931</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1239.47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1239.47</v>
      </c>
      <c r="H5" s="13">
        <f t="shared" ref="H5:AT5" si="0">SUM(H13:H656)</f>
        <v>1239.47</v>
      </c>
      <c r="I5" s="13">
        <f t="shared" si="0"/>
        <v>755.22</v>
      </c>
      <c r="J5" s="13">
        <f t="shared" si="0"/>
        <v>0</v>
      </c>
      <c r="K5" s="13">
        <f t="shared" si="0"/>
        <v>484.25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1239.47</v>
      </c>
      <c r="BA5" s="15">
        <f t="shared" si="1"/>
        <v>1239.47</v>
      </c>
      <c r="BB5" s="15">
        <f t="shared" si="1"/>
        <v>755.22</v>
      </c>
      <c r="BC5" s="15">
        <f t="shared" si="1"/>
        <v>484.25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3418</v>
      </c>
      <c r="J9" s="809"/>
      <c r="K9" s="1603" t="s">
        <v>3419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3402</v>
      </c>
      <c r="J10" s="809"/>
      <c r="K10" s="1609" t="s">
        <v>3402</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3420</v>
      </c>
      <c r="E13" s="13">
        <f>IF($C$3="是",ROUND($A$3*G13/$B$3,2),ROUND($A$3*(G13-AT13)/$B$3,2))</f>
        <v>0</v>
      </c>
      <c r="F13" s="29"/>
      <c r="G13" s="30">
        <f>H13+AC13+AT13</f>
        <v>1239.47</v>
      </c>
      <c r="H13" s="17">
        <f>SUMIF(I$12:AB$12,"总值",I13:AB13)</f>
        <v>1239.47</v>
      </c>
      <c r="I13" s="1626">
        <f>377.61+377.61</f>
        <v>755.22</v>
      </c>
      <c r="J13" s="1626"/>
      <c r="K13" s="1626">
        <f>1239.47-I13</f>
        <v>484.25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1239.47</v>
      </c>
      <c r="BA13" s="13">
        <f>SUM(BB13:BK13)</f>
        <v>1239.47</v>
      </c>
      <c r="BB13" s="13">
        <f>IF($D13="是",I13-J13,0)</f>
        <v>755.22</v>
      </c>
      <c r="BC13" s="13">
        <f>IF($D13="是",K13-L13,0)</f>
        <v>484.25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f>'数据-基础表'!AY6</f>
        <v>0</v>
      </c>
      <c r="E3" s="43">
        <f>'数据-基础表'!AZ5</f>
        <v>1239.47</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f>ROUND($D$3*E6/$E$3,2)</f>
        <v>0</v>
      </c>
      <c r="E6" s="46">
        <f>E3-E5</f>
        <v>1239.47</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755.22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755.22</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3422</v>
      </c>
      <c r="D19" s="45">
        <f>ROUND($D$3*E19/$E$3,2)</f>
        <v>0</v>
      </c>
      <c r="E19" s="53">
        <f t="shared" ref="E19:E26" si="1">SUM(F19:G19)</f>
        <v>1239.47</v>
      </c>
      <c r="F19" s="2795">
        <f>'数据-基础表'!I13</f>
        <v>755.22</v>
      </c>
      <c r="G19" s="2796">
        <f>'数据-基础表'!K13</f>
        <v>484.25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1239.47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1239.47</v>
      </c>
      <c r="F27" s="1140">
        <f>IF(SUM(F19:F26)=E8,SUM(F19:F26),"地上面积有误")</f>
        <v>755.22</v>
      </c>
      <c r="G27" s="1142">
        <f>SUM(G19:G26)</f>
        <v>484.25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1239.47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1239.47</v>
      </c>
      <c r="F31" s="677">
        <f>F27+F30</f>
        <v>755.22</v>
      </c>
      <c r="G31" s="678">
        <f>G27+G30</f>
        <v>484.25</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18" activePane="bottomRight" state="frozen"/>
      <selection activeCell="C50" sqref="C50"/>
      <selection pane="topRight" activeCell="C50" sqref="C50"/>
      <selection pane="bottomLeft" activeCell="C50" sqref="C50"/>
      <selection pane="bottomRight" activeCell="J37" sqref="J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停车管理用房</v>
      </c>
      <c r="B6" s="1713" t="str">
        <f>IF(A6=0,"","经营性")</f>
        <v>经营性</v>
      </c>
      <c r="C6" s="1714" t="s">
        <v>3402</v>
      </c>
      <c r="D6" s="858">
        <f>SUMIF(项目基本情况!C$12:I$12,C6,项目基本情况!C$14:I$14)</f>
        <v>50</v>
      </c>
      <c r="E6" s="857">
        <f>IF(B6="","",SUMIF(项目基本情况!C$12:I$12,C6,项目基本情况!C$13:I$13))</f>
        <v>59572</v>
      </c>
      <c r="F6" s="64">
        <f>SUMIF(项目基本情况!C$12:I$12,C6,项目基本情况!C$15:I$15)</f>
        <v>37.18</v>
      </c>
      <c r="G6" s="65">
        <f>IF(ISERROR(ROUND(POWER(1+H6,D6-F6)*(POWER(1+H6,F6)-1)/(POWER(1+H6,D6)-1),3)),0,ROUND(POWER(1+H6,D6-F6)*(POWER(1+H6,F6)-1)/(POWER(1+H6,D6)-1),3))</f>
        <v>0.91700000000000004</v>
      </c>
      <c r="H6" s="732">
        <v>0.05</v>
      </c>
      <c r="I6" s="732">
        <v>5.5E-2</v>
      </c>
      <c r="J6" s="66">
        <v>7.0000000000000007E-2</v>
      </c>
      <c r="K6" s="1030">
        <f>SUMIF('数据-汇总表'!C$19:C$33,A6,'数据-汇总表'!E$19:E$33)</f>
        <v>1239.47</v>
      </c>
      <c r="L6" s="733">
        <v>4000</v>
      </c>
      <c r="M6" s="67">
        <f t="shared" ref="M6:M14" si="0">ROUND(K6*L6/10000,0)</f>
        <v>496</v>
      </c>
      <c r="N6" s="731">
        <f>N18</f>
        <v>0.87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7">
        <v>1.3</v>
      </c>
      <c r="V6" s="70">
        <v>0.02</v>
      </c>
      <c r="W6" s="70">
        <v>0.1</v>
      </c>
      <c r="X6" s="1040"/>
      <c r="Y6" s="71">
        <f>N6</f>
        <v>0.87</v>
      </c>
      <c r="Z6" s="72"/>
      <c r="AA6" s="66"/>
      <c r="AB6" s="66"/>
      <c r="AC6" s="1040"/>
      <c r="AD6" s="73"/>
      <c r="AE6" s="1041">
        <f ca="1">IF(AN6="",0,SUMIF(INDIRECT("'"&amp;AN6&amp;"'"&amp;"!E:E"),$AE$5,INDIRECT("'"&amp;AN6&amp;"'"&amp;"!F:F")))</f>
        <v>37.18</v>
      </c>
      <c r="AF6" s="1348"/>
      <c r="AG6" s="138">
        <f>IF(AF6="",0,AE6-AF6)</f>
        <v>0</v>
      </c>
      <c r="AH6" s="74"/>
      <c r="AI6" s="76">
        <v>365</v>
      </c>
      <c r="AJ6" s="77"/>
      <c r="AK6" s="78">
        <v>2E-3</v>
      </c>
      <c r="AL6" s="79">
        <v>1E-3</v>
      </c>
      <c r="AM6" s="80">
        <v>5.0000000000000001E-3</v>
      </c>
      <c r="AN6" s="1715" t="s">
        <v>3426</v>
      </c>
      <c r="AO6" s="52">
        <f ca="1">SUMIF(INDIRECT("'"&amp;AN6&amp;"'"&amp;"!A:A"),"总价",INDIRECT("'"&amp;AN6&amp;"'"&amp;"!B:B"))</f>
        <v>875.27239999999995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0.91700000000000004</v>
      </c>
      <c r="H16" s="90">
        <f>ROUND(SUMPRODUCT(H6:H13,K6:K13)/SUMPRODUCT((H6:H13&gt;0)*(K6:K13)),3)</f>
        <v>0.05</v>
      </c>
      <c r="I16" s="91"/>
      <c r="J16" s="91"/>
      <c r="K16" s="92">
        <f>SUM(K6:K15)</f>
        <v>1239.47</v>
      </c>
      <c r="L16" s="93">
        <f>ROUND(M16*10000/SUM(K6:K14),0)</f>
        <v>4002</v>
      </c>
      <c r="M16" s="93">
        <f>SUM(M6:M14)</f>
        <v>496</v>
      </c>
      <c r="N16" s="94">
        <f>ROUND(SUMPRODUCT(M6:M14,N6:N14)/M16,3)</f>
        <v>0.87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77" t="s">
        <v>3423</v>
      </c>
      <c r="N18" s="2671">
        <f>ROUND(1-(2025-2017)/60,2)</f>
        <v>0.87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3477" t="s">
        <v>3424</v>
      </c>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1239.47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45999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874.69399999999996</v>
      </c>
      <c r="C5" s="2512">
        <f ca="1">IF(B5=D14,结果表!H102,ROUND(B5*10000/$B$1,0))</f>
        <v>7057</v>
      </c>
      <c r="D5" s="2512" t="e">
        <f ca="1">ROUND(B5*10000/$B$2,0)</f>
        <v>#DIV/0!</v>
      </c>
      <c r="E5" s="2686"/>
      <c r="F5" s="2687"/>
      <c r="G5" s="2687"/>
      <c r="H5" s="2688"/>
      <c r="I5" s="2688"/>
      <c r="J5" s="2688"/>
      <c r="K5" s="2688"/>
    </row>
    <row r="6" spans="1:11" ht="16.5">
      <c r="A6" s="2512" t="s">
        <v>656</v>
      </c>
      <c r="B6" s="2512">
        <f>SUM(G14:G23)</f>
        <v>0</v>
      </c>
      <c r="C6" s="2512">
        <f ca="1">IF(B6=G14,结果表!H108,ROUND(B6*10000/$B$1,0))</f>
        <v>7057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0"/>
      <c r="F10" s="3444" t="s">
        <v>3355</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1239.47</v>
      </c>
      <c r="C14" s="2518"/>
      <c r="D14" s="2518">
        <f ca="1">ROUND(B14*E14/10000,4)</f>
        <v>874.69399999999996</v>
      </c>
      <c r="E14" s="2518">
        <f ca="1">结果表!I118</f>
        <v>7057</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t="s">
        <v>3440</v>
      </c>
      <c r="D4" s="1756" t="s">
        <v>3426</v>
      </c>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v>5</v>
      </c>
      <c r="D14" s="3606">
        <v>5</v>
      </c>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3" t="s">
        <v>2131</v>
      </c>
      <c r="F18" s="3594"/>
      <c r="G18" s="3594"/>
      <c r="H18" s="3594"/>
      <c r="I18" s="3594"/>
      <c r="K18" s="302" t="s">
        <v>1289</v>
      </c>
      <c r="L18" s="302">
        <f>IF(C1="",'数据-汇总表'!E3,SUMIF(项目类型,C1,'数据-汇总表'!E17:E26)+SUMIF(项目类型,C1,'数据-汇总表'!I17:I26))</f>
        <v>1239.47</v>
      </c>
      <c r="M18" s="302">
        <f>IF(C1="",'数据-汇总表'!E3,SUMIF(项目类型,C1,'数据-汇总表'!E17:E26))</f>
        <v>1239.47</v>
      </c>
    </row>
    <row r="19" spans="1:36" ht="15">
      <c r="A19" s="1761" t="s">
        <v>1290</v>
      </c>
      <c r="B19" s="1762" t="s">
        <v>1291</v>
      </c>
      <c r="C19" s="134">
        <f ca="1">SUMIF(INDIRECT("'"&amp;C4&amp;"'"&amp;"!A:A"),结果表!B19,INDIRECT("'"&amp;C4&amp;"'"&amp;"!B:B"))</f>
        <v>874.05889999999999</v>
      </c>
      <c r="D19" s="135">
        <f ca="1">SUMIF(INDIRECT("'"&amp;D4&amp;"'"&amp;"!A:A"),结果表!B19,INDIRECT("'"&amp;D4&amp;"'"&amp;"!B:B"))</f>
        <v>875.27239999999995</v>
      </c>
      <c r="E19" s="1761" t="s">
        <v>1292</v>
      </c>
      <c r="F19" s="1762" t="s">
        <v>1291</v>
      </c>
      <c r="G19" s="136">
        <f ca="1">ROUND(C19*$C$18+D19*$D$18,0)</f>
        <v>875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7052</v>
      </c>
      <c r="D20" s="138">
        <f ca="1">SUMIF(INDIRECT("'"&amp;D4&amp;"'"&amp;"!A:A"),结果表!B20,INDIRECT("'"&amp;D4&amp;"'"&amp;"!B:B"))</f>
        <v>7062</v>
      </c>
      <c r="E20" s="1764"/>
      <c r="F20" s="1026" t="s">
        <v>1295</v>
      </c>
      <c r="G20" s="139">
        <f ca="1">ROUND(C20*$C$18+D20*$D$18,0)</f>
        <v>7057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79" t="s">
        <v>3443</v>
      </c>
    </row>
    <row r="22" spans="1:36" ht="15" thickBot="1">
      <c r="A22" s="1688" t="s">
        <v>1298</v>
      </c>
      <c r="B22" s="1767"/>
      <c r="C22" s="1768"/>
      <c r="D22" s="721">
        <f ca="1">IF(C19&lt;D19,D19/C19-1,C19/D19-1)</f>
        <v>1.3883503731841884E-3</v>
      </c>
      <c r="E22" s="129"/>
      <c r="F22" s="129"/>
      <c r="G22" s="129"/>
      <c r="H22" s="129"/>
      <c r="I22" s="129"/>
      <c r="J22" s="725">
        <v>932</v>
      </c>
      <c r="K22" s="3479" t="s">
        <v>3444</v>
      </c>
    </row>
    <row r="23" spans="1:36" ht="13.5" thickBot="1">
      <c r="A23" s="1747"/>
      <c r="B23" s="1747"/>
      <c r="C23" s="1747"/>
      <c r="D23" s="1747"/>
      <c r="E23" s="129"/>
      <c r="F23" s="129"/>
      <c r="G23" s="129"/>
      <c r="H23" s="129"/>
      <c r="I23" s="129"/>
      <c r="J23" s="725">
        <v>7519</v>
      </c>
      <c r="K23" s="3479" t="s">
        <v>3445</v>
      </c>
    </row>
    <row r="24" spans="1:36" ht="14.25">
      <c r="A24" s="3577" t="s">
        <v>1299</v>
      </c>
      <c r="B24" s="1762" t="s">
        <v>1291</v>
      </c>
      <c r="C24" s="136">
        <f>IF(B30=0,0,D30)</f>
        <v>0</v>
      </c>
      <c r="D24" s="1769"/>
      <c r="E24" s="129"/>
      <c r="F24" s="129"/>
      <c r="G24" s="129"/>
      <c r="H24" s="129"/>
      <c r="I24" s="129"/>
      <c r="J24" s="725" t="s">
        <v>3446</v>
      </c>
    </row>
    <row r="25" spans="1:36" ht="14.25">
      <c r="A25" s="3578"/>
      <c r="B25" s="1026" t="s">
        <v>1295</v>
      </c>
      <c r="C25" s="141">
        <f>IF(B30=0,0,C30)</f>
        <v>0</v>
      </c>
      <c r="D25" s="1770"/>
      <c r="E25" s="129"/>
      <c r="F25" s="129"/>
      <c r="G25" s="129"/>
      <c r="H25" s="129"/>
      <c r="I25" s="129"/>
      <c r="J25" s="725">
        <v>904</v>
      </c>
      <c r="K25" s="3479" t="s">
        <v>3444</v>
      </c>
    </row>
    <row r="26" spans="1:36" ht="13.5" customHeight="1">
      <c r="A26" s="1771" t="s">
        <v>1300</v>
      </c>
      <c r="B26" s="142" t="s">
        <v>1301</v>
      </c>
      <c r="C26" s="142" t="s">
        <v>1302</v>
      </c>
      <c r="D26" s="143" t="s">
        <v>1303</v>
      </c>
      <c r="E26" s="129"/>
      <c r="F26" s="129"/>
      <c r="G26" s="129"/>
      <c r="H26" s="129"/>
      <c r="I26" s="129"/>
      <c r="J26" s="725">
        <v>7293</v>
      </c>
      <c r="K26" s="3479" t="s">
        <v>3447</v>
      </c>
    </row>
    <row r="27" spans="1:36" ht="14.25">
      <c r="A27" s="1771"/>
      <c r="B27" s="142">
        <v>0</v>
      </c>
      <c r="C27" s="142">
        <v>0</v>
      </c>
      <c r="D27" s="143">
        <f>ROUND(C27*B27/10000,0)</f>
        <v>0</v>
      </c>
      <c r="E27" s="129"/>
      <c r="F27" s="129"/>
      <c r="G27" s="129"/>
      <c r="H27" s="129"/>
      <c r="I27" s="129"/>
      <c r="J27" s="725">
        <f ca="1">(G19-J25)/J25</f>
        <v>-3.2079646017699116E-2</v>
      </c>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7057</v>
      </c>
      <c r="D32" s="1775" t="s">
        <v>3448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f ca="1">ROUND(H101*F45,0)</f>
        <v>875</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45999</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3" t="s">
        <v>1340</v>
      </c>
      <c r="L48" s="3633"/>
      <c r="M48" s="3655">
        <f ca="1">H101</f>
        <v>875</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房地产抵押价值</v>
      </c>
      <c r="L49" s="3633"/>
      <c r="M49" s="3655">
        <f ca="1">IF(项目基本情况!E8="房地产抵押价值",H107,H109)</f>
        <v>875</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f ca="1">ROUND(D45*'数据-取费表'!B41/(1+'数据-取费表'!C42),0)</f>
        <v>46</v>
      </c>
      <c r="E52" s="2334" t="s">
        <v>1354</v>
      </c>
      <c r="F52" s="2554">
        <f>'数据-取费表'!B41</f>
        <v>5.5000000000000007E-2</v>
      </c>
      <c r="G52" s="2555"/>
      <c r="H52" s="2544"/>
      <c r="I52" s="1807"/>
      <c r="J52" s="2523">
        <v>1</v>
      </c>
      <c r="K52" s="3634" t="s">
        <v>1355</v>
      </c>
      <c r="L52" s="3634"/>
      <c r="M52" s="2525" t="b">
        <f>D48</f>
        <v>0</v>
      </c>
      <c r="N52" s="2523" t="str">
        <f>E48</f>
        <v>销售额×税（费）率</v>
      </c>
      <c r="O52" s="2526">
        <f>F48</f>
        <v>5.5000000000000007E-2</v>
      </c>
    </row>
    <row r="53" spans="1:35" ht="12" customHeight="1">
      <c r="A53" s="2335" t="s">
        <v>1356</v>
      </c>
      <c r="B53" s="3595" t="s">
        <v>2291</v>
      </c>
      <c r="C53" s="3596"/>
      <c r="D53" s="1087">
        <f ca="1">ROUND(D45*'数据-取费表'!B41/(1+'数据-取费表'!C42),0)</f>
        <v>46</v>
      </c>
      <c r="E53" s="2334" t="s">
        <v>1354</v>
      </c>
      <c r="F53" s="2554">
        <f>'数据-取费表'!B41</f>
        <v>5.5000000000000007E-2</v>
      </c>
      <c r="G53" s="2555"/>
      <c r="H53" s="2544"/>
      <c r="I53" s="1807"/>
      <c r="J53" s="2523">
        <v>2</v>
      </c>
      <c r="K53" s="3634" t="s">
        <v>1357</v>
      </c>
      <c r="L53" s="3634"/>
      <c r="M53" s="2525">
        <f t="shared" ref="M53:O54" ca="1" si="0">D55</f>
        <v>0</v>
      </c>
      <c r="N53" s="2523" t="str">
        <f t="shared" si="0"/>
        <v>销售额×税（费）率</v>
      </c>
      <c r="O53" s="2526" t="str">
        <f t="shared" si="0"/>
        <v>免征</v>
      </c>
    </row>
    <row r="54" spans="1:35" ht="12" customHeight="1">
      <c r="A54" s="2335" t="s">
        <v>1358</v>
      </c>
      <c r="B54" s="3595" t="s">
        <v>2292</v>
      </c>
      <c r="C54" s="3596"/>
      <c r="D54" s="1087">
        <f ca="1">C68</f>
        <v>46</v>
      </c>
      <c r="E54" s="327" t="s">
        <v>1359</v>
      </c>
      <c r="F54" s="2554">
        <f>'数据-取费表'!B41</f>
        <v>5.5000000000000007E-2</v>
      </c>
      <c r="G54" s="2555"/>
      <c r="H54" s="2556"/>
      <c r="I54" s="1807"/>
      <c r="J54" s="2523">
        <v>3</v>
      </c>
      <c r="K54" s="3634" t="s">
        <v>1360</v>
      </c>
      <c r="L54" s="3634"/>
      <c r="M54" s="2525">
        <f t="shared" ca="1" si="0"/>
        <v>496</v>
      </c>
      <c r="N54" s="2523" t="str">
        <f t="shared" si="0"/>
        <v>增值额×税（费）率</v>
      </c>
      <c r="O54" s="2527" t="str">
        <f t="shared" si="0"/>
        <v>免征</v>
      </c>
    </row>
    <row r="55" spans="1:35" ht="24" customHeight="1">
      <c r="A55" s="3584" t="s">
        <v>1361</v>
      </c>
      <c r="B55" s="3585"/>
      <c r="C55" s="3585"/>
      <c r="D55" s="2324">
        <f ca="1">IF(H55="个人住宅",0,ROUND(D45*I55,0))</f>
        <v>0</v>
      </c>
      <c r="E55" s="2334" t="s">
        <v>1362</v>
      </c>
      <c r="F55" s="2554" t="str">
        <f>IF(H55="正常",I55,"免征")</f>
        <v>免征</v>
      </c>
      <c r="G55" s="2555"/>
      <c r="H55" s="2550"/>
      <c r="I55" s="165">
        <f>'数据-取费表'!B49</f>
        <v>5.0000000000000001E-4</v>
      </c>
      <c r="J55" s="2523">
        <f>IF(H59="非个人房产","",4)</f>
        <v>4</v>
      </c>
      <c r="K55" s="3634" t="str">
        <f>IF(H59="非个人房产","——","个人所得税")</f>
        <v>个人所得税</v>
      </c>
      <c r="L55" s="3634"/>
      <c r="M55" s="2528">
        <f ca="1">D59</f>
        <v>8</v>
      </c>
      <c r="N55" s="2040" t="str">
        <f>E59</f>
        <v>差额计税</v>
      </c>
      <c r="O55" s="2529">
        <f>F59</f>
        <v>0.01</v>
      </c>
    </row>
    <row r="56" spans="1:35" ht="24.75">
      <c r="A56" s="3584" t="s">
        <v>1363</v>
      </c>
      <c r="B56" s="3585"/>
      <c r="C56" s="3585"/>
      <c r="D56" s="2324">
        <f ca="1">IF(H56="个人住宅",D57,D58)</f>
        <v>496</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504</v>
      </c>
      <c r="O57" s="2533"/>
      <c r="P57" s="2690">
        <f ca="1">N57/M49</f>
        <v>0.57599999999999996</v>
      </c>
    </row>
    <row r="58" spans="1:35" ht="24.75">
      <c r="A58" s="2335" t="s">
        <v>1352</v>
      </c>
      <c r="B58" s="3595" t="s">
        <v>1369</v>
      </c>
      <c r="C58" s="3569"/>
      <c r="D58" s="2324">
        <f ca="1">IF(H58="转让取得",C81,C97)</f>
        <v>496</v>
      </c>
      <c r="E58" s="2334" t="s">
        <v>1364</v>
      </c>
      <c r="F58" s="302" t="s">
        <v>28</v>
      </c>
      <c r="G58" s="2555"/>
      <c r="H58" s="2558"/>
      <c r="I58" s="1808"/>
      <c r="J58" s="3634"/>
      <c r="K58" s="3634"/>
      <c r="L58" s="2530" t="s">
        <v>1370</v>
      </c>
      <c r="M58" s="2534"/>
      <c r="N58" s="2535" t="str">
        <f ca="1">NUMBERSTRING(INT(N57*10000),2)&amp;"元整"</f>
        <v>伍佰零肆万元整</v>
      </c>
      <c r="O58" s="2536"/>
    </row>
    <row r="59" spans="1:35" ht="24.75" thickBot="1">
      <c r="A59" s="3637" t="s">
        <v>1371</v>
      </c>
      <c r="B59" s="3638"/>
      <c r="C59" s="3638"/>
      <c r="D59" s="2560">
        <f ca="1">IF(H59="非个人房产","——",IF(H59="个人住宅（满五唯一有凭证）",0,IF(H59="个人其他（无凭证）",ROUND(D45/(1+'数据-取费表'!C42)*F59,0),ROUND(C67*F59,0))))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f ca="1">M49-N57</f>
        <v>371</v>
      </c>
      <c r="O59" s="2539"/>
    </row>
    <row r="60" spans="1:35" ht="12" customHeight="1">
      <c r="A60" s="1809"/>
      <c r="B60" s="1747"/>
      <c r="C60" s="1747"/>
      <c r="D60" s="1747"/>
      <c r="E60" s="1578"/>
      <c r="F60" s="1808"/>
      <c r="G60" s="1808"/>
      <c r="H60" s="1810"/>
      <c r="I60" s="129"/>
      <c r="J60" s="3636"/>
      <c r="K60" s="3634"/>
      <c r="L60" s="2530" t="s">
        <v>1370</v>
      </c>
      <c r="M60" s="2534"/>
      <c r="N60" s="2535" t="str">
        <f ca="1">NUMBERSTRING(INT(N59*10000),2)&amp;"元整"</f>
        <v>叁佰柒拾壹万元整</v>
      </c>
      <c r="O60" s="2536"/>
    </row>
    <row r="61" spans="1:35" ht="13.5" thickBot="1">
      <c r="A61" s="3582" t="s">
        <v>1373</v>
      </c>
      <c r="B61" s="3582"/>
      <c r="C61" s="3582"/>
      <c r="D61" s="3582"/>
      <c r="E61" s="3582"/>
      <c r="F61" s="1808"/>
      <c r="G61" s="1808"/>
      <c r="H61" s="1810"/>
      <c r="I61" s="129"/>
      <c r="J61" s="2523">
        <f>J59+1</f>
        <v>7</v>
      </c>
      <c r="K61" s="3634" t="s">
        <v>1374</v>
      </c>
      <c r="L61" s="3634"/>
      <c r="M61" s="2540"/>
      <c r="N61" s="2541">
        <f ca="1">ROUND(N59*10000/'数据-汇总表'!E3,0)</f>
        <v>2993</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f ca="1">ROUND((C64+C65)/(1+'数据-取费表'!C42),0)</f>
        <v>833</v>
      </c>
      <c r="D63" s="167"/>
      <c r="E63" s="168"/>
      <c r="F63" s="1808"/>
      <c r="G63" s="1808"/>
      <c r="H63" s="1810"/>
      <c r="I63" s="129"/>
      <c r="J63" s="3659" t="s">
        <v>1379</v>
      </c>
      <c r="K63" s="1332" t="s">
        <v>1380</v>
      </c>
      <c r="L63" s="1332">
        <f ca="1">IF(M49&gt;10000,M49*0.5%,IF(AND(M49&gt;1000,M49&lt;=10000),M49*1%,IF(AND(M49&gt;100,M49&lt;=1000),M49*3%,IF(AND(M49&gt;10,M49&lt;=100),M49*5%,M49*8%))))</f>
        <v>26.25</v>
      </c>
      <c r="M63" s="302">
        <f ca="1">ROUND(L63,1)</f>
        <v>26.3</v>
      </c>
      <c r="N63" s="2543"/>
      <c r="Z63" s="1752"/>
      <c r="AI63" s="1753"/>
    </row>
    <row r="64" spans="1:35" ht="14.25" customHeight="1">
      <c r="A64" s="169" t="s">
        <v>325</v>
      </c>
      <c r="B64" s="170" t="s">
        <v>1381</v>
      </c>
      <c r="C64" s="2565">
        <f ca="1">D45</f>
        <v>875</v>
      </c>
      <c r="D64" s="170" t="s">
        <v>26</v>
      </c>
      <c r="E64" s="172"/>
      <c r="F64" s="1808"/>
      <c r="G64" s="1808"/>
      <c r="H64" s="1810"/>
      <c r="I64" s="129"/>
      <c r="J64" s="3659"/>
      <c r="K64" s="1332" t="s">
        <v>1382</v>
      </c>
      <c r="L64" s="1332">
        <f ca="1">IF(M49&gt;2000,M49*0.5%,IF(AND(M49&gt;1000,M49&lt;=2000),M49*0.6%,IF(AND(M49&gt;500,M49&lt;=1000),M49*0.7%,IF(AND(M49&gt;200,M49&lt;=500),M49*0.8%,IF(AND(M49&gt;100,M49&lt;=200),M49*0.9%,IF(AND(M49&gt;50,M49&lt;=100),M49*1%,IF(AND(M49&gt;20,M49&lt;=50),M49*1.5%,IF(AND(M49&gt;10,M49&lt;=20),M49*2%,IF(AND(M49&gt;1,M49&lt;=10),M49*2.5%)))))))))</f>
        <v>6.1249999999999991</v>
      </c>
      <c r="M64" s="302">
        <f t="shared" ref="M64:M65" ca="1" si="1">ROUND(L64,1)</f>
        <v>6.1</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f ca="1">IF(M49&gt;1000,M49*0.1%,IF(AND(M49&gt;500,M49&lt;=1000),M49*0.5%,IF(AND(M49&gt;50,M49&lt;=500),M49*1%,IF(AND(M49&gt;1,M49&lt;=50),M49*1.5%))))</f>
        <v>4.375</v>
      </c>
      <c r="M65" s="302">
        <f t="shared" ca="1" si="1"/>
        <v>4.4000000000000004</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f ca="1">M49*0.5%</f>
        <v>4.375</v>
      </c>
      <c r="M66" s="302">
        <f ca="1">IF(L66&gt;0.5,0.5,ROUND(L66,0))</f>
        <v>0.5</v>
      </c>
      <c r="N66" s="2544" t="s">
        <v>1388</v>
      </c>
      <c r="Z66" s="1752"/>
      <c r="AI66" s="1753"/>
    </row>
    <row r="67" spans="1:35" ht="14.25" customHeight="1">
      <c r="A67" s="173" t="s">
        <v>328</v>
      </c>
      <c r="B67" s="174" t="s">
        <v>1389</v>
      </c>
      <c r="C67" s="2568">
        <f ca="1">C63-C66</f>
        <v>833</v>
      </c>
      <c r="D67" s="170" t="s">
        <v>26</v>
      </c>
      <c r="E67" s="172"/>
      <c r="F67" s="1808"/>
      <c r="G67" s="1808"/>
      <c r="H67" s="1810"/>
      <c r="I67" s="129"/>
      <c r="J67" s="3659"/>
      <c r="K67" s="1332" t="s">
        <v>1390</v>
      </c>
      <c r="L67" s="1332">
        <f ca="1">IF(M49&gt;=10000,(8.25+(M49-10000)*0.01%),IF(AND(M49&gt;=8000,M49&lt;10000),(7.85+(M49-8000)*0.02%),IF(AND(M49&gt;=5000,M49&lt;8000),(6.65+(M49-5000)*0.04%),IF(AND(M49&gt;=2000,M49&lt;5000),(4.25+(PM49-2000)*0.08%),IF(AND(M49&gt;=1000,M49&lt;2000),(2.75+(M49-1000)*0.15%),IF(AND(M49&gt;=100,M49&lt;1000),(0.5+(M49-100)*0.25%),IF(AND(M49&gt;0,M49&lt;100),M49*0.5%)))))))</f>
        <v>2.4375</v>
      </c>
      <c r="M67" s="302">
        <f ca="1">ROUND(L67*0.9,1)</f>
        <v>2.2000000000000002</v>
      </c>
      <c r="N67" s="2543"/>
      <c r="Z67" s="1752"/>
      <c r="AI67" s="1753"/>
    </row>
    <row r="68" spans="1:35" ht="14.25" customHeight="1" thickBot="1">
      <c r="A68" s="176" t="s">
        <v>329</v>
      </c>
      <c r="B68" s="177" t="s">
        <v>1391</v>
      </c>
      <c r="C68" s="2569">
        <f ca="1">IF(C67&lt;=0,0,ROUND(C67*D68,0))</f>
        <v>46</v>
      </c>
      <c r="D68" s="2570">
        <f>'数据-取费表'!B41</f>
        <v>5.5000000000000007E-2</v>
      </c>
      <c r="E68" s="178"/>
      <c r="F68" s="1808"/>
      <c r="G68" s="1808"/>
      <c r="H68" s="1810"/>
      <c r="I68" s="129"/>
      <c r="J68" s="3659"/>
      <c r="K68" s="1332" t="s">
        <v>1392</v>
      </c>
      <c r="L68" s="1332">
        <f ca="1">IF(M49&gt;10000,M49*0.5%,IF(AND(M49&gt;5000,M49&lt;=10000),M49*1%,IF(AND(M49&gt;1000,M49&lt;=5000),M49*2%,IF(AND(M49&gt;200,M49&lt;=1000),M49*3%,M49*5%))))</f>
        <v>26.25</v>
      </c>
      <c r="M68" s="302">
        <f ca="1">ROUND(L68,1)</f>
        <v>26.3</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f ca="1">ROUND(SUM(M63:M68),0)</f>
        <v>66</v>
      </c>
      <c r="N69" s="2545">
        <f ca="1">M69/M49</f>
        <v>7.5428571428571428E-2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207.25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496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207.25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496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t="str">
        <f>C4</f>
        <v>成本法 (元)</v>
      </c>
      <c r="D101" s="2586" t="str">
        <f>D4</f>
        <v>收益法 (元)</v>
      </c>
      <c r="E101" s="3656" t="s">
        <v>1431</v>
      </c>
      <c r="F101" s="3613"/>
      <c r="G101" s="1827" t="s">
        <v>1432</v>
      </c>
      <c r="H101" s="2595">
        <f ca="1">H118</f>
        <v>875</v>
      </c>
      <c r="I101" s="129"/>
    </row>
    <row r="102" spans="1:35" ht="18.75" customHeight="1">
      <c r="A102" s="3615" t="s">
        <v>1433</v>
      </c>
      <c r="B102" s="2584" t="s">
        <v>1432</v>
      </c>
      <c r="C102" s="2585">
        <f ca="1">IF(D32="楼面单价",ROUND(C19,0),C19)</f>
        <v>874</v>
      </c>
      <c r="D102" s="2586">
        <f ca="1">IF(D32="楼面单价",ROUND(D19,0),D19)</f>
        <v>875</v>
      </c>
      <c r="E102" s="3656"/>
      <c r="F102" s="3613"/>
      <c r="G102" s="1827" t="s">
        <v>1434</v>
      </c>
      <c r="H102" s="2555">
        <f ca="1">I118</f>
        <v>7057</v>
      </c>
      <c r="I102" s="129"/>
    </row>
    <row r="103" spans="1:35" ht="42.75" customHeight="1">
      <c r="A103" s="3615"/>
      <c r="B103" s="2584" t="s">
        <v>1434</v>
      </c>
      <c r="C103" s="2587">
        <f ca="1">C20</f>
        <v>7052</v>
      </c>
      <c r="D103" s="2588">
        <f ca="1">D20</f>
        <v>7062</v>
      </c>
      <c r="E103" s="3650" t="s">
        <v>1435</v>
      </c>
      <c r="F103" s="3651"/>
      <c r="G103" s="1828" t="s">
        <v>1436</v>
      </c>
      <c r="H103" s="2595">
        <f>IF(D36="正常操作",H104+H105+H106,H105+H106)</f>
        <v>0</v>
      </c>
      <c r="I103" s="129"/>
    </row>
    <row r="104" spans="1:35" ht="18.75" customHeight="1">
      <c r="A104" s="3615" t="s">
        <v>1437</v>
      </c>
      <c r="B104" s="2589" t="s">
        <v>1432</v>
      </c>
      <c r="C104" s="2590">
        <f ca="1">H118</f>
        <v>875</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f ca="1">I118</f>
        <v>7057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f ca="1">IF(E107="——","——",H101-H103)</f>
        <v>875</v>
      </c>
      <c r="I107" s="129"/>
    </row>
    <row r="108" spans="1:35" ht="18.75" customHeight="1">
      <c r="A108" s="129"/>
      <c r="B108" s="129"/>
      <c r="C108" s="129"/>
      <c r="D108" s="129"/>
      <c r="E108" s="3612"/>
      <c r="F108" s="3613"/>
      <c r="G108" s="1827" t="s">
        <v>1434</v>
      </c>
      <c r="H108" s="2555">
        <f ca="1">IF(H107=H101,H102,ROUND(H107*10000/'数据-汇总表'!E3,0))</f>
        <v>7057</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1239.47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875</v>
      </c>
      <c r="I118" s="2329">
        <f ca="1">ROUND(IF(D32="楼面单价",C32,H118*10000/B118),0)</f>
        <v>7057</v>
      </c>
    </row>
    <row r="119" spans="1:27" ht="18.75" customHeight="1">
      <c r="A119" s="3583" t="s">
        <v>1452</v>
      </c>
      <c r="B119" s="3583"/>
      <c r="C119" s="3583"/>
      <c r="D119" s="3623" t="e">
        <f ca="1">NUMBERSTRING(INT(D118*10000),2)&amp;"元整"</f>
        <v>#REF!</v>
      </c>
      <c r="E119" s="3625"/>
      <c r="F119" s="3623" t="e">
        <f ca="1">NUMBERSTRING(INT(F118*10000),2)&amp;"元整"</f>
        <v>#REF!</v>
      </c>
      <c r="G119" s="3625"/>
      <c r="H119" s="3623" t="str">
        <f ca="1">NUMBERSTRING(INT(H118*10000),2)&amp;"元整"</f>
        <v>捌佰柒拾伍万元整</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f ca="1">H107</f>
        <v>875</v>
      </c>
      <c r="E122" s="3648"/>
      <c r="F122" s="3648"/>
      <c r="G122" s="3648"/>
      <c r="H122" s="3648"/>
      <c r="I122" s="3649"/>
      <c r="AA122" s="725"/>
    </row>
    <row r="123" spans="1:27" ht="18.75" customHeight="1">
      <c r="A123" s="3583" t="s">
        <v>1452</v>
      </c>
      <c r="B123" s="3583"/>
      <c r="C123" s="3583"/>
      <c r="D123" s="3623" t="str">
        <f ca="1">NUMBERSTRING(INT(D122*10000),2)&amp;"元整"</f>
        <v>捌佰柒拾伍万元整</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626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25</v>
      </c>
      <c r="D10" s="845">
        <f ca="1">IF(B1="",'数据-汇总表'!E6,IF(INDIRECT("'数据-取费表'!c"&amp;$G$1)="住宅",INDIRECT("'数据-取费表'!s"&amp;$G$1),INDIRECT("'数据-取费表'!k"&amp;$G$1)+INDIRECT("'数据-取费表'!s"&amp;$G$1)))</f>
        <v>1239.47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25</v>
      </c>
      <c r="D19" s="849">
        <f ca="1">D9+D10</f>
        <v>1239.47</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496</v>
      </c>
      <c r="D34" s="217"/>
      <c r="E34" s="220"/>
      <c r="F34" s="257">
        <f ca="1">IF('数据-取费表'!B24=0,1,IF(B1="",'数据-取费表'!N16,INDIRECT("'数据-取费表'!n"&amp;$G$1)))</f>
        <v>1</v>
      </c>
      <c r="G34" s="219" t="s">
        <v>1526</v>
      </c>
    </row>
    <row r="35" spans="1:7" ht="13.5" customHeight="1">
      <c r="A35" s="780" t="s">
        <v>351</v>
      </c>
      <c r="B35" s="215" t="s">
        <v>1527</v>
      </c>
      <c r="C35" s="220">
        <f ca="1">ROUND(C34*F35,0)</f>
        <v>25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25</v>
      </c>
      <c r="D37" s="217">
        <f ca="1">D19</f>
        <v>1239.47</v>
      </c>
      <c r="E37" s="249">
        <f>'数据-取费表'!B35</f>
        <v>200</v>
      </c>
      <c r="F37" s="259"/>
      <c r="G37" s="261" t="s">
        <v>1532</v>
      </c>
    </row>
    <row r="38" spans="1:7" ht="13.5" customHeight="1">
      <c r="A38" s="780" t="s">
        <v>354</v>
      </c>
      <c r="B38" s="215" t="s">
        <v>1533</v>
      </c>
      <c r="C38" s="220">
        <f ca="1">ROUND(C34*F38,0)</f>
        <v>10</v>
      </c>
      <c r="D38" s="220"/>
      <c r="E38" s="220"/>
      <c r="F38" s="259">
        <f>'数据-取费表'!B36</f>
        <v>0.02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8</v>
      </c>
      <c r="D42" s="238"/>
      <c r="E42" s="238"/>
      <c r="F42" s="239"/>
      <c r="G42" s="3663" t="s">
        <v>1544</v>
      </c>
    </row>
    <row r="43" spans="1:7" ht="13.5" customHeight="1">
      <c r="A43" s="780" t="s">
        <v>347</v>
      </c>
      <c r="B43" s="215" t="s">
        <v>1545</v>
      </c>
      <c r="C43" s="238">
        <f ca="1">ROUND(IF('数据-取费表'!B22&lt;=1,C39*F22*'数据-取费表'!B21/2,C39*(POWER((1+F22),'数据-取费表'!B21/2)-1)),0)</f>
        <v>0</v>
      </c>
      <c r="D43" s="238"/>
      <c r="E43" s="238"/>
      <c r="F43" s="239"/>
      <c r="G43" s="3664"/>
    </row>
    <row r="44" spans="1:7" ht="13.5" customHeight="1">
      <c r="A44" s="780" t="s">
        <v>348</v>
      </c>
      <c r="B44" s="215" t="s">
        <v>1546</v>
      </c>
      <c r="C44" s="238">
        <f ca="1">ROUND(IF('数据-取费表'!B22&lt;=1,C40*F22*'数据-取费表'!B21/2,C40*(POWER((1+F22),'数据-取费表'!B21/2)-1)),4)</f>
        <v>2.9999999999999997E-4</v>
      </c>
      <c r="D44" s="238"/>
      <c r="E44" s="238"/>
      <c r="F44" s="239"/>
      <c r="G44" s="3665"/>
    </row>
    <row r="45" spans="1:7" s="214" customFormat="1" ht="13.5" customHeight="1">
      <c r="A45" s="255" t="s">
        <v>1547</v>
      </c>
      <c r="B45" s="244" t="s">
        <v>1513</v>
      </c>
      <c r="C45" s="245">
        <f ca="1">C46</f>
        <v>57</v>
      </c>
      <c r="D45" s="235">
        <f ca="1">C47</f>
        <v>2E-3</v>
      </c>
      <c r="E45" s="236" t="s">
        <v>1539</v>
      </c>
      <c r="F45" s="246">
        <f ca="1">F27</f>
        <v>0.1</v>
      </c>
      <c r="G45" s="247" t="s">
        <v>1548</v>
      </c>
    </row>
    <row r="46" spans="1:7" s="214" customFormat="1" ht="13.5" customHeight="1">
      <c r="A46" s="780" t="s">
        <v>346</v>
      </c>
      <c r="B46" s="248" t="s">
        <v>1549</v>
      </c>
      <c r="C46" s="249">
        <f ca="1">ROUND((C33+C39)*F27,0)</f>
        <v>57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683</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594</v>
      </c>
      <c r="D51" s="232"/>
      <c r="E51" s="232"/>
      <c r="F51" s="264"/>
      <c r="G51" s="234" t="s">
        <v>1560</v>
      </c>
    </row>
    <row r="52" spans="1:7" s="208" customFormat="1" ht="16.5" thickBot="1">
      <c r="A52" s="265" t="s">
        <v>1561</v>
      </c>
      <c r="B52" s="266"/>
      <c r="C52" s="267">
        <f ca="1">C31+C51</f>
        <v>626</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874.05889999999999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7052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2250645</v>
      </c>
      <c r="D5" s="211" t="s">
        <v>1469</v>
      </c>
      <c r="E5" s="212" t="s">
        <v>1470</v>
      </c>
      <c r="F5" s="212" t="s">
        <v>1471</v>
      </c>
      <c r="G5" s="213"/>
    </row>
    <row r="6" spans="1:8" s="214" customFormat="1" ht="13.5" customHeight="1">
      <c r="A6" s="778" t="s">
        <v>1472</v>
      </c>
      <c r="B6" s="215" t="s">
        <v>1473</v>
      </c>
      <c r="C6" s="216">
        <f>ROUND(基准地价修正!C33*基准地价修正!D33+基准地价修正!C41*基准地价修正!D41,0)</f>
        <v>1943475</v>
      </c>
      <c r="D6" s="217"/>
      <c r="E6" s="218"/>
      <c r="F6" s="218"/>
      <c r="G6" s="219"/>
    </row>
    <row r="7" spans="1:8" s="214" customFormat="1" ht="13.5" customHeight="1">
      <c r="A7" s="778" t="s">
        <v>1474</v>
      </c>
      <c r="B7" s="215" t="s">
        <v>1475</v>
      </c>
      <c r="C7" s="220">
        <f>ROUND(C6*F7,0)</f>
        <v>59276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247894</v>
      </c>
      <c r="D8" s="222"/>
      <c r="E8" s="220"/>
      <c r="F8" s="221"/>
      <c r="G8" s="1856" t="s">
        <v>3438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247894</v>
      </c>
      <c r="D10" s="845">
        <f ca="1">IF(B1="",'数据-汇总表'!E6,IF(INDIRECT("'数据-取费表'!c"&amp;$G$1)="住宅",INDIRECT("'数据-取费表'!s"&amp;$G$1),INDIRECT("'数据-取费表'!k"&amp;$G$1)+INDIRECT("'数据-取费表'!s"&amp;$G$1)))</f>
        <v>1239.47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1239.47</v>
      </c>
      <c r="E19" s="211">
        <f>'数据-取费表'!B31</f>
        <v>200</v>
      </c>
      <c r="F19" s="231"/>
      <c r="G19" s="1856" t="s">
        <v>3439</v>
      </c>
    </row>
    <row r="20" spans="1:7" s="214" customFormat="1" ht="13.5" customHeight="1">
      <c r="A20" s="255" t="s">
        <v>1574</v>
      </c>
      <c r="B20" s="210" t="s">
        <v>1575</v>
      </c>
      <c r="C20" s="232">
        <f ca="1">ROUND((C5+C19)*F20,0)</f>
        <v>45013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68194</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67519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675</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229566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229566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2802786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5552826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4957880</v>
      </c>
      <c r="D34" s="217"/>
      <c r="E34" s="220"/>
      <c r="F34" s="257"/>
      <c r="G34" s="219"/>
    </row>
    <row r="35" spans="1:7" ht="13.5" customHeight="1">
      <c r="A35" s="780" t="s">
        <v>351</v>
      </c>
      <c r="B35" s="215" t="s">
        <v>1527</v>
      </c>
      <c r="C35" s="220">
        <f ca="1">ROUND(C34*F35,0)</f>
        <v>247894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247894</v>
      </c>
      <c r="D37" s="217">
        <f ca="1">D19</f>
        <v>1239.47</v>
      </c>
      <c r="E37" s="249">
        <f>'数据-取费表'!B35</f>
        <v>200</v>
      </c>
      <c r="F37" s="259"/>
      <c r="G37" s="261"/>
    </row>
    <row r="38" spans="1:7" ht="13.5" customHeight="1">
      <c r="A38" s="780" t="s">
        <v>354</v>
      </c>
      <c r="B38" s="215" t="s">
        <v>1533</v>
      </c>
      <c r="C38" s="220">
        <f ca="1">ROUND(C34*F38,0)</f>
        <v>99158</v>
      </c>
      <c r="D38" s="220"/>
      <c r="E38" s="220"/>
      <c r="F38" s="259">
        <f>'数据-取费表'!B36</f>
        <v>0.02</v>
      </c>
      <c r="G38" s="219" t="s">
        <v>1528</v>
      </c>
    </row>
    <row r="39" spans="1:7" s="214" customFormat="1" ht="13.5" customHeight="1">
      <c r="A39" s="255" t="s">
        <v>1534</v>
      </c>
      <c r="B39" s="210" t="s">
        <v>1535</v>
      </c>
      <c r="C39" s="232">
        <f ca="1">ROUND(C33*F20,0)</f>
        <v>111057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84958</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83292</v>
      </c>
      <c r="D42" s="238"/>
      <c r="E42" s="238"/>
      <c r="F42" s="239"/>
      <c r="G42" s="3663" t="s">
        <v>1591</v>
      </c>
    </row>
    <row r="43" spans="1:7" ht="13.5" customHeight="1">
      <c r="A43" s="780" t="s">
        <v>347</v>
      </c>
      <c r="B43" s="215" t="s">
        <v>1545</v>
      </c>
      <c r="C43" s="238">
        <f ca="1">ROUND(IF('数据-取费表'!B22&lt;=1,C39*F22*'数据-取费表'!B20/2,C39*(POWER((1+F22),'数据-取费表'!B20/2)-1)),0)</f>
        <v>1666</v>
      </c>
      <c r="D43" s="238"/>
      <c r="E43" s="238"/>
      <c r="F43" s="239"/>
      <c r="G43" s="3664"/>
    </row>
    <row r="44" spans="1:7" ht="13.5" customHeight="1">
      <c r="A44" s="780" t="s">
        <v>348</v>
      </c>
      <c r="B44" s="215" t="s">
        <v>1546</v>
      </c>
      <c r="C44" s="238">
        <f ca="1">ROUND(IF('数据-取费表'!B22&lt;=1,C40*F22*'数据-取费表'!B20/2,C40*(POWER((1+F22),'数据-取费表'!B20/2)-1)),4)</f>
        <v>2.9999999999999997E-4</v>
      </c>
      <c r="D44" s="238"/>
      <c r="E44" s="238"/>
      <c r="F44" s="239"/>
      <c r="G44" s="3665"/>
    </row>
    <row r="45" spans="1:7" s="214" customFormat="1" ht="13.5" customHeight="1">
      <c r="A45" s="255" t="s">
        <v>1547</v>
      </c>
      <c r="B45" s="244" t="s">
        <v>1513</v>
      </c>
      <c r="C45" s="245">
        <f ca="1">C46</f>
        <v>566388</v>
      </c>
      <c r="D45" s="235">
        <f ca="1">C47</f>
        <v>2E-3</v>
      </c>
      <c r="E45" s="236" t="s">
        <v>1539</v>
      </c>
      <c r="F45" s="246">
        <f ca="1">F27</f>
        <v>0.1</v>
      </c>
      <c r="G45" s="247" t="s">
        <v>1548</v>
      </c>
    </row>
    <row r="46" spans="1:7" s="214" customFormat="1" ht="13.5" customHeight="1">
      <c r="A46" s="780" t="s">
        <v>346</v>
      </c>
      <c r="B46" s="248" t="s">
        <v>1549</v>
      </c>
      <c r="C46" s="249">
        <f ca="1">ROUND((C33+C39)*F27,0)</f>
        <v>566388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6825061</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5937803</v>
      </c>
      <c r="D51" s="232"/>
      <c r="E51" s="232"/>
      <c r="F51" s="264"/>
      <c r="G51" s="234" t="s">
        <v>1560</v>
      </c>
    </row>
    <row r="52" spans="1:7" s="208" customFormat="1" ht="16.5" thickBot="1">
      <c r="A52" s="265" t="s">
        <v>1561</v>
      </c>
      <c r="B52" s="266"/>
      <c r="C52" s="267">
        <f ca="1">C31+C51</f>
        <v>8740589</v>
      </c>
      <c r="D52" s="266"/>
      <c r="E52" s="266"/>
      <c r="F52" s="266"/>
      <c r="G52" s="268"/>
    </row>
    <row r="55" spans="1:7" ht="15">
      <c r="B55" s="270" t="s">
        <v>1562</v>
      </c>
      <c r="C55" s="271"/>
    </row>
    <row r="56" spans="1:7">
      <c r="B56" s="273" t="s">
        <v>802</v>
      </c>
      <c r="C56" s="275">
        <f ca="1">1-C57</f>
        <v>0.32099999999999995</v>
      </c>
    </row>
    <row r="57" spans="1:7">
      <c r="B57" s="273" t="s">
        <v>803</v>
      </c>
      <c r="C57" s="274">
        <f ca="1">ROUND(C51/C52,3)</f>
        <v>0.67900000000000005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-28</v>
      </c>
      <c r="C2" s="276" t="s">
        <v>1595</v>
      </c>
      <c r="D2" s="276"/>
      <c r="E2" s="2806"/>
      <c r="F2" s="2806"/>
      <c r="G2" s="2806"/>
      <c r="H2" s="2806"/>
      <c r="I2" s="2806"/>
      <c r="J2" s="2806"/>
      <c r="K2" s="2806"/>
    </row>
    <row r="3" spans="1:33" ht="18" customHeight="1" thickBot="1">
      <c r="A3" s="203" t="s">
        <v>1464</v>
      </c>
      <c r="B3" s="204">
        <f ca="1">ROUND(B2*10000/IF(C1="",'数据-汇总表'!E3,INDIRECT("'数据-取费表'!K"&amp;$K$1)),0)</f>
        <v>-226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1239.47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1239.47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25</v>
      </c>
      <c r="D20" s="846">
        <f ca="1">IF(C1="",'数据-汇总表'!E6,IF(INDIRECT("'数据-取费表'!c"&amp;$K$1)="住宅",INDIRECT("'数据-取费表'!s"&amp;$K$1),INDIRECT("'数据-取费表'!k"&amp;$K$1)+INDIRECT("'数据-取费表'!s"&amp;$K$1)))</f>
        <v>1239.47</v>
      </c>
      <c r="E20" s="21">
        <f>'数据-取费表'!B28</f>
        <v>200</v>
      </c>
      <c r="F20" s="804"/>
      <c r="G20" s="12"/>
      <c r="H20" s="809"/>
      <c r="I20" s="809"/>
      <c r="J20" s="809"/>
      <c r="K20" s="810"/>
    </row>
    <row r="21" spans="1:33" s="803" customFormat="1" ht="13.5" customHeight="1">
      <c r="A21" s="790" t="s">
        <v>357</v>
      </c>
      <c r="B21" s="813" t="s">
        <v>1628</v>
      </c>
      <c r="C21" s="814">
        <f ca="1">C16+C17+C18</f>
        <v>25</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5" zoomScaleNormal="70" zoomScaleSheetLayoutView="85"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3421</v>
      </c>
      <c r="D1" s="1362" t="s">
        <v>43</v>
      </c>
      <c r="E1" s="1363" t="s">
        <v>678</v>
      </c>
      <c r="F1" s="1062">
        <f ca="1">J53</f>
        <v>37.18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875.27239999999995</v>
      </c>
      <c r="C2" s="1387" t="s">
        <v>879</v>
      </c>
      <c r="D2" s="1471">
        <f ca="1">C40+J29+L46</f>
        <v>8752724</v>
      </c>
      <c r="E2" s="1388" t="s">
        <v>880</v>
      </c>
      <c r="F2" s="1389"/>
      <c r="G2" s="2706"/>
      <c r="H2" s="2695"/>
      <c r="I2" s="2695"/>
      <c r="J2" s="2695"/>
      <c r="K2" s="2696"/>
      <c r="L2" s="2695"/>
      <c r="M2" s="2695"/>
    </row>
    <row r="3" spans="1:37" ht="18" customHeight="1" thickBot="1">
      <c r="A3" s="1390" t="s">
        <v>881</v>
      </c>
      <c r="B3" s="1391">
        <f ca="1">IF(ISERROR(D2/F43),0,ROUND(D2/F43,0))</f>
        <v>7062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529978</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529316</v>
      </c>
      <c r="D6" s="155" t="s">
        <v>2106</v>
      </c>
      <c r="E6" s="302" t="s">
        <v>696</v>
      </c>
      <c r="F6" s="303">
        <f ca="1">INDIRECT("'数据-取费表'!u"&amp;$G$1)</f>
        <v>1.3</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1239.47</v>
      </c>
      <c r="G7" s="1384"/>
      <c r="H7" s="304"/>
      <c r="I7" s="3669"/>
      <c r="J7" s="306"/>
      <c r="K7" s="307"/>
      <c r="L7" s="302" t="s">
        <v>697</v>
      </c>
      <c r="M7" s="303">
        <f ca="1">F7</f>
        <v>1239.47</v>
      </c>
    </row>
    <row r="8" spans="1:37" ht="18" customHeight="1">
      <c r="A8" s="304"/>
      <c r="B8" s="3669"/>
      <c r="C8" s="306"/>
      <c r="D8" s="307"/>
      <c r="E8" s="302" t="s">
        <v>698</v>
      </c>
      <c r="F8" s="303">
        <f ca="1">INDIRECT("'数据-取费表'!ai"&amp;$G$1)</f>
        <v>365</v>
      </c>
      <c r="G8" s="1384"/>
      <c r="H8" s="304"/>
      <c r="I8" s="3669"/>
      <c r="J8" s="306"/>
      <c r="K8" s="307"/>
      <c r="L8" s="302" t="s">
        <v>698</v>
      </c>
      <c r="M8" s="303">
        <f ca="1">INDIRECT("'数据-取费表'!ai"&amp;$G$1)</f>
        <v>365</v>
      </c>
    </row>
    <row r="9" spans="1:37" ht="18" customHeight="1">
      <c r="A9" s="304"/>
      <c r="B9" s="3670"/>
      <c r="C9" s="306"/>
      <c r="D9" s="307"/>
      <c r="E9" s="302" t="s">
        <v>699</v>
      </c>
      <c r="F9" s="312">
        <f ca="1">INDIRECT("'数据-取费表'!w"&amp;$G$1)</f>
        <v>0.1</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662</v>
      </c>
      <c r="D10" s="1366" t="s">
        <v>2116</v>
      </c>
      <c r="E10" s="313" t="s">
        <v>701</v>
      </c>
      <c r="F10" s="1116" t="s">
        <v>3427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5937803</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4957880</v>
      </c>
      <c r="D14" s="1345" t="s">
        <v>708</v>
      </c>
      <c r="E14" s="1342"/>
      <c r="F14" s="319"/>
      <c r="G14" s="1384"/>
      <c r="H14" s="982" t="s">
        <v>398</v>
      </c>
      <c r="I14" s="302" t="s">
        <v>709</v>
      </c>
      <c r="J14" s="21">
        <f ca="1">C29</f>
        <v>6825061</v>
      </c>
      <c r="K14" s="12"/>
      <c r="L14" s="807"/>
      <c r="M14" s="808"/>
    </row>
    <row r="15" spans="1:37" s="1397" customFormat="1" ht="18" customHeight="1" thickBot="1">
      <c r="A15" s="982" t="s">
        <v>399</v>
      </c>
      <c r="B15" s="302" t="s">
        <v>710</v>
      </c>
      <c r="C15" s="21">
        <f ca="1">ROUND(C14*F15,0)</f>
        <v>247894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13650</v>
      </c>
      <c r="K16" s="1087" t="s">
        <v>715</v>
      </c>
      <c r="L16" s="1088"/>
      <c r="M16" s="1072"/>
    </row>
    <row r="17" spans="1:37" s="1397" customFormat="1" ht="18" customHeight="1">
      <c r="A17" s="982" t="s">
        <v>681</v>
      </c>
      <c r="B17" s="302" t="s">
        <v>716</v>
      </c>
      <c r="C17" s="21">
        <f ca="1">ROUND(F17*(F43+INDIRECT("'数据-取费表'!S"&amp;$G$1)),0)</f>
        <v>247894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99158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5552826</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111057</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13650</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84958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-13650</v>
      </c>
      <c r="K25" s="1095" t="s">
        <v>753</v>
      </c>
      <c r="L25" s="1096"/>
      <c r="M25" s="1097"/>
    </row>
    <row r="26" spans="1:37" ht="18" customHeight="1">
      <c r="A26" s="982" t="s">
        <v>397</v>
      </c>
      <c r="B26" s="302" t="s">
        <v>754</v>
      </c>
      <c r="C26" s="21">
        <f ca="1">ROUND((C19+C20)*F26,0)</f>
        <v>566388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6825061</v>
      </c>
      <c r="D29" s="1092"/>
      <c r="E29" s="1090"/>
      <c r="F29" s="1093"/>
      <c r="G29" s="1396"/>
      <c r="H29" s="334" t="s">
        <v>396</v>
      </c>
      <c r="I29" s="335" t="s">
        <v>768</v>
      </c>
      <c r="J29" s="336">
        <f ca="1">ROUND(J26/(1+F40)^F41,0)</f>
        <v>0</v>
      </c>
      <c r="K29" s="337" t="s">
        <v>769</v>
      </c>
      <c r="L29" s="338"/>
      <c r="M29" s="339">
        <f ca="1">INDIRECT("'数据-取费表'!k"&amp;$G$1)</f>
        <v>1239.47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110457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88219</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27726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60493</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13650</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5938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2650</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419521</v>
      </c>
      <c r="D39" s="1095" t="s">
        <v>773</v>
      </c>
      <c r="E39" s="1096"/>
      <c r="F39" s="1097"/>
      <c r="G39" s="1384"/>
      <c r="H39" s="2700"/>
      <c r="I39" s="1398"/>
      <c r="J39" s="1399"/>
      <c r="K39" s="2704"/>
      <c r="L39" s="2700"/>
      <c r="M39" s="2700"/>
    </row>
    <row r="40" spans="1:18" ht="18" customHeight="1">
      <c r="A40" s="299" t="s">
        <v>395</v>
      </c>
      <c r="B40" s="300" t="s">
        <v>774</v>
      </c>
      <c r="C40" s="301">
        <f ca="1">ROUND(C39*(1-((1+F42)/(1+F40))^F41)/(F40-F42),0)</f>
        <v>8567200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37.18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6912</v>
      </c>
      <c r="D43" s="337" t="s">
        <v>777</v>
      </c>
      <c r="E43" s="338" t="s">
        <v>778</v>
      </c>
      <c r="F43" s="339">
        <f ca="1">INDIRECT("'数据-取费表'!k"&amp;$G$1)</f>
        <v>1239.47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3349</v>
      </c>
      <c r="B45" s="1400"/>
      <c r="C45" s="1472">
        <f ca="1">ROUND((C68-C40)/10000,4)</f>
        <v>-887.46929999999998</v>
      </c>
      <c r="D45" s="3431" t="s">
        <v>3350</v>
      </c>
      <c r="E45" s="1400"/>
      <c r="F45" s="1400"/>
      <c r="O45" s="1403" t="s">
        <v>808</v>
      </c>
      <c r="P45" s="1461"/>
      <c r="Q45" s="1461"/>
      <c r="R45" s="1461"/>
    </row>
    <row r="46" spans="1:18" s="1384" customFormat="1" ht="13.5" thickBot="1">
      <c r="A46" s="1404" t="s">
        <v>809</v>
      </c>
      <c r="C46" s="1405">
        <f ca="1">ROUND(C45,0)</f>
        <v>-887</v>
      </c>
      <c r="D46" s="1406" t="str">
        <f>C2</f>
        <v>万元</v>
      </c>
      <c r="I46" s="1407" t="s">
        <v>810</v>
      </c>
      <c r="J46" s="1408"/>
      <c r="K46" s="1409"/>
      <c r="L46" s="1410">
        <f ca="1">IF(M47="住宅",0,IF(L48&gt;J51,L60,J60))</f>
        <v>185524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3428</v>
      </c>
      <c r="K47" s="1416" t="s">
        <v>816</v>
      </c>
      <c r="L47" s="1417">
        <f ca="1">INDIRECT("'数据-取费表'!d"&amp;$G$1)</f>
        <v>50</v>
      </c>
      <c r="M47" s="1380" t="str">
        <f>IF(ISNUMBER(FIND("住宅",C1)),"住宅","非住宅")</f>
        <v>非住宅</v>
      </c>
      <c r="O47" s="1418" t="s">
        <v>403</v>
      </c>
      <c r="P47" s="1419" t="s">
        <v>817</v>
      </c>
      <c r="Q47" s="1420">
        <f ca="1">C40+J29</f>
        <v>8567200</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37.18</v>
      </c>
      <c r="O48" s="1418" t="s">
        <v>404</v>
      </c>
      <c r="P48" s="1419" t="s">
        <v>821</v>
      </c>
      <c r="Q48" s="1420">
        <f ca="1">J60</f>
        <v>185524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2017</v>
      </c>
      <c r="K49" s="1423" t="s">
        <v>824</v>
      </c>
      <c r="L49" s="1427"/>
      <c r="O49" s="1428" t="s">
        <v>405</v>
      </c>
      <c r="P49" s="1419" t="s">
        <v>825</v>
      </c>
      <c r="Q49" s="1420">
        <f ca="1">C29</f>
        <v>6825061</v>
      </c>
      <c r="R49" s="1420" t="s">
        <v>818</v>
      </c>
    </row>
    <row r="50" spans="1:18" s="1384" customFormat="1" ht="13.5" thickBot="1">
      <c r="A50" s="976"/>
      <c r="B50" s="979"/>
      <c r="C50" s="980"/>
      <c r="D50" s="953"/>
      <c r="E50" s="1056" t="s">
        <v>697</v>
      </c>
      <c r="F50" s="1057">
        <f ca="1">F7</f>
        <v>1239.47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71366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37.18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37.18</v>
      </c>
      <c r="K53" s="3666" t="s">
        <v>837</v>
      </c>
      <c r="L53" s="3667"/>
      <c r="O53" s="1418" t="s">
        <v>409</v>
      </c>
      <c r="P53" s="1419" t="s">
        <v>838</v>
      </c>
      <c r="Q53" s="1420">
        <f ca="1">Q47+Q48</f>
        <v>8752724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5937803</v>
      </c>
      <c r="D56" s="1447"/>
      <c r="E56" s="1448"/>
      <c r="F56" s="1440"/>
      <c r="I56" s="1449" t="s">
        <v>842</v>
      </c>
      <c r="J56" s="1450" t="s">
        <v>3430</v>
      </c>
      <c r="K56" s="1421" t="s">
        <v>843</v>
      </c>
      <c r="L56" s="1424" t="str">
        <f ca="1">IF(L48&lt;J51,"——",L48-J51)</f>
        <v>——</v>
      </c>
      <c r="O56" s="1418" t="s">
        <v>403</v>
      </c>
      <c r="P56" s="1419" t="s">
        <v>817</v>
      </c>
      <c r="Q56" s="1420">
        <f ca="1">C40+J29</f>
        <v>8567200</v>
      </c>
      <c r="R56" s="1420" t="s">
        <v>818</v>
      </c>
    </row>
    <row r="57" spans="1:18" s="1384" customFormat="1" ht="24.75" thickBot="1">
      <c r="A57" s="1451"/>
      <c r="B57" s="950" t="s">
        <v>767</v>
      </c>
      <c r="C57" s="238">
        <f ca="1">C29</f>
        <v>6825061</v>
      </c>
      <c r="D57" s="1452"/>
      <c r="E57" s="1453"/>
      <c r="F57" s="1454"/>
      <c r="I57" s="1455" t="s">
        <v>844</v>
      </c>
      <c r="J57" s="1456">
        <f ca="1">IF(OR(M47="住宅",J51&lt;L48,J56="是"),"——",J51-L48)</f>
        <v>14.82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19588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2730024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185524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8567200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13650</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5938</v>
      </c>
      <c r="D65" s="964" t="s">
        <v>743</v>
      </c>
      <c r="E65" s="950" t="s">
        <v>744</v>
      </c>
      <c r="F65" s="330">
        <f t="shared" ca="1" si="0"/>
        <v>1E-3</v>
      </c>
      <c r="I65" s="1462" t="s">
        <v>867</v>
      </c>
      <c r="J65" s="1463">
        <v>40</v>
      </c>
      <c r="K65" s="1463">
        <v>30</v>
      </c>
      <c r="L65" s="1463">
        <v>50</v>
      </c>
      <c r="M65" s="1465">
        <v>0.02</v>
      </c>
      <c r="O65" s="1418" t="s">
        <v>403</v>
      </c>
      <c r="P65" s="1419" t="s">
        <v>868</v>
      </c>
      <c r="Q65" s="1420">
        <f ca="1">C40+J29</f>
        <v>8567200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-19588</v>
      </c>
      <c r="D67" s="963" t="s">
        <v>753</v>
      </c>
      <c r="E67" s="968"/>
      <c r="F67" s="969"/>
      <c r="O67" s="1428" t="s">
        <v>405</v>
      </c>
      <c r="P67" s="1419" t="s">
        <v>850</v>
      </c>
      <c r="Q67" s="1466">
        <f ca="1">L51</f>
        <v>71366</v>
      </c>
      <c r="R67" s="1420" t="s">
        <v>870</v>
      </c>
    </row>
    <row r="68" spans="1:18" s="1384" customFormat="1" ht="16.5" thickBot="1">
      <c r="A68" s="947" t="s">
        <v>395</v>
      </c>
      <c r="B68" s="948" t="s">
        <v>774</v>
      </c>
      <c r="C68" s="301">
        <f ca="1">ROUND(C67*(1-((1+F70)/(1+F68))^F69)/(F68-F70),0)</f>
        <v>-307493</v>
      </c>
      <c r="D68" s="965" t="s">
        <v>758</v>
      </c>
      <c r="E68" s="950" t="s">
        <v>759</v>
      </c>
      <c r="F68" s="312">
        <f ca="1">F40</f>
        <v>5.5E-2</v>
      </c>
      <c r="O68" s="1428" t="s">
        <v>406</v>
      </c>
      <c r="P68" s="1467" t="s">
        <v>871</v>
      </c>
      <c r="Q68" s="1420">
        <f ca="1">ROUND(Q69-Q70*Q71,0)</f>
        <v>3875</v>
      </c>
      <c r="R68" s="1420" t="s">
        <v>414</v>
      </c>
    </row>
    <row r="69" spans="1:18" s="1384" customFormat="1" ht="13.5" thickBot="1">
      <c r="A69" s="951"/>
      <c r="B69" s="952"/>
      <c r="C69" s="306"/>
      <c r="D69" s="970" t="s">
        <v>762</v>
      </c>
      <c r="E69" s="950" t="s">
        <v>763</v>
      </c>
      <c r="F69" s="333">
        <f ca="1">F41</f>
        <v>37.18</v>
      </c>
      <c r="O69" s="1428" t="s">
        <v>411</v>
      </c>
      <c r="P69" s="1467" t="s">
        <v>872</v>
      </c>
      <c r="Q69" s="1420">
        <f ca="1">C39</f>
        <v>419521</v>
      </c>
      <c r="R69" s="1420" t="s">
        <v>818</v>
      </c>
    </row>
    <row r="70" spans="1:18" s="1384" customFormat="1" ht="13.5" thickBot="1">
      <c r="A70" s="954"/>
      <c r="B70" s="955"/>
      <c r="C70" s="310"/>
      <c r="D70" s="966"/>
      <c r="E70" s="950" t="s">
        <v>766</v>
      </c>
      <c r="F70" s="1054"/>
      <c r="O70" s="1428" t="s">
        <v>412</v>
      </c>
      <c r="P70" s="1467" t="s">
        <v>873</v>
      </c>
      <c r="Q70" s="1420">
        <f ca="1">C13</f>
        <v>5937803</v>
      </c>
      <c r="R70" s="1420" t="s">
        <v>818</v>
      </c>
    </row>
    <row r="71" spans="1:18" s="1384" customFormat="1" ht="13.5" thickBot="1">
      <c r="A71" s="971" t="s">
        <v>396</v>
      </c>
      <c r="B71" s="972" t="s">
        <v>776</v>
      </c>
      <c r="C71" s="336">
        <f ca="1">ROUND(C68/F71,0)</f>
        <v>-248</v>
      </c>
      <c r="D71" s="973" t="s">
        <v>777</v>
      </c>
      <c r="E71" s="974" t="s">
        <v>778</v>
      </c>
      <c r="F71" s="339">
        <f ca="1">F43</f>
        <v>1239.47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415646</v>
      </c>
      <c r="D75" s="1384"/>
      <c r="E75" s="1384"/>
      <c r="F75" s="1384"/>
      <c r="K75" s="1402"/>
      <c r="L75" s="1384"/>
      <c r="O75" s="1418" t="s">
        <v>409</v>
      </c>
      <c r="P75" s="1419" t="s">
        <v>838</v>
      </c>
      <c r="Q75" s="1420">
        <f ca="1">Q65+Q66</f>
        <v>8567200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9.000000000000008E-3</v>
      </c>
    </row>
    <row r="80" spans="1:18">
      <c r="B80" s="340" t="s">
        <v>800</v>
      </c>
      <c r="C80" s="274">
        <f ca="1">ROUND(C75/C39,3)</f>
        <v>0.99099999999999999</v>
      </c>
    </row>
    <row r="81" spans="2:3">
      <c r="B81" s="270" t="s">
        <v>801</v>
      </c>
      <c r="C81" s="238"/>
    </row>
    <row r="82" spans="2:3">
      <c r="B82" s="273" t="s">
        <v>802</v>
      </c>
      <c r="C82" s="275">
        <f ca="1">1-C83</f>
        <v>0.30700000000000005</v>
      </c>
    </row>
    <row r="83" spans="2:3">
      <c r="B83" s="273" t="s">
        <v>803</v>
      </c>
      <c r="C83" s="274">
        <f ca="1">ROUND(C13/C40,3)</f>
        <v>0.69299999999999995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2" t="s">
        <v>3356</v>
      </c>
      <c r="E2" s="3443"/>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875.27239999999995</v>
      </c>
      <c r="C2" s="1872" t="s">
        <v>1651</v>
      </c>
      <c r="D2" s="1873" t="s">
        <v>1652</v>
      </c>
      <c r="E2" s="2607">
        <f>SUM(E6:E13)</f>
        <v>1239.47</v>
      </c>
      <c r="F2" s="2707"/>
      <c r="G2" s="1489"/>
      <c r="H2" s="1489"/>
      <c r="I2" s="1489"/>
      <c r="J2" s="1489"/>
      <c r="K2" s="1489"/>
      <c r="L2" s="1489"/>
      <c r="M2" s="1489"/>
      <c r="N2" s="1489"/>
      <c r="O2" s="1489"/>
      <c r="P2" s="1489"/>
      <c r="Q2" s="1489"/>
      <c r="R2" s="1489"/>
      <c r="S2" s="1489"/>
    </row>
    <row r="3" spans="1:22" ht="15.75">
      <c r="A3" s="1870" t="s">
        <v>686</v>
      </c>
      <c r="B3" s="2601">
        <f ca="1">ROUND(B2*10000/E2,0)</f>
        <v>7062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875.27239999999995</v>
      </c>
      <c r="C6" s="1872" t="s">
        <v>1651</v>
      </c>
      <c r="D6" s="2709"/>
      <c r="E6" s="2606">
        <f>IF(OR(A6=0,F6="否"),0,'数据-取费表'!K6+'数据-取费表'!S6)</f>
        <v>1239.47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1239.47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45999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1239.47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45999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1239.47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45999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1239.47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45999</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估价对象为房地产，为所有。根据《国有土地使用证》[]，估价对象（分摊）出让国有建设用地使用权面积为0平方米，建筑面积为1239.47平方米。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估价对象为房地产,属开发建设的，该项目尚在开发建设中。根据《国有土地使用证》[]，估价对象（分摊）出让国有建设用地使用权面积为0平方米，规划建筑面积为1239.47平方米。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2025年12月8日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45999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45999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45999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95"/>
      <c r="Q10" s="1343" t="str">
        <f t="shared" si="6"/>
        <v>土地使用年限（年）</v>
      </c>
      <c r="R10" s="701" t="s">
        <v>14</v>
      </c>
      <c r="S10" s="702">
        <f t="shared" si="0"/>
        <v>109</v>
      </c>
      <c r="T10" s="701" t="s">
        <v>14</v>
      </c>
      <c r="U10" s="702">
        <f t="shared" si="1"/>
        <v>109</v>
      </c>
      <c r="V10" s="701" t="s">
        <v>14</v>
      </c>
      <c r="W10" s="702">
        <f t="shared" si="2"/>
        <v>109</v>
      </c>
      <c r="X10" s="703"/>
      <c r="Y10" s="3570"/>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755.22</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十级</v>
      </c>
      <c r="I57" s="891">
        <f>SUMIF(修正!A59:A70,H57,修正!B59:B70)</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十级</v>
      </c>
      <c r="I58" s="891">
        <f>SUMIF(修正!A59:A70,H58,修正!C59:C70)</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十级</v>
      </c>
      <c r="I59" s="891">
        <f>SUMIF(修正!A59:A70,H59,修正!D59:D70)</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十级</v>
      </c>
      <c r="I63" s="891">
        <f>SUMIF(修正!A59:A70,H63,修正!G59:G70)</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755.22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45999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95"/>
      <c r="Q10" s="1343" t="str">
        <f t="shared" si="6"/>
        <v>土地使用年限（年）</v>
      </c>
      <c r="R10" s="701" t="s">
        <v>14</v>
      </c>
      <c r="S10" s="702">
        <f t="shared" si="0"/>
        <v>109</v>
      </c>
      <c r="T10" s="701" t="s">
        <v>14</v>
      </c>
      <c r="U10" s="702">
        <f t="shared" si="1"/>
        <v>109</v>
      </c>
      <c r="V10" s="701" t="s">
        <v>14</v>
      </c>
      <c r="W10" s="702">
        <f t="shared" si="2"/>
        <v>109</v>
      </c>
      <c r="X10" s="703"/>
      <c r="Y10" s="3570"/>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755.22</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十级</v>
      </c>
      <c r="I52" s="773">
        <f>SUMIF(修正!A59:A70,H52,修正!B59:B70)</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十级</v>
      </c>
      <c r="I53" s="773">
        <f>SUMIF(修正!A59:A70,H53,修正!C59:C70)</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十级</v>
      </c>
      <c r="I54" s="773">
        <f>SUMIF(修正!A59:A70,H54,修正!D59:D70)</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十级</v>
      </c>
      <c r="I59" s="773">
        <f>SUMIF(修正!A59:A70,H59,修正!G59:G70)</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14" sqref="L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194</v>
      </c>
      <c r="C2" s="2145" t="s">
        <v>2074</v>
      </c>
      <c r="D2" s="2145" t="s">
        <v>2075</v>
      </c>
      <c r="E2" s="2612">
        <f ca="1">SUMIF(E6:E13,"&lt;&gt;#ref!",E6:E13)</f>
        <v>1239.47</v>
      </c>
      <c r="F2" s="2793"/>
      <c r="G2" s="2793"/>
      <c r="H2" s="2793"/>
      <c r="I2" s="2793"/>
      <c r="J2" s="2793"/>
      <c r="K2" s="2793"/>
      <c r="L2" s="2793"/>
      <c r="M2" s="2793"/>
      <c r="N2" s="2793"/>
      <c r="O2" s="2793"/>
      <c r="P2" s="2793"/>
    </row>
    <row r="3" spans="1:16" ht="15.75">
      <c r="A3" s="2145" t="s">
        <v>2076</v>
      </c>
      <c r="B3" s="2602">
        <f ca="1">ROUND(B2*10000/E2,0)</f>
        <v>1565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194</v>
      </c>
      <c r="C6" s="2145" t="s">
        <v>2074</v>
      </c>
      <c r="D6" s="2793"/>
      <c r="E6" s="2612">
        <f ca="1">SUMIF(INDIRECT("'"&amp;A6&amp;"'"&amp;"!C:C"),"建筑面积",INDIRECT("'"&amp;A6&amp;"'"&amp;"!D:D"))</f>
        <v>1239.47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E33" activeCellId="1" sqref="E41 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1239.47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194</v>
      </c>
      <c r="C2" s="1999" t="s">
        <v>1935</v>
      </c>
      <c r="D2" s="2000" t="s">
        <v>1936</v>
      </c>
      <c r="E2" s="3421" t="s">
        <v>3402</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3518</v>
      </c>
      <c r="U2" s="1213">
        <v>377.61</v>
      </c>
      <c r="V2" s="3361">
        <f>ROUND(T2*U2/10000,0)</f>
        <v>133</v>
      </c>
      <c r="W2" s="1216"/>
      <c r="X2" s="1216"/>
      <c r="Y2" s="1216"/>
      <c r="Z2" s="1216"/>
      <c r="AA2" s="1216"/>
      <c r="AB2" s="1216"/>
      <c r="AC2" s="1217"/>
      <c r="AD2" s="1218"/>
      <c r="AE2" s="1218"/>
      <c r="AF2" s="1218"/>
      <c r="AG2" s="1218"/>
      <c r="AH2" s="1218"/>
      <c r="AI2" s="1218"/>
      <c r="AJ2" s="1219"/>
    </row>
    <row r="3" spans="1:36" ht="15.75">
      <c r="A3" s="203" t="s">
        <v>1940</v>
      </c>
      <c r="B3" s="204">
        <f>ROUND(B2*10000/D1,0)</f>
        <v>1565</v>
      </c>
      <c r="C3" s="1999" t="s">
        <v>1941</v>
      </c>
      <c r="D3" s="2000" t="s">
        <v>1942</v>
      </c>
      <c r="E3" s="3478" t="s">
        <v>2498</v>
      </c>
      <c r="F3" s="2004" t="s">
        <v>3431</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2711</v>
      </c>
      <c r="U3" s="1213">
        <v>377.61</v>
      </c>
      <c r="V3" s="3361">
        <f t="shared" ref="V3:V16" si="1">ROUND(T3*U3/10000,0)</f>
        <v>102</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2212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2360</v>
      </c>
      <c r="D5" s="1339">
        <f>ROUND(C6*C17+C20,0)</f>
        <v>2360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1878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1711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1.5</v>
      </c>
      <c r="AA7" s="1216"/>
      <c r="AB7" s="1216"/>
      <c r="AC7" s="1217"/>
      <c r="AD7" s="1218"/>
      <c r="AE7" s="1218"/>
      <c r="AF7" s="1218"/>
      <c r="AG7" s="1218"/>
      <c r="AH7" s="1218"/>
      <c r="AI7" s="1218"/>
      <c r="AJ7" s="1219"/>
    </row>
    <row r="8" spans="1:36" ht="25.5">
      <c r="A8" s="3299"/>
      <c r="B8" s="170" t="s">
        <v>1957</v>
      </c>
      <c r="C8" s="2026" t="s">
        <v>3441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2360</v>
      </c>
      <c r="N10" s="866">
        <f>SUMPRODUCT((因素修正幅度!B327:B357=I2)*(因素修正幅度!C3:G3=E2)*(因素修正幅度!C327:G357))</f>
        <v>0.15</v>
      </c>
      <c r="O10" s="1119"/>
      <c r="P10" s="1119"/>
      <c r="Q10" s="1119"/>
      <c r="R10" s="1212">
        <v>9</v>
      </c>
      <c r="S10" s="1213"/>
      <c r="T10" s="3361">
        <f t="shared" si="0"/>
        <v>0</v>
      </c>
      <c r="U10" s="1213"/>
      <c r="V10" s="3361">
        <f t="shared" si="1"/>
        <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f>ROUND(IF(F21="与级别开发程度一致",0,(G21-E21)/C21),0)</f>
        <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0"/>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3432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54" t="s">
        <v>2002</v>
      </c>
      <c r="E23" s="761">
        <v>44197</v>
      </c>
      <c r="F23" s="2054" t="s">
        <v>2003</v>
      </c>
      <c r="G23" s="762">
        <f>'数据-取费表'!B2</f>
        <v>45999</v>
      </c>
      <c r="H23" s="3343" t="s">
        <v>3433</v>
      </c>
      <c r="I23" s="3344" t="str">
        <f>IF(H23="季度增幅（自定义）",SUMIF(N25:N28,E2,O25:O28),"")</f>
        <v/>
      </c>
      <c r="J23" s="3445" t="s">
        <v>3434</v>
      </c>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0.91700000000000004</v>
      </c>
      <c r="D24" s="2060" t="s">
        <v>2007</v>
      </c>
      <c r="E24" s="1335">
        <f>存贷款利率!E28/100</f>
        <v>4.3499999999999997E-2</v>
      </c>
      <c r="F24" s="2060" t="s">
        <v>1999</v>
      </c>
      <c r="G24" s="768">
        <f>SUMIF(M30:Q30,E2,M33:Q33)</f>
        <v>0.05</v>
      </c>
      <c r="H24" s="2060" t="s">
        <v>2008</v>
      </c>
      <c r="I24" s="769">
        <f>SUMIF('数据-取费表'!C6:C15,E2,'数据-取费表'!F6:F15)/COUNTIF('数据-取费表'!C6:C15,E2)</f>
        <v>37.18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1.0731999999999999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194</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2281</v>
      </c>
      <c r="D33" s="2098">
        <f>'数据-汇总表'!F19</f>
        <v>755.22</v>
      </c>
      <c r="E33" s="773">
        <f>ROUND(C33*D33/10000,0)</f>
        <v>172</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570</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6">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f>ROUND(D5*C22*C23*C24*C28*F37,0)</f>
        <v>1141</v>
      </c>
      <c r="D37" s="2098"/>
      <c r="E37" s="171">
        <f>ROUND(C37*D37/10000,0)</f>
        <v>0</v>
      </c>
      <c r="F37" s="171">
        <f>SUMIF(修正!A59:A70,G2,修正!B59:B70)</f>
        <v>0.5</v>
      </c>
      <c r="G37" s="171">
        <f>ROUND(IF(E2="工业",C37*$M$42,C37*$M$41),0)</f>
        <v>285</v>
      </c>
      <c r="H37" s="171">
        <f>D37</f>
        <v>0</v>
      </c>
      <c r="I37" s="171">
        <f>ROUND(G37*H37/10000,0)</f>
        <v>0</v>
      </c>
      <c r="J37" s="3012"/>
      <c r="K37" s="3359" t="s">
        <v>3264</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f>ROUND(D5*C22*C23*C24*C28*F38,0)</f>
        <v>456</v>
      </c>
      <c r="D38" s="2098"/>
      <c r="E38" s="171">
        <f t="shared" ref="E38:E42" si="4">ROUND(C38*D38/10000,0)</f>
        <v>0</v>
      </c>
      <c r="F38" s="171">
        <f>SUMIF(修正!A59:A70,G2,修正!C59:C70)</f>
        <v>0.2</v>
      </c>
      <c r="G38" s="171">
        <f>ROUND(IF(E2="工业",C38*$M$42,C38*$M$41),0)</f>
        <v>114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f>ROUND(D5*C22*C23*C24*C28*F39,0)</f>
        <v>456</v>
      </c>
      <c r="D39" s="2098"/>
      <c r="E39" s="171">
        <f t="shared" si="4"/>
        <v>0</v>
      </c>
      <c r="F39" s="171">
        <f>SUMIF(修正!A59:A70,G2,修正!D59:D70)</f>
        <v>0.2</v>
      </c>
      <c r="G39" s="171">
        <f>ROUND(IF(E2="工业",C39*$M$42,C39*$M$41),0)</f>
        <v>114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456</v>
      </c>
      <c r="D40" s="2098"/>
      <c r="E40" s="171">
        <f t="shared" si="4"/>
        <v>0</v>
      </c>
      <c r="F40" s="175">
        <f>SUMIF(修正!A59:A70,G2,修正!E59:E70)</f>
        <v>0.2</v>
      </c>
      <c r="G40" s="171">
        <f>ROUND(IF(E2="工业",C40*$M$42,C40*$M$41),0)</f>
        <v>114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456</v>
      </c>
      <c r="D41" s="2098">
        <f>'数据-汇总表'!G19</f>
        <v>484.25</v>
      </c>
      <c r="E41" s="171">
        <f t="shared" si="4"/>
        <v>22</v>
      </c>
      <c r="F41" s="175">
        <f>SUMIF(修正!A59:A70,G2,修正!F59:F70)</f>
        <v>0.2</v>
      </c>
      <c r="G41" s="171">
        <f>ROUND(IF(E2="工业",C41*$M$42,C41*$M$41),0)</f>
        <v>114</v>
      </c>
      <c r="H41" s="171">
        <f t="shared" si="5"/>
        <v>484.25</v>
      </c>
      <c r="I41" s="171">
        <f t="shared" si="6"/>
        <v>6</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228</v>
      </c>
      <c r="D42" s="2103"/>
      <c r="E42" s="187">
        <f t="shared" si="4"/>
        <v>0</v>
      </c>
      <c r="F42" s="767">
        <f>SUMIF(修正!A59:A70,G2,修正!G59:G70)</f>
        <v>0.1</v>
      </c>
      <c r="G42" s="187">
        <f>ROUND(IF(E2="工业",C42*$M$42,C42*$M$41),0)</f>
        <v>57</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0.91700000000000004</v>
      </c>
      <c r="D44" s="171" t="s">
        <v>1999</v>
      </c>
      <c r="E44" s="2153">
        <f>G24</f>
        <v>0.05</v>
      </c>
      <c r="F44" s="171" t="s">
        <v>2008</v>
      </c>
      <c r="G44" s="183">
        <f>项目基本情况!I15</f>
        <v>37.18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1.0731999999999999</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t="s">
        <v>3435</v>
      </c>
      <c r="D93" s="3366">
        <f>SUMIF($J$92:$N$92,C93,J93:N93)</f>
        <v>1.8700000000000001E-2</v>
      </c>
      <c r="E93" s="3382">
        <f>ROUND(SUM(D93:D101),4)</f>
        <v>7.3200000000000001E-2</v>
      </c>
      <c r="F93" s="1814">
        <f>IF(E2="公共服务",SUMIF(L1:L12,G2,N1:N12),"——")</f>
        <v>0.15</v>
      </c>
      <c r="G93" s="3373">
        <f>H93</f>
        <v>1.8700000000000001E-2</v>
      </c>
      <c r="H93" s="3420">
        <f>IFERROR(ROUNDDOWN($F$93*I93/2,4),"——")</f>
        <v>1.8700000000000001E-2</v>
      </c>
      <c r="I93" s="3367">
        <v>0.25</v>
      </c>
      <c r="J93" s="3345">
        <f t="shared" ref="J93:J101" si="27">K93+$G93</f>
        <v>3.7400000000000003E-2</v>
      </c>
      <c r="K93" s="3345">
        <f t="shared" ref="K93:K101" si="28">$L93+$G93</f>
        <v>1.8700000000000001E-2</v>
      </c>
      <c r="L93" s="3345">
        <v>0</v>
      </c>
      <c r="M93" s="3345">
        <f t="shared" ref="M93:N101" si="29">L93-$G93</f>
        <v>-1.8700000000000001E-2</v>
      </c>
      <c r="N93" s="3345">
        <f t="shared" si="29"/>
        <v>-3.7400000000000003E-2</v>
      </c>
    </row>
    <row r="94" spans="1:37" ht="38.25">
      <c r="A94" s="3379" t="s">
        <v>3271</v>
      </c>
      <c r="B94" s="3370" t="str">
        <f>估价对象房地状况!C18</f>
        <v>估价对象周边道路状况、公共交通通达情况、停车便捷程度，综合评价交通便捷度较好</v>
      </c>
      <c r="C94" s="2044" t="s">
        <v>3435</v>
      </c>
      <c r="D94" s="3366">
        <f t="shared" ref="D94:D101" si="30">SUMIF($J$60:$N$60,C94,J94:N94)</f>
        <v>1.95E-2</v>
      </c>
      <c r="E94" s="3383"/>
      <c r="F94" s="1814"/>
      <c r="G94" s="3373">
        <f t="shared" ref="G94:G101" si="31">H94</f>
        <v>1.95E-2</v>
      </c>
      <c r="H94" s="3420">
        <f>IFERROR(ROUNDDOWN($F$93*I94/2,4),"——")</f>
        <v>1.95E-2</v>
      </c>
      <c r="I94" s="3367">
        <v>0.26</v>
      </c>
      <c r="J94" s="3345">
        <f t="shared" si="27"/>
        <v>3.9E-2</v>
      </c>
      <c r="K94" s="3345">
        <f t="shared" si="28"/>
        <v>1.95E-2</v>
      </c>
      <c r="L94" s="3345">
        <v>0</v>
      </c>
      <c r="M94" s="3345">
        <f t="shared" si="29"/>
        <v>-1.95E-2</v>
      </c>
      <c r="N94" s="3345">
        <f t="shared" si="29"/>
        <v>-3.9E-2</v>
      </c>
    </row>
    <row r="95" spans="1:37" ht="36">
      <c r="A95" s="3369" t="s">
        <v>3267</v>
      </c>
      <c r="B95" s="3370">
        <f>估价对象房地状况!C19</f>
        <v>0</v>
      </c>
      <c r="C95" s="2044" t="s">
        <v>3435</v>
      </c>
      <c r="D95" s="3366">
        <f t="shared" si="30"/>
        <v>8.2000000000000007E-3</v>
      </c>
      <c r="E95" s="3383"/>
      <c r="F95" s="1814"/>
      <c r="G95" s="3373">
        <f t="shared" si="31"/>
        <v>8.2000000000000007E-3</v>
      </c>
      <c r="H95" s="3420">
        <f t="shared" ref="H95:H101" si="32">IFERROR(ROUNDDOWN($F$93*I95/2,4),"——")</f>
        <v>8.2000000000000007E-3</v>
      </c>
      <c r="I95" s="3367">
        <v>0.11</v>
      </c>
      <c r="J95" s="3345">
        <f t="shared" si="27"/>
        <v>1.6400000000000001E-2</v>
      </c>
      <c r="K95" s="3345">
        <f t="shared" si="28"/>
        <v>8.2000000000000007E-3</v>
      </c>
      <c r="L95" s="3345">
        <v>0</v>
      </c>
      <c r="M95" s="3345">
        <f t="shared" si="29"/>
        <v>-8.2000000000000007E-3</v>
      </c>
      <c r="N95" s="3345">
        <f t="shared" si="29"/>
        <v>-1.6400000000000001E-2</v>
      </c>
    </row>
    <row r="96" spans="1:37" ht="36.75">
      <c r="A96" s="3379" t="s">
        <v>3272</v>
      </c>
      <c r="B96" s="3385" t="s">
        <v>3283</v>
      </c>
      <c r="C96" s="2044" t="s">
        <v>3435</v>
      </c>
      <c r="D96" s="3366">
        <f t="shared" si="30"/>
        <v>3.7000000000000002E-3</v>
      </c>
      <c r="E96" s="3383"/>
      <c r="F96" s="1814"/>
      <c r="G96" s="3373">
        <f t="shared" si="31"/>
        <v>3.7000000000000002E-3</v>
      </c>
      <c r="H96" s="3420">
        <f t="shared" si="32"/>
        <v>3.7000000000000002E-3</v>
      </c>
      <c r="I96" s="3367">
        <v>0.05</v>
      </c>
      <c r="J96" s="3345">
        <f t="shared" si="27"/>
        <v>7.4000000000000003E-3</v>
      </c>
      <c r="K96" s="3345">
        <f t="shared" si="28"/>
        <v>3.7000000000000002E-3</v>
      </c>
      <c r="L96" s="3345">
        <v>0</v>
      </c>
      <c r="M96" s="3345">
        <f t="shared" si="29"/>
        <v>-3.7000000000000002E-3</v>
      </c>
      <c r="N96" s="3345">
        <f t="shared" si="29"/>
        <v>-7.4000000000000003E-3</v>
      </c>
    </row>
    <row r="97" spans="1:14" ht="24">
      <c r="A97" s="3379" t="s">
        <v>3273</v>
      </c>
      <c r="B97" s="3370">
        <f>估价对象房地状况!C24</f>
        <v>0</v>
      </c>
      <c r="C97" s="2044" t="s">
        <v>3436</v>
      </c>
      <c r="D97" s="3366">
        <f t="shared" si="30"/>
        <v>0</v>
      </c>
      <c r="E97" s="3383"/>
      <c r="F97" s="1814"/>
      <c r="G97" s="3373">
        <f t="shared" si="31"/>
        <v>3.7000000000000002E-3</v>
      </c>
      <c r="H97" s="3420">
        <f t="shared" si="32"/>
        <v>3.7000000000000002E-3</v>
      </c>
      <c r="I97" s="3367">
        <v>0.05</v>
      </c>
      <c r="J97" s="3345">
        <f t="shared" si="27"/>
        <v>7.4000000000000003E-3</v>
      </c>
      <c r="K97" s="3345">
        <f t="shared" si="28"/>
        <v>3.7000000000000002E-3</v>
      </c>
      <c r="L97" s="3345">
        <v>0</v>
      </c>
      <c r="M97" s="3345">
        <f t="shared" si="29"/>
        <v>-3.7000000000000002E-3</v>
      </c>
      <c r="N97" s="3345">
        <f t="shared" si="29"/>
        <v>-7.4000000000000003E-3</v>
      </c>
    </row>
    <row r="98" spans="1:14" ht="24">
      <c r="A98" s="3379" t="s">
        <v>3274</v>
      </c>
      <c r="B98" s="3386" t="s">
        <v>3284</v>
      </c>
      <c r="C98" s="2044" t="s">
        <v>3435</v>
      </c>
      <c r="D98" s="3366">
        <f t="shared" si="30"/>
        <v>4.4999999999999997E-3</v>
      </c>
      <c r="E98" s="3383"/>
      <c r="F98" s="1814"/>
      <c r="G98" s="3373">
        <f t="shared" si="31"/>
        <v>4.4999999999999997E-3</v>
      </c>
      <c r="H98" s="3420">
        <f t="shared" si="32"/>
        <v>4.4999999999999997E-3</v>
      </c>
      <c r="I98" s="3367">
        <v>0.06</v>
      </c>
      <c r="J98" s="3345">
        <f t="shared" si="27"/>
        <v>8.9999999999999993E-3</v>
      </c>
      <c r="K98" s="3345">
        <f t="shared" si="28"/>
        <v>4.4999999999999997E-3</v>
      </c>
      <c r="L98" s="3345">
        <v>0</v>
      </c>
      <c r="M98" s="3345">
        <f t="shared" si="29"/>
        <v>-4.4999999999999997E-3</v>
      </c>
      <c r="N98" s="3345">
        <f t="shared" si="29"/>
        <v>-8.9999999999999993E-3</v>
      </c>
    </row>
    <row r="99" spans="1:14" ht="25.5">
      <c r="A99" s="3379" t="s">
        <v>3275</v>
      </c>
      <c r="B99" s="3370" t="str">
        <f>估价对象房地状况!C21</f>
        <v>估价对象所在区域公共配套设施齐备情况</v>
      </c>
      <c r="C99" s="2044" t="s">
        <v>3436</v>
      </c>
      <c r="D99" s="3366">
        <f t="shared" si="30"/>
        <v>0</v>
      </c>
      <c r="E99" s="3383"/>
      <c r="F99" s="1814"/>
      <c r="G99" s="3373">
        <f t="shared" si="31"/>
        <v>4.4999999999999997E-3</v>
      </c>
      <c r="H99" s="3420">
        <f t="shared" si="32"/>
        <v>4.4999999999999997E-3</v>
      </c>
      <c r="I99" s="3367">
        <v>0.06</v>
      </c>
      <c r="J99" s="3345">
        <f t="shared" si="27"/>
        <v>8.9999999999999993E-3</v>
      </c>
      <c r="K99" s="3345">
        <f t="shared" si="28"/>
        <v>4.4999999999999997E-3</v>
      </c>
      <c r="L99" s="3345">
        <v>0</v>
      </c>
      <c r="M99" s="3345">
        <f t="shared" si="29"/>
        <v>-4.4999999999999997E-3</v>
      </c>
      <c r="N99" s="3345">
        <f t="shared" si="29"/>
        <v>-8.9999999999999993E-3</v>
      </c>
    </row>
    <row r="100" spans="1:14" ht="25.5">
      <c r="A100" s="3379" t="s">
        <v>3276</v>
      </c>
      <c r="B100" s="3370" t="str">
        <f>估价对象房地状况!C22</f>
        <v>估价对象所在区域基础设施水平</v>
      </c>
      <c r="C100" s="2044" t="s">
        <v>3437</v>
      </c>
      <c r="D100" s="3366">
        <f t="shared" si="30"/>
        <v>1.34E-2</v>
      </c>
      <c r="E100" s="3383"/>
      <c r="F100" s="1814"/>
      <c r="G100" s="3373">
        <f t="shared" si="31"/>
        <v>6.7000000000000002E-3</v>
      </c>
      <c r="H100" s="3420">
        <f t="shared" si="32"/>
        <v>6.7000000000000002E-3</v>
      </c>
      <c r="I100" s="3367">
        <v>0.09</v>
      </c>
      <c r="J100" s="3345">
        <f t="shared" si="27"/>
        <v>1.34E-2</v>
      </c>
      <c r="K100" s="3345">
        <f t="shared" si="28"/>
        <v>6.7000000000000002E-3</v>
      </c>
      <c r="L100" s="3345">
        <v>0</v>
      </c>
      <c r="M100" s="3345">
        <f t="shared" si="29"/>
        <v>-6.7000000000000002E-3</v>
      </c>
      <c r="N100" s="3345">
        <f t="shared" si="29"/>
        <v>-1.34E-2</v>
      </c>
    </row>
    <row r="101" spans="1:14" ht="26.25" thickBot="1">
      <c r="A101" s="3380" t="s">
        <v>3277</v>
      </c>
      <c r="B101" s="3387" t="str">
        <f>估价对象房地状况!C20</f>
        <v>区域自然环境：；人文环境；综合评价环境状况一般</v>
      </c>
      <c r="C101" s="2044" t="s">
        <v>3435</v>
      </c>
      <c r="D101" s="3366">
        <f t="shared" si="30"/>
        <v>5.1999999999999998E-3</v>
      </c>
      <c r="E101" s="3384"/>
      <c r="F101" s="1814"/>
      <c r="G101" s="3373">
        <f t="shared" si="31"/>
        <v>5.1999999999999998E-3</v>
      </c>
      <c r="H101" s="3420">
        <f t="shared" si="32"/>
        <v>5.1999999999999998E-3</v>
      </c>
      <c r="I101" s="3368">
        <v>7.0000000000000007E-2</v>
      </c>
      <c r="J101" s="3345">
        <f t="shared" si="27"/>
        <v>1.04E-2</v>
      </c>
      <c r="K101" s="3345">
        <f t="shared" si="28"/>
        <v>5.1999999999999998E-3</v>
      </c>
      <c r="L101" s="3345">
        <v>0</v>
      </c>
      <c r="M101" s="3345">
        <f t="shared" si="29"/>
        <v>-5.1999999999999998E-3</v>
      </c>
      <c r="N101" s="3345">
        <f t="shared" si="29"/>
        <v>-1.04E-2</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1.5</v>
      </c>
      <c r="C116" s="3400" t="s">
        <v>3311</v>
      </c>
      <c r="D116" s="3401">
        <f>SUMPRODUCT((A118:A122=F116)*(B117:M117=H116)*B118:M122)</f>
        <v>0.73829999999999996</v>
      </c>
      <c r="E116" s="2000" t="s">
        <v>3312</v>
      </c>
      <c r="F116" s="3402" t="str">
        <f>E2</f>
        <v>公共服务</v>
      </c>
      <c r="G116" s="2000" t="s">
        <v>3313</v>
      </c>
      <c r="H116" s="3402" t="str">
        <f>G2</f>
        <v>十级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6">I118</f>
        <v>0.8216</v>
      </c>
      <c r="K118" s="3388">
        <f t="shared" si="36"/>
        <v>0.8216</v>
      </c>
      <c r="L118" s="3388">
        <f t="shared" si="36"/>
        <v>0.8216</v>
      </c>
      <c r="M118" s="3411">
        <f t="shared" si="36"/>
        <v>0.8216</v>
      </c>
      <c r="N118" s="3398"/>
    </row>
    <row r="119" spans="1:14">
      <c r="A119" s="3410" t="s">
        <v>3327</v>
      </c>
      <c r="B119" s="3388">
        <f>ROUND(0.993-0.0112*B116,4)</f>
        <v>0.97619999999999996</v>
      </c>
      <c r="C119" s="3388">
        <f>B119</f>
        <v>0.97619999999999996</v>
      </c>
      <c r="D119" s="3388">
        <f>ROUND(0.9415-0.0142*B116,4)</f>
        <v>0.92020000000000002</v>
      </c>
      <c r="E119" s="3388">
        <f t="shared" ref="E119:H120" si="37">D119</f>
        <v>0.92020000000000002</v>
      </c>
      <c r="F119" s="3388">
        <f t="shared" si="37"/>
        <v>0.92020000000000002</v>
      </c>
      <c r="G119" s="3388">
        <f t="shared" si="37"/>
        <v>0.92020000000000002</v>
      </c>
      <c r="H119" s="3388">
        <f t="shared" si="37"/>
        <v>0.92020000000000002</v>
      </c>
      <c r="I119" s="3388">
        <f>ROUND(0.838-0.0182*B116,4)</f>
        <v>0.81069999999999998</v>
      </c>
      <c r="J119" s="3388">
        <f t="shared" si="36"/>
        <v>0.81069999999999998</v>
      </c>
      <c r="K119" s="3388">
        <f t="shared" si="36"/>
        <v>0.81069999999999998</v>
      </c>
      <c r="L119" s="3388">
        <f t="shared" si="36"/>
        <v>0.81069999999999998</v>
      </c>
      <c r="M119" s="3411">
        <f t="shared" si="36"/>
        <v>0.81069999999999998</v>
      </c>
      <c r="N119" s="3398"/>
    </row>
    <row r="120" spans="1:14">
      <c r="A120" s="3410" t="s">
        <v>3328</v>
      </c>
      <c r="B120" s="3388">
        <f>ROUND(0.9448-0.0115*B116,4)</f>
        <v>0.92759999999999998</v>
      </c>
      <c r="C120" s="3388">
        <f>B120</f>
        <v>0.92759999999999998</v>
      </c>
      <c r="D120" s="3388">
        <f>ROUND(0.937-0.0145*B116,4)</f>
        <v>0.9153</v>
      </c>
      <c r="E120" s="3388">
        <f t="shared" si="37"/>
        <v>0.9153</v>
      </c>
      <c r="F120" s="3388">
        <f t="shared" si="37"/>
        <v>0.9153</v>
      </c>
      <c r="G120" s="3388">
        <f t="shared" si="37"/>
        <v>0.9153</v>
      </c>
      <c r="H120" s="3388">
        <f t="shared" si="37"/>
        <v>0.9153</v>
      </c>
      <c r="I120" s="3388">
        <f>ROUND(0.7965-0.0185*B116,4)</f>
        <v>0.76880000000000004</v>
      </c>
      <c r="J120" s="3388">
        <f t="shared" si="36"/>
        <v>0.76880000000000004</v>
      </c>
      <c r="K120" s="3388">
        <f t="shared" si="36"/>
        <v>0.76880000000000004</v>
      </c>
      <c r="L120" s="3388">
        <f t="shared" si="36"/>
        <v>0.76880000000000004</v>
      </c>
      <c r="M120" s="3411">
        <f t="shared" si="36"/>
        <v>0.76880000000000004</v>
      </c>
      <c r="N120" s="3398"/>
    </row>
    <row r="121" spans="1:14" ht="13.5" thickBot="1">
      <c r="A121" s="3412" t="s">
        <v>3329</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6"/>
        <v>0.56200000000000006</v>
      </c>
      <c r="K121" s="3413">
        <f t="shared" si="36"/>
        <v>0.56200000000000006</v>
      </c>
      <c r="L121" s="3413">
        <f t="shared" si="36"/>
        <v>0.56200000000000006</v>
      </c>
      <c r="M121" s="3414">
        <f t="shared" si="36"/>
        <v>0.56200000000000006</v>
      </c>
      <c r="N121" s="3398"/>
    </row>
    <row r="122" spans="1:14">
      <c r="A122" s="3415" t="s">
        <v>2612</v>
      </c>
      <c r="B122" s="3388">
        <f>ROUND(0.9404-0.0106*B116,4)</f>
        <v>0.92449999999999999</v>
      </c>
      <c r="C122" s="3388">
        <f>B122</f>
        <v>0.92449999999999999</v>
      </c>
      <c r="D122" s="3388">
        <f>ROUND(0.8955-0.0135*B116,4)</f>
        <v>0.87529999999999997</v>
      </c>
      <c r="E122" s="3388">
        <f t="shared" ref="E122:H122" si="38">D122</f>
        <v>0.87529999999999997</v>
      </c>
      <c r="F122" s="3388">
        <f t="shared" si="38"/>
        <v>0.87529999999999997</v>
      </c>
      <c r="G122" s="3388">
        <f t="shared" si="38"/>
        <v>0.87529999999999997</v>
      </c>
      <c r="H122" s="3388">
        <f t="shared" si="38"/>
        <v>0.87529999999999997</v>
      </c>
      <c r="I122" s="3388">
        <f>ROUND(0.7632-0.0166*B116,4)</f>
        <v>0.73829999999999996</v>
      </c>
      <c r="J122" s="3388">
        <f t="shared" si="36"/>
        <v>0.73829999999999996</v>
      </c>
      <c r="K122" s="3388">
        <f t="shared" si="36"/>
        <v>0.73829999999999996</v>
      </c>
      <c r="L122" s="3388">
        <f t="shared" si="36"/>
        <v>0.73829999999999996</v>
      </c>
      <c r="M122" s="3411">
        <f t="shared" si="36"/>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22" zoomScale="90" zoomScaleNormal="90" workbookViewId="0">
      <selection activeCell="C53" sqref="C53"/>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6" t="s">
        <v>2439</v>
      </c>
      <c r="D20" s="3476"/>
      <c r="E20" s="3105">
        <v>1</v>
      </c>
      <c r="F20" s="3106" t="s">
        <v>2440</v>
      </c>
      <c r="G20" s="3106"/>
    </row>
    <row r="21" spans="1:13" ht="19.5" customHeight="1">
      <c r="A21" s="3799"/>
      <c r="B21" s="3787"/>
      <c r="C21" s="3466" t="s">
        <v>2441</v>
      </c>
      <c r="D21" s="3466"/>
      <c r="E21" s="3109">
        <v>1</v>
      </c>
      <c r="F21" s="3106" t="s">
        <v>2442</v>
      </c>
      <c r="G21" s="3106"/>
    </row>
    <row r="22" spans="1:13" ht="19.5" customHeight="1">
      <c r="A22" s="3799"/>
      <c r="B22" s="3787"/>
      <c r="C22" s="3466" t="s">
        <v>2443</v>
      </c>
      <c r="D22" s="3466"/>
      <c r="E22" s="3109">
        <v>0.9</v>
      </c>
      <c r="F22" s="3106" t="s">
        <v>2444</v>
      </c>
      <c r="G22" s="3106"/>
    </row>
    <row r="23" spans="1:13" ht="19.5" customHeight="1">
      <c r="A23" s="3799"/>
      <c r="B23" s="3787"/>
      <c r="C23" s="3466" t="s">
        <v>2445</v>
      </c>
      <c r="D23" s="3466"/>
      <c r="E23" s="3109">
        <v>0.9</v>
      </c>
      <c r="F23" s="3106" t="s">
        <v>2446</v>
      </c>
      <c r="G23" s="3106"/>
    </row>
    <row r="24" spans="1:13" ht="19.5" customHeight="1">
      <c r="A24" s="3799"/>
      <c r="B24" s="3787"/>
      <c r="C24" s="3466" t="s">
        <v>2447</v>
      </c>
      <c r="D24" s="3466"/>
      <c r="E24" s="3109">
        <v>0.8</v>
      </c>
      <c r="F24" s="3106" t="s">
        <v>2448</v>
      </c>
      <c r="G24" s="3106"/>
    </row>
    <row r="25" spans="1:13" ht="19.5" customHeight="1">
      <c r="A25" s="3799"/>
      <c r="B25" s="3787"/>
      <c r="C25" s="3466" t="s">
        <v>2449</v>
      </c>
      <c r="D25" s="3466"/>
      <c r="E25" s="3109">
        <v>0.8</v>
      </c>
      <c r="F25" s="3106"/>
      <c r="G25" s="3106"/>
    </row>
    <row r="26" spans="1:13" ht="19.5" customHeight="1">
      <c r="A26" s="3799"/>
      <c r="B26" s="3787"/>
      <c r="C26" s="3469" t="s">
        <v>3406</v>
      </c>
      <c r="D26" s="3469"/>
      <c r="E26" s="3470">
        <v>0.43</v>
      </c>
      <c r="F26" s="3106"/>
      <c r="G26" s="3106"/>
    </row>
    <row r="27" spans="1:13" ht="19.5" customHeight="1" thickBot="1">
      <c r="A27" s="3800"/>
      <c r="B27" s="3792"/>
      <c r="C27" s="3471" t="s">
        <v>3407</v>
      </c>
      <c r="D27" s="3471"/>
      <c r="E27" s="3472">
        <f>E26*0.9</f>
        <v>0.38700000000000001</v>
      </c>
      <c r="F27" s="3106" t="s">
        <v>2450</v>
      </c>
      <c r="G27" s="3106"/>
    </row>
    <row r="28" spans="1:13" ht="19.5" customHeight="1" thickBot="1">
      <c r="A28" s="3468" t="s">
        <v>2629</v>
      </c>
      <c r="B28" s="3467" t="s">
        <v>2628</v>
      </c>
      <c r="C28" s="3473" t="s">
        <v>2630</v>
      </c>
      <c r="D28" s="3474"/>
      <c r="E28" s="3475">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1.0985</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26291</v>
      </c>
      <c r="C2" s="2" t="s">
        <v>106</v>
      </c>
      <c r="D2" s="199"/>
      <c r="E2" s="199"/>
      <c r="F2" s="199"/>
      <c r="G2" s="199"/>
    </row>
    <row r="3" spans="1:7" s="200" customFormat="1" ht="18" customHeight="1" thickBot="1">
      <c r="A3" s="203" t="s">
        <v>58</v>
      </c>
      <c r="B3" s="204">
        <f ca="1">ROUND(B2*10000/'数据-汇总表'!E3,0)</f>
        <v>212115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25</v>
      </c>
      <c r="D10" s="845">
        <f>'数据-汇总表'!E6</f>
        <v>1239.47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25</v>
      </c>
      <c r="D19" s="849">
        <f>'数据-汇总表'!E3</f>
        <v>1239.47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625</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25697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496</v>
      </c>
      <c r="D34" s="217"/>
      <c r="E34" s="220"/>
      <c r="F34" s="257">
        <f>IF('数据-取费表'!B24=0,1,'数据-取费表'!N16)</f>
        <v>1</v>
      </c>
      <c r="G34" s="219" t="s">
        <v>89</v>
      </c>
    </row>
    <row r="35" spans="1:7" ht="13.5" customHeight="1">
      <c r="A35" s="780" t="s">
        <v>351</v>
      </c>
      <c r="B35" s="215" t="s">
        <v>33</v>
      </c>
      <c r="C35" s="220">
        <f>ROUND(C34*F35,0)</f>
        <v>25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25</v>
      </c>
      <c r="D37" s="217">
        <f>'数据-汇总表'!E3</f>
        <v>1239.47</v>
      </c>
      <c r="E37" s="249">
        <f>'数据-取费表'!B35</f>
        <v>200</v>
      </c>
      <c r="F37" s="259"/>
      <c r="G37" s="261" t="s">
        <v>92</v>
      </c>
    </row>
    <row r="38" spans="1:7" ht="13.5" customHeight="1">
      <c r="A38" s="780" t="s">
        <v>354</v>
      </c>
      <c r="B38" s="215" t="s">
        <v>36</v>
      </c>
      <c r="C38" s="220">
        <f>ROUND(C34*F38,0)</f>
        <v>10</v>
      </c>
      <c r="D38" s="220"/>
      <c r="E38" s="220"/>
      <c r="F38" s="259">
        <f>'数据-取费表'!B36</f>
        <v>0.02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663" t="s">
        <v>94</v>
      </c>
    </row>
    <row r="43" spans="1:7" ht="13.5" customHeight="1">
      <c r="A43" s="780" t="s">
        <v>347</v>
      </c>
      <c r="B43" s="215" t="s">
        <v>426</v>
      </c>
      <c r="C43" s="238">
        <f ca="1">ROUND(IF('数据-取费表'!B22&lt;=1,C39*F22*'数据-取费表'!B21/2,C39*(POWER((1+F22),'数据-取费表'!B21/2)-1)),0)</f>
        <v>0</v>
      </c>
      <c r="D43" s="238"/>
      <c r="E43" s="238"/>
      <c r="F43" s="239"/>
      <c r="G43" s="3664"/>
    </row>
    <row r="44" spans="1:7" ht="13.5" customHeight="1">
      <c r="A44" s="780" t="s">
        <v>348</v>
      </c>
      <c r="B44" s="215" t="s">
        <v>428</v>
      </c>
      <c r="C44" s="238">
        <f ca="1">ROUND(IF('数据-取费表'!B22&lt;=1,C40*F22*'数据-取费表'!B21/2,C40*(POWER((1+F22),'数据-取费表'!B21/2)-1)),4)</f>
        <v>2.9999999999999997E-4</v>
      </c>
      <c r="D44" s="238"/>
      <c r="E44" s="238"/>
      <c r="F44" s="239"/>
      <c r="G44" s="3665"/>
    </row>
    <row r="45" spans="1:7" s="214" customFormat="1" ht="13.5" customHeight="1">
      <c r="A45" s="777" t="s">
        <v>341</v>
      </c>
      <c r="B45" s="244" t="s">
        <v>85</v>
      </c>
      <c r="C45" s="245">
        <f>C46</f>
        <v>57</v>
      </c>
      <c r="D45" s="235">
        <f>C47</f>
        <v>2E-3</v>
      </c>
      <c r="E45" s="236" t="s">
        <v>102</v>
      </c>
      <c r="F45" s="246"/>
      <c r="G45" s="247" t="s">
        <v>434</v>
      </c>
    </row>
    <row r="46" spans="1:7" s="214" customFormat="1" ht="13.5" customHeight="1">
      <c r="A46" s="780" t="s">
        <v>349</v>
      </c>
      <c r="B46" s="248" t="s">
        <v>427</v>
      </c>
      <c r="C46" s="249">
        <f>ROUND((C33+C39)*F27,0)</f>
        <v>57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683</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594</v>
      </c>
      <c r="D51" s="232"/>
      <c r="E51" s="232"/>
      <c r="F51" s="264"/>
      <c r="G51" s="234" t="s">
        <v>37</v>
      </c>
    </row>
    <row r="52" spans="1:7" s="208" customFormat="1" ht="16.5" thickBot="1">
      <c r="A52" s="265" t="s">
        <v>38</v>
      </c>
      <c r="B52" s="266"/>
      <c r="C52" s="267">
        <f ca="1">C31+C51</f>
        <v>26291</v>
      </c>
      <c r="D52" s="266"/>
      <c r="E52" s="266"/>
      <c r="F52" s="266"/>
      <c r="G52" s="268"/>
    </row>
    <row r="55" spans="1:7" ht="15">
      <c r="B55" s="270" t="s">
        <v>39</v>
      </c>
      <c r="C55" s="271"/>
    </row>
    <row r="56" spans="1:7">
      <c r="B56" s="273" t="s">
        <v>40</v>
      </c>
      <c r="C56" s="274">
        <f ca="1">ROUND(C51/C52,3)</f>
        <v>2.3E-2</v>
      </c>
    </row>
    <row r="57" spans="1:7">
      <c r="B57" s="273" t="s">
        <v>41</v>
      </c>
      <c r="C57" s="27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875</v>
      </c>
      <c r="E5" s="1491"/>
    </row>
    <row r="6" spans="1:5" ht="15.75">
      <c r="A6" s="1491"/>
      <c r="B6" s="3482"/>
      <c r="C6" s="1494" t="s">
        <v>911</v>
      </c>
      <c r="D6" s="850" t="str">
        <f ca="1">NUMBERSTRING(INT(D5*10000),2)&amp;"元整"</f>
        <v>捌佰柒拾伍万元整</v>
      </c>
      <c r="E6" s="1491"/>
    </row>
    <row r="7" spans="1:5" ht="15.75">
      <c r="A7" s="1491"/>
      <c r="B7" s="3487"/>
      <c r="C7" s="1495" t="s">
        <v>912</v>
      </c>
      <c r="D7" s="851">
        <f ca="1">结果表!H102</f>
        <v>7057</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875</v>
      </c>
      <c r="E13" s="1491"/>
    </row>
    <row r="14" spans="1:5" ht="15.75">
      <c r="A14" s="1491"/>
      <c r="B14" s="3482"/>
      <c r="C14" s="1494" t="s">
        <v>911</v>
      </c>
      <c r="D14" s="850" t="str">
        <f ca="1">NUMBERSTRING(INT(D13*10000),2)&amp;"元整"</f>
        <v>捌佰柒拾伍万元整</v>
      </c>
      <c r="E14" s="1491"/>
    </row>
    <row r="15" spans="1:5" ht="15">
      <c r="A15" s="1491"/>
      <c r="B15" s="3487"/>
      <c r="C15" s="1495" t="s">
        <v>921</v>
      </c>
      <c r="D15" s="859">
        <f ca="1">结果表!H108</f>
        <v>7057</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45999</v>
      </c>
      <c r="B1" s="3210" t="s">
        <v>3375</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3400</v>
      </c>
      <c r="AG2" t="s">
        <v>673</v>
      </c>
      <c r="AH2" t="s">
        <v>21</v>
      </c>
      <c r="AI2" t="s">
        <v>3401</v>
      </c>
      <c r="AJ2" t="s">
        <v>3</v>
      </c>
      <c r="AK2" t="s">
        <v>3402</v>
      </c>
      <c r="AM2" t="s">
        <v>3400</v>
      </c>
      <c r="AN2" t="s">
        <v>673</v>
      </c>
      <c r="AO2" t="s">
        <v>21</v>
      </c>
      <c r="AP2" t="s">
        <v>3401</v>
      </c>
      <c r="AQ2" t="s">
        <v>3</v>
      </c>
      <c r="AR2" t="s">
        <v>3402</v>
      </c>
    </row>
    <row r="3" spans="1:44" s="3161" customFormat="1" ht="12.75">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3399</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5" customFormat="1" ht="12.75">
      <c r="A6" s="3186" t="s">
        <v>3413</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5" customFormat="1" ht="12.75">
      <c r="A7" s="2205" t="s">
        <v>3414</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5" customFormat="1" ht="12.75">
      <c r="A8" s="2205" t="s">
        <v>3405</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5" customFormat="1" ht="12.75">
      <c r="A9" s="2205" t="s">
        <v>3404</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5" customFormat="1" ht="12.75">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5" customFormat="1" ht="12.75">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5" customFormat="1" ht="12.75">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5" customFormat="1" ht="12.75">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5" customFormat="1" ht="12.75">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5" customFormat="1" ht="12.75">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5" customFormat="1" ht="12.75">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5" customFormat="1" ht="12.75">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5" customFormat="1" ht="12.75">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5" customFormat="1" ht="12.75">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9" customFormat="1" ht="14.25" thickTop="1"/>
    <row r="26" spans="1:44" s="3009" customFormat="1">
      <c r="A26" s="3447" t="s">
        <v>3378</v>
      </c>
    </row>
    <row r="27" spans="1:44" s="3009" customFormat="1">
      <c r="I27" s="3208" t="s">
        <v>2825</v>
      </c>
    </row>
    <row r="28" spans="1:44" s="3009" customFormat="1"/>
    <row r="29" spans="1:44" s="3209" customFormat="1" ht="12.75">
      <c r="B29" s="3210" t="s">
        <v>3376</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3401</v>
      </c>
      <c r="AJ30"/>
      <c r="AK30" t="s">
        <v>3402</v>
      </c>
      <c r="AN30" t="s">
        <v>673</v>
      </c>
      <c r="AO30" t="s">
        <v>21</v>
      </c>
      <c r="AP30" t="s">
        <v>3401</v>
      </c>
      <c r="AQ30"/>
      <c r="AR30" t="s">
        <v>3402</v>
      </c>
    </row>
    <row r="31" spans="1:44" s="3161" customFormat="1" ht="12.75">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3399</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5" customFormat="1" ht="12.75">
      <c r="A34" s="3186" t="s">
        <v>3415</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5" customFormat="1" ht="12.75">
      <c r="A35" s="2205" t="s">
        <v>3414</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5" customFormat="1" ht="12.75">
      <c r="A36" s="2205" t="s">
        <v>3403</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5" customFormat="1" ht="12.75">
      <c r="A37" s="2205" t="s">
        <v>3404</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5" customFormat="1" ht="12.75">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5" customFormat="1" ht="12.75">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5" customFormat="1" ht="12.75">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5" customFormat="1" ht="12.75">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5" customFormat="1" ht="12.75">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5" customFormat="1" ht="12.75">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5" customFormat="1" ht="12.75">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5" customFormat="1" ht="12.75">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5" customFormat="1" ht="12.75">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5" customFormat="1" ht="12.75">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5" sqref="G35"/>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45999</v>
      </c>
      <c r="D1" s="1302" t="s">
        <v>603</v>
      </c>
      <c r="E1" s="1297">
        <f>'数据-取费表'!B22</f>
        <v>1</v>
      </c>
      <c r="F1" s="1302" t="s">
        <v>604</v>
      </c>
      <c r="G1" s="1298">
        <f ca="1">IF(OR(C1&lt;C27,E1&lt;=1),INDIRECT("d"&amp;$K$1)/100,ROUND((D5+(E1-C5)*(D7-D5)/(C7-C5))/100,4))</f>
        <v>0.03</v>
      </c>
      <c r="H1" s="1302" t="s">
        <v>634</v>
      </c>
      <c r="I1" s="1298">
        <f ca="1">F4/100</f>
        <v>1.4999999999999999E-2</v>
      </c>
      <c r="J1" s="1303">
        <f>IF(C1&gt;C13,0,MATCH(C1,C$13:C$115,-1))+IF(SUMIF(C13:C115,C1,D13:D115)=0,13,12)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1239.47</v>
      </c>
      <c r="C4" s="854">
        <f>项目基本情况!C18</f>
        <v>0</v>
      </c>
      <c r="D4" s="854" t="e">
        <f ca="1">结果表!D118</f>
        <v>#REF!</v>
      </c>
      <c r="E4" s="854" t="e">
        <f ca="1">结果表!E118</f>
        <v>#REF!</v>
      </c>
      <c r="F4" s="854" t="e">
        <f ca="1">结果表!F118</f>
        <v>#REF!</v>
      </c>
      <c r="G4" s="854" t="e">
        <f ca="1">结果表!G118</f>
        <v>#REF!</v>
      </c>
      <c r="H4" s="854">
        <f ca="1">结果表!H118</f>
        <v>875</v>
      </c>
      <c r="I4" s="854">
        <f ca="1">结果表!I118</f>
        <v>7057</v>
      </c>
    </row>
    <row r="5" spans="1:9" ht="30" customHeight="1">
      <c r="A5" s="3494" t="s">
        <v>927</v>
      </c>
      <c r="B5" s="3494"/>
      <c r="C5" s="3494"/>
      <c r="D5" s="3494" t="e">
        <f ca="1">结果表!D119</f>
        <v>#REF!</v>
      </c>
      <c r="E5" s="3494"/>
      <c r="F5" s="3494" t="e">
        <f ca="1">结果表!F119</f>
        <v>#REF!</v>
      </c>
      <c r="G5" s="3494"/>
      <c r="H5" s="3494" t="str">
        <f ca="1">结果表!H119</f>
        <v>捌佰柒拾伍万元整</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f ca="1">结果表!D122</f>
        <v>875</v>
      </c>
      <c r="E8" s="3493"/>
      <c r="F8" s="3493"/>
      <c r="G8" s="3493"/>
      <c r="H8" s="3493"/>
      <c r="I8" s="3493"/>
    </row>
    <row r="9" spans="1:9" ht="15">
      <c r="A9" s="3494" t="s">
        <v>927</v>
      </c>
      <c r="B9" s="3494"/>
      <c r="C9" s="3494"/>
      <c r="D9" s="3494" t="str">
        <f ca="1">结果表!D123</f>
        <v>捌佰柒拾伍万元整</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46000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2025-12-09T05:08:45Z</dcterms:modified>
</cp:coreProperties>
</file>